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10" yWindow="5820" windowWidth="9045" windowHeight="3690" tabRatio="717" firstSheet="2" activeTab="2"/>
  </bookViews>
  <sheets>
    <sheet name="OEA GMR Summary 17-19" sheetId="1" r:id="rId1"/>
    <sheet name="Program Statement" sheetId="2" state="hidden" r:id="rId2"/>
    <sheet name="External Report" sheetId="3" r:id="rId3"/>
    <sheet name="Obligations 17-19 03-31-18" sheetId="4" state="hidden" r:id="rId4"/>
    <sheet name="Cash Flow 17-19" sheetId="5" state="hidden" r:id="rId5"/>
    <sheet name="Obligations 15-17" sheetId="6" state="hidden" r:id="rId6"/>
    <sheet name="Cash Flow 15-17" sheetId="7" state="hidden" r:id="rId7"/>
    <sheet name="OEA GMR External working copy" sheetId="8" state="hidden" r:id="rId8"/>
    <sheet name="Obligations 17-19" sheetId="9" state="hidden" r:id="rId9"/>
    <sheet name="Obligations 13-15" sheetId="10" state="hidden" r:id="rId10"/>
    <sheet name="Obligations 13-15 Full NOA" sheetId="11" state="hidden" r:id="rId11"/>
    <sheet name="Obligations 11-13 Full NOA" sheetId="12" state="hidden" r:id="rId12"/>
    <sheet name="Obligations 09-11" sheetId="13" state="hidden" r:id="rId13"/>
    <sheet name="OEA GMR old" sheetId="14" state="hidden" r:id="rId14"/>
    <sheet name="Sheet1" sheetId="15" state="hidden" r:id="rId15"/>
  </sheets>
  <definedNames>
    <definedName name="_1PROJECT_COSTS">#N/A</definedName>
    <definedName name="AWARDED">#N/A</definedName>
    <definedName name="_xlnm.Print_Area" localSheetId="6">'Cash Flow 15-17'!$A$1:$AF$142</definedName>
    <definedName name="_xlnm.Print_Area" localSheetId="7">'OEA GMR External working copy'!$A$1:$W$146</definedName>
    <definedName name="_xlnm.Print_Area" localSheetId="13">'OEA GMR old'!$A$1:$W$42</definedName>
    <definedName name="_xlnm.Print_Area" localSheetId="0">'OEA GMR Summary 17-19'!$A$1:$G$32</definedName>
    <definedName name="_xlnm.Print_Titles" localSheetId="6">'Cash Flow 15-17'!$A:$B</definedName>
  </definedNames>
  <calcPr fullCalcOnLoad="1"/>
</workbook>
</file>

<file path=xl/comments1.xml><?xml version="1.0" encoding="utf-8"?>
<comments xmlns="http://schemas.openxmlformats.org/spreadsheetml/2006/main">
  <authors>
    <author>Carol Wagner</author>
  </authors>
  <commentList>
    <comment ref="C24" authorId="0">
      <text>
        <r>
          <rPr>
            <b/>
            <sz val="9"/>
            <rFont val="Tahoma"/>
            <family val="0"/>
          </rPr>
          <t>Carol Wagner:</t>
        </r>
        <r>
          <rPr>
            <sz val="9"/>
            <rFont val="Tahoma"/>
            <family val="0"/>
          </rPr>
          <t xml:space="preserve">
PGE statement breakdown was not received for distribution of funds on the 
NOA.
</t>
        </r>
      </text>
    </comment>
  </commentList>
</comments>
</file>

<file path=xl/comments14.xml><?xml version="1.0" encoding="utf-8"?>
<comments xmlns="http://schemas.openxmlformats.org/spreadsheetml/2006/main">
  <authors>
    <author>Carol Wagner</author>
  </authors>
  <commentList>
    <comment ref="J42" authorId="0">
      <text>
        <r>
          <rPr>
            <b/>
            <sz val="9"/>
            <rFont val="Tahoma"/>
            <family val="2"/>
          </rPr>
          <t>Carol Wagner:</t>
        </r>
        <r>
          <rPr>
            <sz val="9"/>
            <rFont val="Tahoma"/>
            <family val="2"/>
          </rPr>
          <t xml:space="preserve">
Needs Correction for the July receipts Crook County was included in ORCCA's NOA
</t>
        </r>
      </text>
    </comment>
    <comment ref="M42" authorId="0">
      <text>
        <r>
          <rPr>
            <b/>
            <sz val="9"/>
            <rFont val="Tahoma"/>
            <family val="2"/>
          </rPr>
          <t>Carol Wagner:</t>
        </r>
        <r>
          <rPr>
            <sz val="9"/>
            <rFont val="Tahoma"/>
            <family val="2"/>
          </rPr>
          <t xml:space="preserve">
Correction needed Crook County receipts were put into ORCCA's NOA</t>
        </r>
      </text>
    </comment>
  </commentList>
</comments>
</file>

<file path=xl/comments3.xml><?xml version="1.0" encoding="utf-8"?>
<comments xmlns="http://schemas.openxmlformats.org/spreadsheetml/2006/main">
  <authors>
    <author>Carol Wagner</author>
  </authors>
  <commentList>
    <comment ref="A23" authorId="0">
      <text>
        <r>
          <rPr>
            <sz val="9"/>
            <rFont val="Tahoma"/>
            <family val="2"/>
          </rPr>
          <t xml:space="preserve">Includes E2C2 admin
</t>
        </r>
      </text>
    </comment>
    <comment ref="A24" authorId="0">
      <text>
        <r>
          <rPr>
            <sz val="9"/>
            <rFont val="Tahoma"/>
            <family val="2"/>
          </rPr>
          <t xml:space="preserve">Includes E2C2 program
</t>
        </r>
      </text>
    </comment>
    <comment ref="U64" authorId="0">
      <text>
        <r>
          <rPr>
            <b/>
            <sz val="9"/>
            <rFont val="Tahoma"/>
            <family val="2"/>
          </rPr>
          <t>Carol Wagner:</t>
        </r>
        <r>
          <rPr>
            <sz val="9"/>
            <rFont val="Tahoma"/>
            <family val="2"/>
          </rPr>
          <t xml:space="preserve">
Needs Correction for the July receipts Crook County was included in ORCCA's NOA
</t>
        </r>
      </text>
    </comment>
    <comment ref="T64" authorId="0">
      <text>
        <r>
          <rPr>
            <b/>
            <sz val="9"/>
            <rFont val="Tahoma"/>
            <family val="2"/>
          </rPr>
          <t>Carol Wagner:</t>
        </r>
        <r>
          <rPr>
            <sz val="9"/>
            <rFont val="Tahoma"/>
            <family val="2"/>
          </rPr>
          <t xml:space="preserve">
Correction needed Crook County receipts were put into ORCCA's NOA</t>
        </r>
      </text>
    </comment>
  </commentList>
</comments>
</file>

<file path=xl/comments5.xml><?xml version="1.0" encoding="utf-8"?>
<comments xmlns="http://schemas.openxmlformats.org/spreadsheetml/2006/main">
  <authors>
    <author>Carol Wagner</author>
  </authors>
  <commentList>
    <comment ref="B126" authorId="0">
      <text>
        <r>
          <rPr>
            <b/>
            <sz val="9"/>
            <rFont val="Tahoma"/>
            <family val="2"/>
          </rPr>
          <t>Carol Wagner:</t>
        </r>
        <r>
          <rPr>
            <sz val="9"/>
            <rFont val="Tahoma"/>
            <family val="2"/>
          </rPr>
          <t xml:space="preserve">
GL 0065 &amp; 0070
</t>
        </r>
      </text>
    </comment>
  </commentList>
</comments>
</file>

<file path=xl/comments8.xml><?xml version="1.0" encoding="utf-8"?>
<comments xmlns="http://schemas.openxmlformats.org/spreadsheetml/2006/main">
  <authors>
    <author>Carol Wagner</author>
  </authors>
  <commentList>
    <comment ref="J108" authorId="0">
      <text>
        <r>
          <rPr>
            <b/>
            <sz val="9"/>
            <rFont val="Tahoma"/>
            <family val="2"/>
          </rPr>
          <t>Carol Wagner:</t>
        </r>
        <r>
          <rPr>
            <sz val="9"/>
            <rFont val="Tahoma"/>
            <family val="2"/>
          </rPr>
          <t xml:space="preserve">
Needs Correction for the July receipts Crook County was included in ORCCA's NOA
</t>
        </r>
      </text>
    </comment>
    <comment ref="M108" authorId="0">
      <text>
        <r>
          <rPr>
            <b/>
            <sz val="9"/>
            <rFont val="Tahoma"/>
            <family val="2"/>
          </rPr>
          <t>Carol Wagner:</t>
        </r>
        <r>
          <rPr>
            <sz val="9"/>
            <rFont val="Tahoma"/>
            <family val="2"/>
          </rPr>
          <t xml:space="preserve">
Correction needed Crook County receipts were put into ORCCA's NOA</t>
        </r>
      </text>
    </comment>
    <comment ref="J72" authorId="0">
      <text>
        <r>
          <rPr>
            <b/>
            <sz val="9"/>
            <rFont val="Tahoma"/>
            <family val="2"/>
          </rPr>
          <t>Carol Wagner:</t>
        </r>
        <r>
          <rPr>
            <sz val="9"/>
            <rFont val="Tahoma"/>
            <family val="2"/>
          </rPr>
          <t xml:space="preserve">
Needs Correction for the July receipts Crook County was included in ORCCA's NOA
</t>
        </r>
      </text>
    </comment>
    <comment ref="M72" authorId="0">
      <text>
        <r>
          <rPr>
            <b/>
            <sz val="9"/>
            <rFont val="Tahoma"/>
            <family val="2"/>
          </rPr>
          <t>Carol Wagner:</t>
        </r>
        <r>
          <rPr>
            <sz val="9"/>
            <rFont val="Tahoma"/>
            <family val="2"/>
          </rPr>
          <t xml:space="preserve">
Correction needed Crook County receipts were put into ORCCA's NOA</t>
        </r>
      </text>
    </comment>
    <comment ref="A22" authorId="0">
      <text>
        <r>
          <rPr>
            <b/>
            <sz val="9"/>
            <rFont val="Tahoma"/>
            <family val="2"/>
          </rPr>
          <t>Carol Wagner:</t>
        </r>
        <r>
          <rPr>
            <sz val="9"/>
            <rFont val="Tahoma"/>
            <family val="2"/>
          </rPr>
          <t xml:space="preserve">
Includes E2C2 admin
</t>
        </r>
      </text>
    </comment>
    <comment ref="A23" authorId="0">
      <text>
        <r>
          <rPr>
            <b/>
            <sz val="9"/>
            <rFont val="Tahoma"/>
            <family val="2"/>
          </rPr>
          <t>Carol Wagner:</t>
        </r>
        <r>
          <rPr>
            <sz val="9"/>
            <rFont val="Tahoma"/>
            <family val="2"/>
          </rPr>
          <t xml:space="preserve">
Includes E2C2 program
</t>
        </r>
      </text>
    </comment>
  </commentList>
</comments>
</file>

<file path=xl/sharedStrings.xml><?xml version="1.0" encoding="utf-8"?>
<sst xmlns="http://schemas.openxmlformats.org/spreadsheetml/2006/main" count="4802" uniqueCount="555">
  <si>
    <t>Biennium</t>
  </si>
  <si>
    <t>Actuals</t>
  </si>
  <si>
    <t>Projected</t>
  </si>
  <si>
    <t>Total</t>
  </si>
  <si>
    <t>Difference</t>
  </si>
  <si>
    <t>Total Revenues</t>
  </si>
  <si>
    <t>Total Expenditures</t>
  </si>
  <si>
    <t>Month End Cash Balance</t>
  </si>
  <si>
    <t>Total SFMA Cash</t>
  </si>
  <si>
    <t>Oregon Housing and Community Services</t>
  </si>
  <si>
    <t>.</t>
  </si>
  <si>
    <t>OHCS</t>
  </si>
  <si>
    <t>Expenditures</t>
  </si>
  <si>
    <t>Program</t>
  </si>
  <si>
    <t>Total Expenditure Actual/Projected</t>
  </si>
  <si>
    <t>1261</t>
  </si>
  <si>
    <t>Move within Indenture</t>
  </si>
  <si>
    <t>0820</t>
  </si>
  <si>
    <t>Treasury Interest</t>
  </si>
  <si>
    <t>3000</t>
  </si>
  <si>
    <t>Clearing Account</t>
  </si>
  <si>
    <t>Personal Services</t>
  </si>
  <si>
    <t>Services and Supplies</t>
  </si>
  <si>
    <t>ACCESS</t>
  </si>
  <si>
    <t>CAPECO</t>
  </si>
  <si>
    <t>CAT</t>
  </si>
  <si>
    <t>CCN</t>
  </si>
  <si>
    <t>CSC</t>
  </si>
  <si>
    <t>MCCAC</t>
  </si>
  <si>
    <t>MULTCO</t>
  </si>
  <si>
    <t>MWVCAA</t>
  </si>
  <si>
    <t>NIMPACT</t>
  </si>
  <si>
    <t>ORCCA</t>
  </si>
  <si>
    <t>UCAN</t>
  </si>
  <si>
    <t>CAO</t>
  </si>
  <si>
    <t>CCSSD</t>
  </si>
  <si>
    <t>YCAP</t>
  </si>
  <si>
    <t>LCHHS</t>
  </si>
  <si>
    <t>6XXX</t>
  </si>
  <si>
    <t>4XXX</t>
  </si>
  <si>
    <t>3XXX</t>
  </si>
  <si>
    <t>Special Payments</t>
  </si>
  <si>
    <t>1105</t>
  </si>
  <si>
    <t>Other Revenue</t>
  </si>
  <si>
    <t>Admin</t>
  </si>
  <si>
    <t>Cash Balance as of July 1, 2013 (GL 0070 + 0065)</t>
  </si>
  <si>
    <t>Biennium 11-13 Revenue recorded after June 30, 2013</t>
  </si>
  <si>
    <t>Biennium 11-13 Expenditures recorded after June 30, 2013</t>
  </si>
  <si>
    <t>Miscellaneous Income (AOBJ 1105)</t>
  </si>
  <si>
    <t xml:space="preserve">Total Actual Revenues </t>
  </si>
  <si>
    <t>Expenditures:</t>
  </si>
  <si>
    <t>Total Actual Expeditures</t>
  </si>
  <si>
    <t xml:space="preserve"> </t>
  </si>
  <si>
    <t xml:space="preserve">  </t>
  </si>
  <si>
    <t>SFMA GL balance 0060 324000-00  3242</t>
  </si>
  <si>
    <t>SFMA GL balance 0065 324000-00  3242</t>
  </si>
  <si>
    <t>SFMA GL balance 0070 324000-00  3242</t>
  </si>
  <si>
    <t>SFMA GL balance 0586 324000-00  3242</t>
  </si>
  <si>
    <t>SFMA GL balance 1211 324000-00  3242</t>
  </si>
  <si>
    <t>SFMA GL balance 0060 324000-53  3242</t>
  </si>
  <si>
    <t>SFMA GL balance 0065 324000-53  3242</t>
  </si>
  <si>
    <t>SFMA GL balance 0070 324000-53  3242</t>
  </si>
  <si>
    <t>SFMA GL balance 0586 324000-53  3242</t>
  </si>
  <si>
    <t>SFMA GL balance 1211 324000-53  3242</t>
  </si>
  <si>
    <t>SFMA GL balance 0060 324000-55  3242</t>
  </si>
  <si>
    <t>SFMA GL balance 0065 324000-55  3242</t>
  </si>
  <si>
    <t>SFMA GL balance 0070 324000-55  3242</t>
  </si>
  <si>
    <t>SFMA GL balance 0586 324000-55  3242</t>
  </si>
  <si>
    <t>SFMA GL balance 1211 324000-55  3242</t>
  </si>
  <si>
    <t>SFMA GL balance 0060 324000-56  3242</t>
  </si>
  <si>
    <t>SFMA GL balance 0065 324000-56  3242</t>
  </si>
  <si>
    <t>SFMA GL balance 0070 324000-56  3242</t>
  </si>
  <si>
    <t>SFMA GL balance 0586 324000-56  3242</t>
  </si>
  <si>
    <t>SFMA GL balance 1211 324000-56  3242</t>
  </si>
  <si>
    <t>SFMA GL balance 0060 324000-60  3242</t>
  </si>
  <si>
    <t>SFMA GL balance 0065 324000-60  3242</t>
  </si>
  <si>
    <t>SFMA GL balance 0070 324000-66  3242</t>
  </si>
  <si>
    <t>SFMA GL balance 0070 324000-60  3242</t>
  </si>
  <si>
    <t>SFMA GL balance 0586 324000-60  3242</t>
  </si>
  <si>
    <t>SFMA GL balance 1211 324000-60  3242</t>
  </si>
  <si>
    <t>SFMA GL balance 0060 324000-65  3242</t>
  </si>
  <si>
    <t>SFMA GL balance 0065 324000-65  3242</t>
  </si>
  <si>
    <t>SFMA GL balance 0070 324000-65  3242</t>
  </si>
  <si>
    <t>SFMA GL balance 0586 324000-65  3242</t>
  </si>
  <si>
    <t>SFMA GL balance 1211 324000-65  3242</t>
  </si>
  <si>
    <t>Grant #324000-XX</t>
  </si>
  <si>
    <t>Fund 3242</t>
  </si>
  <si>
    <t>SFMA GL balance 0060 324000-66  3242</t>
  </si>
  <si>
    <t>SFMA GL balance 0065 324000-66  3242</t>
  </si>
  <si>
    <t>SFMA GL balance 0586 324000-66  3242</t>
  </si>
  <si>
    <t>SFMA GL balance 1211 324000-66  3242</t>
  </si>
  <si>
    <t>SFMA GL balance 0060 324000-68  3242</t>
  </si>
  <si>
    <t>SFMA GL balance 0065 324000-68  3242</t>
  </si>
  <si>
    <t>SFMA GL balance 0070 324000-68  3242</t>
  </si>
  <si>
    <t>SFMA GL balance 0586 324000-68  3242</t>
  </si>
  <si>
    <t>SFMA GL balance 1211 324000-68  3242</t>
  </si>
  <si>
    <t>SFMA GL balance 0060 324000-70  3242</t>
  </si>
  <si>
    <t>SFMA GL balance 0065 324000-70  3242</t>
  </si>
  <si>
    <t>SFMA GL balance 0070 324000-70  3242</t>
  </si>
  <si>
    <t>SFMA GL balance 0586 324000-70  3242</t>
  </si>
  <si>
    <t>SFMA GL balance 1211 324000-70  3242</t>
  </si>
  <si>
    <t>SFMA GL balance 0060 324000-72  3242</t>
  </si>
  <si>
    <t>SFMA GL balance 0065 324000-72  3242</t>
  </si>
  <si>
    <t>SFMA GL balance 0070 324000-72  3242</t>
  </si>
  <si>
    <t>SFMA GL balance 0586 324000-72  3242</t>
  </si>
  <si>
    <t>SFMA GL balance 1211 324000-72  3242</t>
  </si>
  <si>
    <t>SFMA GL balance 0060 324000-76  3242</t>
  </si>
  <si>
    <t>SFMA GL balance 0065 324000-76  3242</t>
  </si>
  <si>
    <t>SFMA GL balance 0070 324000-76  3242</t>
  </si>
  <si>
    <t>SFMA GL balance 0586 324000-76  3242</t>
  </si>
  <si>
    <t>SFMA GL balance 1211 324000-76  3242</t>
  </si>
  <si>
    <t>SFMA GL balance 0060 324000-77  3242</t>
  </si>
  <si>
    <t>SFMA GL balance 0065 324000-77  3242</t>
  </si>
  <si>
    <t>SFMA GL balance 0070 324000-77  3242</t>
  </si>
  <si>
    <t>SFMA GL balance 0586 324000-77  3242</t>
  </si>
  <si>
    <t>SFMA GL balance 1211 324000-77  3242</t>
  </si>
  <si>
    <t>SFMA GL balance 0060 324000-79  3242</t>
  </si>
  <si>
    <t>SFMA GL balance 0065 324000-79  3242</t>
  </si>
  <si>
    <t>SFMA GL balance 0070 324000-79  3242</t>
  </si>
  <si>
    <t>SFMA GL balance 0586 324000-79  3242</t>
  </si>
  <si>
    <t>SFMA GL balance 1211 324000-79  3242</t>
  </si>
  <si>
    <t>SFMA GL balance 0060 324000-80  3242</t>
  </si>
  <si>
    <t>SFMA GL balance 0065 324000-80  3242</t>
  </si>
  <si>
    <t>SFMA GL balance 0070 324000-80  3242</t>
  </si>
  <si>
    <t>SFMA GL balance 0586 324000-80  3242</t>
  </si>
  <si>
    <t>SFMA GL balance 1211 324000-80  3242</t>
  </si>
  <si>
    <t>SFMA GL balance 0060 324000-82  3242</t>
  </si>
  <si>
    <t>SFMA GL balance 0065 324000-82  3242</t>
  </si>
  <si>
    <t>SFMA GL balance 0070 324000-82  3242</t>
  </si>
  <si>
    <t>SFMA GL balance 0586 324000-82  3242</t>
  </si>
  <si>
    <t>SFMA GL balance 1211 324000-82  3242</t>
  </si>
  <si>
    <t>SFMA GL balance 0060 324000-83  3242</t>
  </si>
  <si>
    <t>SFMA GL balance 0065 324000-83  3242</t>
  </si>
  <si>
    <t>SFMA GL balance 0070 324000-83  3242</t>
  </si>
  <si>
    <t>SFMA GL balance 0586 324000-83  3242</t>
  </si>
  <si>
    <t>SFMA GL balance 1211 324000-83  3242</t>
  </si>
  <si>
    <t>SFMA GL balance 0060 324000-84  3242</t>
  </si>
  <si>
    <t>SFMA GL balance 0065 324000-84  3242</t>
  </si>
  <si>
    <t>SFMA GL balance 0070 324000-84  3242</t>
  </si>
  <si>
    <t>SFMA GL balance 0586 324000-84  3242</t>
  </si>
  <si>
    <t>SFMA GL balance 1211 324000-84  3242</t>
  </si>
  <si>
    <t>SFMA GL balance 0060 324000-86  3242</t>
  </si>
  <si>
    <t>SFMA GL balance 0065 324000-86  3242</t>
  </si>
  <si>
    <t>SFMA GL balance 0070 324000-86  3242</t>
  </si>
  <si>
    <t>SFMA GL balance 0586 324000-86  3242</t>
  </si>
  <si>
    <t>SFMA GL balance 1211 324000-86  3242</t>
  </si>
  <si>
    <t>SFMA GL balance 0060 324000-89  3242</t>
  </si>
  <si>
    <t>SFMA GL balance 0065 324000-89  3242</t>
  </si>
  <si>
    <t>SFMA GL balance 0070 324000-89  3242</t>
  </si>
  <si>
    <t>SFMA GL balance 0586 324000-89  3242</t>
  </si>
  <si>
    <t>SFMA GL balance 1211 324000-89  3242</t>
  </si>
  <si>
    <t>SFMA GL balance 0060 324000-96  3242</t>
  </si>
  <si>
    <t>SFMA GL balance 0065 324000-96  3242</t>
  </si>
  <si>
    <t>SFMA GL balance 0070 324000-96  3242</t>
  </si>
  <si>
    <t>SFMA GL balance 0586 324000-96  3242</t>
  </si>
  <si>
    <t>SFMA GL balance 1211 324000-96  3242</t>
  </si>
  <si>
    <t>SFMA GL balance 0060 324000-97  3242</t>
  </si>
  <si>
    <t>SFMA GL balance 0065 324000-97  3242</t>
  </si>
  <si>
    <t>SFMA GL balance 0070 324000-97  3242</t>
  </si>
  <si>
    <t>SFMA GL balance 0586 324000-97  3242</t>
  </si>
  <si>
    <t>SFMA GL balance 1211 324000-97  3242</t>
  </si>
  <si>
    <t>OEA</t>
  </si>
  <si>
    <t>0142</t>
  </si>
  <si>
    <t>Low Income Energy Assistance</t>
  </si>
  <si>
    <t>Low Income Bill Payment Assistance</t>
  </si>
  <si>
    <t>KLCAS</t>
  </si>
  <si>
    <t>CCSSD - PGE</t>
  </si>
  <si>
    <t>CAT - PGE</t>
  </si>
  <si>
    <t>ORCCA - PC</t>
  </si>
  <si>
    <t>UCAN - PC</t>
  </si>
  <si>
    <t>ACCESS - PC</t>
  </si>
  <si>
    <t>NIMPACT - PC</t>
  </si>
  <si>
    <t>KLCAS - PC</t>
  </si>
  <si>
    <t>LCHHS - PC</t>
  </si>
  <si>
    <t>CSC - PC</t>
  </si>
  <si>
    <t>MULTCO - PC</t>
  </si>
  <si>
    <t>MWVCAA - PC</t>
  </si>
  <si>
    <t>CAT - PC</t>
  </si>
  <si>
    <t>CAPECO - PC</t>
  </si>
  <si>
    <t>CCN - PC</t>
  </si>
  <si>
    <t>MCCAC - PC</t>
  </si>
  <si>
    <t>CAO - PGE</t>
  </si>
  <si>
    <t>YCAP - PGE</t>
  </si>
  <si>
    <t>MCCAC - PGE</t>
  </si>
  <si>
    <t>MULTCO - PGE</t>
  </si>
  <si>
    <t>MWVCAA - PGE</t>
  </si>
  <si>
    <t xml:space="preserve">NIMPACT </t>
  </si>
  <si>
    <t>Program Delivery</t>
  </si>
  <si>
    <t>Client Vendor</t>
  </si>
  <si>
    <t xml:space="preserve">Administration  </t>
  </si>
  <si>
    <t>PGE</t>
  </si>
  <si>
    <t>PC</t>
  </si>
  <si>
    <t>Transfers</t>
  </si>
  <si>
    <t>SFMA GL balance 0065 324000-99  3242</t>
  </si>
  <si>
    <t>SFMA GL balance 0070 324000-98  3242</t>
  </si>
  <si>
    <t>Vouchers Payable  (GL1211)</t>
  </si>
  <si>
    <t>CAPO</t>
  </si>
  <si>
    <t>Allocation</t>
  </si>
  <si>
    <t>Remaining</t>
  </si>
  <si>
    <t xml:space="preserve">Grand Total PC </t>
  </si>
  <si>
    <t>Grand Total PGE</t>
  </si>
  <si>
    <t>PROGRAM STATEMENT</t>
  </si>
  <si>
    <t>OREGON ENERGY ASSISTANCE (OEA)</t>
  </si>
  <si>
    <t>Revenues</t>
  </si>
  <si>
    <t>OHCS Admin</t>
  </si>
  <si>
    <t>Subs Admin</t>
  </si>
  <si>
    <t>Subs Program Delivery</t>
  </si>
  <si>
    <t>Subs Client Vendor</t>
  </si>
  <si>
    <t>ALL OTHER DIFFERENTIAL</t>
  </si>
  <si>
    <t>ATTORNEY GENERAL LEGAL FEES</t>
  </si>
  <si>
    <t>CLEARING ACCOUNT (TOTAL SHOULD BE ZERO)</t>
  </si>
  <si>
    <t>EMPLOYEE RELATIONS BOARD ASSESSMENTS</t>
  </si>
  <si>
    <t>EXPENDABLE PROPERTY NON-IT $250-$5000</t>
  </si>
  <si>
    <t>INSTATE GROUND TRANSPORTATION</t>
  </si>
  <si>
    <t>INSTATE LODGING</t>
  </si>
  <si>
    <t>INSTATE MEALS WITH OVERNIGHT STAY</t>
  </si>
  <si>
    <t>INSTATE TRAVEL MISCELLANEOUS EXPENSES</t>
  </si>
  <si>
    <t>MASS TRANSIT TAX</t>
  </si>
  <si>
    <t>OFFICE SERVICES</t>
  </si>
  <si>
    <t>OUT OF STATE LODGING</t>
  </si>
  <si>
    <t>OUT-OF-STATE GROUND TRANSPORTATION</t>
  </si>
  <si>
    <t>OUT-OF-STATE TRAVEL MISC EXPENSE</t>
  </si>
  <si>
    <t>PAYROLL ALLOCATION: BENEFITS</t>
  </si>
  <si>
    <t>PAYROLL ALLOCATION: OVERTIME</t>
  </si>
  <si>
    <t>PAYROLL ALLOCATION: SALARY</t>
  </si>
  <si>
    <t>PENSION BOND ASSESSMENT</t>
  </si>
  <si>
    <t>PROFESSIONAL SERVICES NON-IT</t>
  </si>
  <si>
    <t>PUBLIC EMPLOYEE RETIREMENT CONTRIBUTION</t>
  </si>
  <si>
    <t>S&amp;S ALLOCATION: AGY PGM RELATED EXPENSES</t>
  </si>
  <si>
    <t>S&amp;S ALLOCATION: DUES &amp; SUBSCRIPTIONS</t>
  </si>
  <si>
    <t>S&amp;S ALLOCATION: EMPLOYEE TRAINING</t>
  </si>
  <si>
    <t>S&amp;S ALLOCATION: INSTATE TRAVEL</t>
  </si>
  <si>
    <t>S&amp;S ALLOCATION: IT EXPENDABLE PROPERTY</t>
  </si>
  <si>
    <t>S&amp;S ALLOCATION: IT PROFESSIONAL SERVICES</t>
  </si>
  <si>
    <t>S&amp;S ALLOCATION: OFFICE EXPENSES</t>
  </si>
  <si>
    <t>S&amp;S ALLOCATION: OTHER SERVICES &amp; SUPPLY</t>
  </si>
  <si>
    <t>S&amp;S ALLOCATION: OUT-OF-STATE TRAVEL</t>
  </si>
  <si>
    <t>S&amp;S ALLOCATION: RENT</t>
  </si>
  <si>
    <t>S&amp;S ALLOCATION: TELECOM/TECH SVCS&amp;SUPPLY</t>
  </si>
  <si>
    <t>SOCIAL SECURITY TAXES</t>
  </si>
  <si>
    <t>STATE GOVERNMENT SERVICE CHARGE</t>
  </si>
  <si>
    <t>TEMPORARY EMPLOYEES</t>
  </si>
  <si>
    <t>WORKERS' COMPENSATION ASSESSMENTS</t>
  </si>
  <si>
    <t>COMMUNITY ACTION PARTNERSHIP OF OREGON</t>
  </si>
  <si>
    <t>ACCESS INC</t>
  </si>
  <si>
    <t>COMMUNITY ACTION ORGANIZATION</t>
  </si>
  <si>
    <t>COMMUNITY ACTION PROGRAM EAST CENTRAL OREGON</t>
  </si>
  <si>
    <t>COMMUNITY ACTION TEAM INC</t>
  </si>
  <si>
    <t>COMMUNITY CONNECTION OF NE OREGON INC</t>
  </si>
  <si>
    <t>COMMUNITY SERVICES CONSORTIUM</t>
  </si>
  <si>
    <t>COUNTY OF CLACKAMAS</t>
  </si>
  <si>
    <t>COUNTY OF LANE</t>
  </si>
  <si>
    <t>COUNTY OF MULTNOMAH</t>
  </si>
  <si>
    <t>KLAMATH/LAKE COMMUNITY ACTION SERVICES</t>
  </si>
  <si>
    <t>MID COLUMBIA COMMUNITY ACTION COUNCIL</t>
  </si>
  <si>
    <t>MID WILLAMETTE VALLEY COMMUNITY ACTION AGENCY INC</t>
  </si>
  <si>
    <t>NEIGHBORIMPACT</t>
  </si>
  <si>
    <t>OREGON COAST COMMUNITY ACTION</t>
  </si>
  <si>
    <t>UNITED COMMUNITY ACTION NETWORK</t>
  </si>
  <si>
    <t>YAMHILL COMMUNITY ACTION PARTNERSHIP INC</t>
  </si>
  <si>
    <t>Total Cash Available Actual/Projected</t>
  </si>
  <si>
    <t>GRANT MANAGEMENT REPORT</t>
  </si>
  <si>
    <t>HCS ADMIN</t>
  </si>
  <si>
    <t>BALANCE TO ALLOCATE</t>
  </si>
  <si>
    <t>BALANCE TO EXPEND</t>
  </si>
  <si>
    <t>LOW INCOME BILL PAYMENT ASSISTANCE (OEA)</t>
  </si>
  <si>
    <t>Cash Flow for Biennium 2015-17</t>
  </si>
  <si>
    <t>2015-17</t>
  </si>
  <si>
    <t>7/1/15 to</t>
  </si>
  <si>
    <t>06/30/17</t>
  </si>
  <si>
    <t>Starting Balance - July 1, 2015</t>
  </si>
  <si>
    <t>OHCS Projections</t>
  </si>
  <si>
    <t>Subs Projections</t>
  </si>
  <si>
    <t>Cash Flow for Biennium 2017-19</t>
  </si>
  <si>
    <t>REVENUE PGE</t>
  </si>
  <si>
    <t>INTEREST INCOME</t>
  </si>
  <si>
    <t xml:space="preserve">  TOTAL</t>
  </si>
  <si>
    <t>Revenues:</t>
  </si>
  <si>
    <t xml:space="preserve">Pacific Power </t>
  </si>
  <si>
    <t xml:space="preserve">Treasury Interest </t>
  </si>
  <si>
    <t xml:space="preserve">CLACKAMAS </t>
  </si>
  <si>
    <t xml:space="preserve">COLUMBIA </t>
  </si>
  <si>
    <t>WASHINGTON</t>
  </si>
  <si>
    <t>YAMHILL</t>
  </si>
  <si>
    <t>HOOD RIVER</t>
  </si>
  <si>
    <t>MULTNOMAH</t>
  </si>
  <si>
    <t>MARION,</t>
  </si>
  <si>
    <t>POLK</t>
  </si>
  <si>
    <t>COOS</t>
  </si>
  <si>
    <t>DOUGLAS,</t>
  </si>
  <si>
    <t>JOSEPHINE</t>
  </si>
  <si>
    <t>JACKSON</t>
  </si>
  <si>
    <t>DESCHUTES,</t>
  </si>
  <si>
    <t>JEFFERSON, CROOK</t>
  </si>
  <si>
    <t>KLAMATH,</t>
  </si>
  <si>
    <t>LAKE</t>
  </si>
  <si>
    <t>LANE</t>
  </si>
  <si>
    <t>BENTON, LINN,</t>
  </si>
  <si>
    <t>LINCOLN</t>
  </si>
  <si>
    <t>CLATSOP,</t>
  </si>
  <si>
    <t>TILLAMOOK</t>
  </si>
  <si>
    <t>WALLOWA</t>
  </si>
  <si>
    <t>HOOD RIVER,</t>
  </si>
  <si>
    <t>SHERMAN, WASCO</t>
  </si>
  <si>
    <t>GILLIAM, MORROW,</t>
  </si>
  <si>
    <t>UMATILLA</t>
  </si>
  <si>
    <t>BI 15</t>
  </si>
  <si>
    <t>ACCESS - Jackson</t>
  </si>
  <si>
    <t>CAPECO - Gilliam, Morrow, Umatilla</t>
  </si>
  <si>
    <t>CAT - Clatsop, Tillamook</t>
  </si>
  <si>
    <t>CCN - Wallowa</t>
  </si>
  <si>
    <t>CSC - Benton, Linn, Lincoln</t>
  </si>
  <si>
    <t>KLCAS - Klamath, Lake</t>
  </si>
  <si>
    <t>LCHHS - Lane</t>
  </si>
  <si>
    <t>MCCAC - Hood River, Sherman, Wasco</t>
  </si>
  <si>
    <t>MULTCO - Multnomah</t>
  </si>
  <si>
    <t>MWVCAA - Marion, Polk</t>
  </si>
  <si>
    <t>NIMPACT - Crook, Deschutes, Jefferson</t>
  </si>
  <si>
    <t>ORCCA - Coos</t>
  </si>
  <si>
    <t>UCAN - Douglas, Josephine</t>
  </si>
  <si>
    <t>CAO - Washington</t>
  </si>
  <si>
    <t>CAT - Columbia</t>
  </si>
  <si>
    <t>CCSSD - Clackamas</t>
  </si>
  <si>
    <t>MCCAC - Hood River</t>
  </si>
  <si>
    <t>YCAP - Yamhill</t>
  </si>
  <si>
    <t>BI 17</t>
  </si>
  <si>
    <t>FACILITIES MAINTENANCE</t>
  </si>
  <si>
    <t>Updated cew 10/21/15</t>
  </si>
  <si>
    <t>Obligations 06/30/15</t>
  </si>
  <si>
    <t>Grant:</t>
  </si>
  <si>
    <t>OEA 13 ADMIN</t>
  </si>
  <si>
    <t>Category:</t>
  </si>
  <si>
    <t>Agency</t>
  </si>
  <si>
    <t>Grant Expenditure</t>
  </si>
  <si>
    <t>OHCS Paid</t>
  </si>
  <si>
    <r>
      <t>Remainin</t>
    </r>
    <r>
      <rPr>
        <b/>
        <sz val="9"/>
        <rFont val="Arial"/>
        <family val="2"/>
      </rPr>
      <t>g</t>
    </r>
  </si>
  <si>
    <t>Expended</t>
  </si>
  <si>
    <t>Cash</t>
  </si>
  <si>
    <t>%</t>
  </si>
  <si>
    <t>Period</t>
  </si>
  <si>
    <t>NOA</t>
  </si>
  <si>
    <t>To Date</t>
  </si>
  <si>
    <t>Balance</t>
  </si>
  <si>
    <t>07/01/2013</t>
  </si>
  <si>
    <t>-</t>
  </si>
  <si>
    <t>09/30/2013</t>
  </si>
  <si>
    <t>Total OEA 13 ADMIN:</t>
  </si>
  <si>
    <t>OEA 13 PC</t>
  </si>
  <si>
    <t>Direct Client-Vendor</t>
  </si>
  <si>
    <t>Total OEA 13 PC:</t>
  </si>
  <si>
    <t>OEA 13 PGE</t>
  </si>
  <si>
    <t>Total OEA 13 PGE:</t>
  </si>
  <si>
    <t>OEA 14 ADMIN</t>
  </si>
  <si>
    <t>10/01/2013</t>
  </si>
  <si>
    <t>09/30/2014</t>
  </si>
  <si>
    <t>Total OEA 14 ADMIN:</t>
  </si>
  <si>
    <t>OEA 14 PC</t>
  </si>
  <si>
    <t>Total OEA 14 PC:</t>
  </si>
  <si>
    <t>OEA 14 PGE</t>
  </si>
  <si>
    <t>Total OEA 14 PGE:</t>
  </si>
  <si>
    <t>OEA 15 ADMINf</t>
  </si>
  <si>
    <t>10/01/2014</t>
  </si>
  <si>
    <t>06/30/2015</t>
  </si>
  <si>
    <t>Total OEA 15 ADMINf:</t>
  </si>
  <si>
    <t>OEA 15 PCf</t>
  </si>
  <si>
    <t>Total OEA 15 PCf:</t>
  </si>
  <si>
    <t>OEA 15 PGEf</t>
  </si>
  <si>
    <t>Total OEA 15 PGEf:</t>
  </si>
  <si>
    <t>Obligations 06/30/13</t>
  </si>
  <si>
    <t xml:space="preserve">BI- 13  </t>
  </si>
  <si>
    <t>OEA 11 PC</t>
  </si>
  <si>
    <t>07/01/2011</t>
  </si>
  <si>
    <t>09/30/2011</t>
  </si>
  <si>
    <t>Total OEA 11 PC:</t>
  </si>
  <si>
    <t>OEA 11 PC E2C2</t>
  </si>
  <si>
    <t>Admin Multi-Source</t>
  </si>
  <si>
    <t>Program Multi-Source</t>
  </si>
  <si>
    <t>Total OEA 11 PC E2C2:</t>
  </si>
  <si>
    <t>OEA 11 PGE</t>
  </si>
  <si>
    <t>Total OEA 11 PGE:</t>
  </si>
  <si>
    <t>OEA 12 ADMIN</t>
  </si>
  <si>
    <t>06/30/2012</t>
  </si>
  <si>
    <t>Total OEA 12 ADMIN:</t>
  </si>
  <si>
    <t>OEA 12 PC</t>
  </si>
  <si>
    <t>10/01/2011</t>
  </si>
  <si>
    <t>09/30/2012</t>
  </si>
  <si>
    <t>Total OEA 12 PC:</t>
  </si>
  <si>
    <t>OEA 12 PGE</t>
  </si>
  <si>
    <t>Total OEA 12 PGE:</t>
  </si>
  <si>
    <t>OEA 13 ADMINa</t>
  </si>
  <si>
    <t>07/01/2012</t>
  </si>
  <si>
    <t>06/30/2013</t>
  </si>
  <si>
    <t>Total OEA 13 ADMINa:</t>
  </si>
  <si>
    <t>OEA 13 PCa</t>
  </si>
  <si>
    <t>10/01/2012</t>
  </si>
  <si>
    <t>Total OEA 13 PCa:</t>
  </si>
  <si>
    <t>OEA 13 PGEa</t>
  </si>
  <si>
    <t>Total OEA 13 PGEa:</t>
  </si>
  <si>
    <t>Starting Balance - July 1, 2013</t>
  </si>
  <si>
    <t>Cash Balance at June 30, 2015</t>
  </si>
  <si>
    <t>HS Allocated but not Expended at 6/30/15 BI 15</t>
  </si>
  <si>
    <t>HS Allocated but not Expended at 6/30/15 BI 17</t>
  </si>
  <si>
    <t>Unobligated Cash Available as of 6/30/15</t>
  </si>
  <si>
    <t>Starting Balance - July 1, 2011</t>
  </si>
  <si>
    <t>Cash Balance at June 30, 2013</t>
  </si>
  <si>
    <t>HS Allocated but not Expended at 6/30/13 BI 13</t>
  </si>
  <si>
    <t xml:space="preserve">HS Allocated but not Expended at 6/30/13 BI  </t>
  </si>
  <si>
    <t>HS Allocated but not Expended at 6/30/11 BI 11</t>
  </si>
  <si>
    <t xml:space="preserve">HS Allocated but not Expended at 6/30/11 BI  </t>
  </si>
  <si>
    <t>Starting Balance - July 1, 2009</t>
  </si>
  <si>
    <t>Cash Balance at October 31, 2015</t>
  </si>
  <si>
    <t>HS Allocated but not Expended at 10/31/15 BI 15</t>
  </si>
  <si>
    <t>HS Allocated but not Expended at 10/31/15 BI 17</t>
  </si>
  <si>
    <t>Unobligated Cash Available as of 10/31/15</t>
  </si>
  <si>
    <t>Actual Revenue and Expenditure through 10/31/15 with Obligations</t>
  </si>
  <si>
    <t xml:space="preserve">July 1, 2015 through October 31, 2015 </t>
  </si>
  <si>
    <t>Updated cew 11/23/15</t>
  </si>
  <si>
    <t>FY 2016</t>
  </si>
  <si>
    <t>FY 2017</t>
  </si>
  <si>
    <t>MEDICAL, DENTAL, LIFE INSURANCE</t>
  </si>
  <si>
    <t>REGULAR EMPLOYEES</t>
  </si>
  <si>
    <t>Program Statement</t>
  </si>
  <si>
    <t>Oregon Energy Assistance Program</t>
  </si>
  <si>
    <t>Funded through Low Income Bill Payment Assistance</t>
  </si>
  <si>
    <t>PAC</t>
  </si>
  <si>
    <t>MARION, POLK</t>
  </si>
  <si>
    <t>DOUGLAS, JOSEPHINE</t>
  </si>
  <si>
    <t>DESCHUTES, JEFFERSON, CROOK</t>
  </si>
  <si>
    <t>KLAMATH, LAKE</t>
  </si>
  <si>
    <t>BENTON, LINN, LINCOLN</t>
  </si>
  <si>
    <t>CLATSOP, TILLAMOOK</t>
  </si>
  <si>
    <t>GILLIAM, MORROW, UMATILLA</t>
  </si>
  <si>
    <t>HOOD RIVER, SHERMAN, WASCO</t>
  </si>
  <si>
    <t>Miscellaneous Income</t>
  </si>
  <si>
    <t xml:space="preserve">Total Revenues </t>
  </si>
  <si>
    <t>Cash Balance at June 30, 2011</t>
  </si>
  <si>
    <t>Allocated but not Expended at June 30, 2011</t>
  </si>
  <si>
    <t>Unobligated Cash Balance at June 30, 2011</t>
  </si>
  <si>
    <t>Allocated but not Expended at June 30, 2013</t>
  </si>
  <si>
    <t>Unobligated Cash Balance at June 30, 2013</t>
  </si>
  <si>
    <t xml:space="preserve">Miscellaneous Income </t>
  </si>
  <si>
    <t>Allocated but not Expended at June 30, 2015</t>
  </si>
  <si>
    <t>Unobligated Cash Balance at June 30, 2015</t>
  </si>
  <si>
    <t>TRANSFERS</t>
  </si>
  <si>
    <t>S&amp;S ALLOCATION: EMPLOYEE RECRUITMENT</t>
  </si>
  <si>
    <t>SFMA</t>
  </si>
  <si>
    <t>Variance</t>
  </si>
  <si>
    <t>Obligations 01/31/16</t>
  </si>
  <si>
    <t>UCAN 60</t>
  </si>
  <si>
    <t>NIMPACT 66</t>
  </si>
  <si>
    <t>LAKE 68</t>
  </si>
  <si>
    <t>CSC 72</t>
  </si>
  <si>
    <t>POLK 77</t>
  </si>
  <si>
    <t>UMATILLA  80</t>
  </si>
  <si>
    <t>MCCAC  83</t>
  </si>
  <si>
    <t>POLK  97</t>
  </si>
  <si>
    <t>REVENUE PAC</t>
  </si>
  <si>
    <t>OFFICE SUPPLIES</t>
  </si>
  <si>
    <t>S&amp;S ALLOCATION: PUBLICITY &amp; PUBLICATIONS</t>
  </si>
  <si>
    <t>TOTAL GRANT/REVENUE AVAILABLE</t>
  </si>
  <si>
    <t>Allocated but not Disbursed</t>
  </si>
  <si>
    <t>% OF ADMIN EXPENDED TO DATE</t>
  </si>
  <si>
    <t>% OF BALANCE AVAILABLE TO EXPEND</t>
  </si>
  <si>
    <t>ALLOCATED BUT NOT EXPENDED</t>
  </si>
  <si>
    <t>Rules &amp; Comments</t>
  </si>
  <si>
    <t>Funds used to provide energy assistance benefits and services to eligible households, including homeowners and renters, whose utility cost is included in their rent on an undifferentiated basis, with an income at or below 60 percent of the Oregon median income</t>
  </si>
  <si>
    <t>Allocation Methodology:</t>
  </si>
  <si>
    <t>Monthly allocations based on receipts/revenue. Funds are allocated proportionately based on subgrantee service territory and receipts.</t>
  </si>
  <si>
    <t>FUNDS EXPENDED TO DATE</t>
  </si>
  <si>
    <t>Funds are allocated to the CAA by service area (PGE or PAC)</t>
  </si>
  <si>
    <t xml:space="preserve">Revenue collected monthly from fees collected from PGE &amp; PAC customer utility bills  </t>
  </si>
  <si>
    <t>Allocated through the MGA to CAAs by service area where funds are generated</t>
  </si>
  <si>
    <t>Updated cew 05/16/16</t>
  </si>
  <si>
    <t>PROF DEV OUT-OF-STATE TUITION &amp; REGIST.</t>
  </si>
  <si>
    <t>OUT-OF-STATE MEALS WITH OVERNIGHT STAY</t>
  </si>
  <si>
    <t>COMPUTER TECHNOLOGY PERIPHERAL EQUIP&lt;$5K</t>
  </si>
  <si>
    <t>OHCS Admin - CAPO &amp; Meetings</t>
  </si>
  <si>
    <t>OPE (PAYROLL ALLOCATION ONLY: TOTAL = 0)</t>
  </si>
  <si>
    <t>SALARY+ (PAYROLL ALLOC ONLY: TOTAL = 0)</t>
  </si>
  <si>
    <t>Cash Balance at June 30, 2017</t>
  </si>
  <si>
    <t>HS Allocated but not Expended at 06/30/17 BI 15</t>
  </si>
  <si>
    <t>HS Allocated but not Expended at 06/30/17 BI 17</t>
  </si>
  <si>
    <t>Unobligated Cash Available as of 06/30/17</t>
  </si>
  <si>
    <t>Allocated but not Expended at June 30, 2017</t>
  </si>
  <si>
    <t>Unobligated Cash Balance at June 30, 2017</t>
  </si>
  <si>
    <t>6/30/17</t>
  </si>
  <si>
    <t>Updated cew 7/17/17</t>
  </si>
  <si>
    <t>OEA 17 ADMIN</t>
  </si>
  <si>
    <r>
      <t>Remainin</t>
    </r>
    <r>
      <rPr>
        <b/>
        <sz val="9"/>
        <rFont val="Arial"/>
        <family val="2"/>
      </rPr>
      <t>g</t>
    </r>
  </si>
  <si>
    <t>07/01/2017</t>
  </si>
  <si>
    <t>09/30/2017</t>
  </si>
  <si>
    <t>Total OEA 17 ADMIN:</t>
  </si>
  <si>
    <t>OEA 17 PC</t>
  </si>
  <si>
    <t>CCNO</t>
  </si>
  <si>
    <t>Total OEA 17 PC:</t>
  </si>
  <si>
    <t>OEA 17 PGE</t>
  </si>
  <si>
    <t>Total OEA 17 PGE:</t>
  </si>
  <si>
    <t>BI 19</t>
  </si>
  <si>
    <t>2017-19</t>
  </si>
  <si>
    <t>7/1/17 to</t>
  </si>
  <si>
    <t>06/30/19</t>
  </si>
  <si>
    <t>Biennium 15-17 Revenue recorded after June 30, 2017</t>
  </si>
  <si>
    <t>Starting Balance - July 1, 2017</t>
  </si>
  <si>
    <t>Biennium 15-17 Expenditures recorded after June 30, 2017</t>
  </si>
  <si>
    <t>Cash Balance as of July 1, 2017 (GL 0070 + 0065)</t>
  </si>
  <si>
    <t>Projected Through 6/30/19</t>
  </si>
  <si>
    <t>CASH BALANCE JULY 1, 2017</t>
  </si>
  <si>
    <t>Projected Cash Balance as of 06/30/19</t>
  </si>
  <si>
    <t>TELECOM/TELECONFERENCE EQUIPMENT &lt;$5000</t>
  </si>
  <si>
    <t>TELECOM/VOICE EQUIPMENT &lt;$5000</t>
  </si>
  <si>
    <r>
      <t xml:space="preserve">Grant Expenditure
</t>
    </r>
    <r>
      <rPr>
        <b/>
        <u val="single"/>
        <sz val="9"/>
        <rFont val="Arial"/>
        <family val="2"/>
      </rPr>
      <t>Period</t>
    </r>
  </si>
  <si>
    <r>
      <t xml:space="preserve">Total
</t>
    </r>
    <r>
      <rPr>
        <b/>
        <u val="single"/>
        <sz val="9"/>
        <rFont val="Arial"/>
        <family val="2"/>
      </rPr>
      <t>NOA</t>
    </r>
  </si>
  <si>
    <r>
      <t xml:space="preserve">OHCS Paid
</t>
    </r>
    <r>
      <rPr>
        <b/>
        <u val="single"/>
        <sz val="9"/>
        <rFont val="Arial"/>
        <family val="2"/>
      </rPr>
      <t>To Date</t>
    </r>
  </si>
  <si>
    <r>
      <t xml:space="preserve">Expended
</t>
    </r>
    <r>
      <rPr>
        <b/>
        <u val="single"/>
        <sz val="9"/>
        <rFont val="Arial"/>
        <family val="2"/>
      </rPr>
      <t>To Date</t>
    </r>
  </si>
  <si>
    <r>
      <t xml:space="preserve">Cash
</t>
    </r>
    <r>
      <rPr>
        <b/>
        <u val="single"/>
        <sz val="9"/>
        <rFont val="Arial"/>
        <family val="2"/>
      </rPr>
      <t>Balance</t>
    </r>
  </si>
  <si>
    <r>
      <t xml:space="preserve">%
</t>
    </r>
    <r>
      <rPr>
        <b/>
        <u val="single"/>
        <sz val="9"/>
        <rFont val="Arial"/>
        <family val="2"/>
      </rPr>
      <t>Expended</t>
    </r>
  </si>
  <si>
    <t>LCHSD</t>
  </si>
  <si>
    <t>PERS CONTRIBUTION - PICK-UP</t>
  </si>
  <si>
    <t>PERS CONTRIBUTION - RHIA</t>
  </si>
  <si>
    <t>PERS CONTRIBUTION - RHIPA</t>
  </si>
  <si>
    <t>S&amp;S ALLOCATION: COMPUTER TECHNOLOGY</t>
  </si>
  <si>
    <t>TELECOM/INSTALLATION SERVICES &gt; $5000</t>
  </si>
  <si>
    <t>Obligations 09/30/17</t>
  </si>
  <si>
    <t>OEA 18 ADMIN</t>
  </si>
  <si>
    <t>10/01/2017</t>
  </si>
  <si>
    <t>09/30/2018</t>
  </si>
  <si>
    <t>Total OEA 18 ADMIN:</t>
  </si>
  <si>
    <t>OEA 18 PC</t>
  </si>
  <si>
    <t>Total OEA 18 PC:</t>
  </si>
  <si>
    <t>OEA 18 PGE</t>
  </si>
  <si>
    <t>Total OEA 18 PGE:</t>
  </si>
  <si>
    <t>INSTATE MILEAGE REIMBURSEMENT-FULL RATE</t>
  </si>
  <si>
    <t>OTHER SUPPLIES</t>
  </si>
  <si>
    <t>OUT-OF-STATE AIR TRANSPORTATION</t>
  </si>
  <si>
    <t>OUT-OF-STATE MILEAGE REIMBRSMT-FULL RATE</t>
  </si>
  <si>
    <t xml:space="preserve">OHCS Admin  </t>
  </si>
  <si>
    <t>Obligations 02/28/18</t>
  </si>
  <si>
    <t>Updated cew 04/10/18</t>
  </si>
  <si>
    <t>Cash Balance at March 31, 2018</t>
  </si>
  <si>
    <t>HS Allocated but not Expended at 03/31/18 BI 17</t>
  </si>
  <si>
    <t>HS Allocated but not Expended at 03/31/18 BI 19</t>
  </si>
  <si>
    <t>Unobligated Cash Available as of 03/31/18</t>
  </si>
  <si>
    <t>Actual Revenue and Expenditure through 03/31/18 with Obligations</t>
  </si>
  <si>
    <t>July 1, 2009 through March 31, 2018</t>
  </si>
  <si>
    <t>Allocated but not Expended at March 31, 2018</t>
  </si>
  <si>
    <t>Unobligated Cash Balance at March 31, 2018</t>
  </si>
  <si>
    <t xml:space="preserve">July 1, 2009 through March 31, 2018 </t>
  </si>
  <si>
    <t xml:space="preserve">JULY 1, 2017 THROUGH MARCH 31, 2018 </t>
  </si>
  <si>
    <t>03/31/18</t>
  </si>
  <si>
    <t>04/1/18</t>
  </si>
  <si>
    <t>AS OF MARCH 31, 2018</t>
  </si>
  <si>
    <t>Actuals   7/1/17 thru 03/31/18</t>
  </si>
  <si>
    <t>Total Cash Available at 03/31/18</t>
  </si>
  <si>
    <t>Unallocated Cash Available at 03/31/18</t>
  </si>
  <si>
    <t>EMPLOYEE RECRUIT,WELLNESS,SAFETY,AWARDS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</si>
</sst>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00"/>
  </numFmts>
  <fonts count="71">
    <font>
      <sz val="8"/>
      <name val="MS Sans Serif"/>
      <family val="0"/>
    </font>
    <font>
      <sz val="8"/>
      <color indexed="8"/>
      <name val="Arial"/>
      <family val="2"/>
    </font>
    <font>
      <sz val="10"/>
      <name val="Arial"/>
      <family val="2"/>
    </font>
    <font>
      <b/>
      <sz val="18"/>
      <name val="Arial"/>
      <family val="2"/>
    </font>
    <font>
      <b/>
      <sz val="12"/>
      <name val="Arial"/>
      <family val="2"/>
    </font>
    <font>
      <sz val="12"/>
      <name val="Arial"/>
      <family val="2"/>
    </font>
    <font>
      <sz val="12"/>
      <color indexed="8"/>
      <name val="Arial"/>
      <family val="2"/>
    </font>
    <font>
      <sz val="9"/>
      <name val="Arial"/>
      <family val="2"/>
    </font>
    <font>
      <b/>
      <sz val="10"/>
      <name val="Arial"/>
      <family val="2"/>
    </font>
    <font>
      <b/>
      <u val="single"/>
      <sz val="10"/>
      <name val="Arial"/>
      <family val="2"/>
    </font>
    <font>
      <sz val="8"/>
      <name val="Arial"/>
      <family val="2"/>
    </font>
    <font>
      <sz val="12"/>
      <color indexed="55"/>
      <name val="Arial"/>
      <family val="2"/>
    </font>
    <font>
      <sz val="10"/>
      <name val="MS Sans Serif"/>
      <family val="2"/>
    </font>
    <font>
      <b/>
      <sz val="10"/>
      <name val="MS Sans Serif"/>
      <family val="2"/>
    </font>
    <font>
      <b/>
      <sz val="9"/>
      <name val="Arial"/>
      <family val="2"/>
    </font>
    <font>
      <sz val="9"/>
      <name val="Microsoft Sans Serif"/>
      <family val="2"/>
    </font>
    <font>
      <b/>
      <sz val="8"/>
      <color indexed="10"/>
      <name val="MS Sans Serif"/>
      <family val="2"/>
    </font>
    <font>
      <sz val="8"/>
      <color indexed="10"/>
      <name val="MS Sans Serif"/>
      <family val="2"/>
    </font>
    <font>
      <b/>
      <sz val="8"/>
      <name val="Arial"/>
      <family val="2"/>
    </font>
    <font>
      <i/>
      <sz val="8"/>
      <name val="Arial"/>
      <family val="2"/>
    </font>
    <font>
      <sz val="12"/>
      <color indexed="10"/>
      <name val="Arial"/>
      <family val="2"/>
    </font>
    <font>
      <b/>
      <sz val="12"/>
      <name val="MS Sans Serif"/>
      <family val="2"/>
    </font>
    <font>
      <sz val="9"/>
      <name val="Tahoma"/>
      <family val="2"/>
    </font>
    <font>
      <b/>
      <sz val="9"/>
      <name val="Tahoma"/>
      <family val="2"/>
    </font>
    <font>
      <b/>
      <sz val="8"/>
      <name val="MS Sans Serif"/>
      <family val="2"/>
    </font>
    <font>
      <b/>
      <sz val="7"/>
      <name val="MS Sans Serif"/>
      <family val="2"/>
    </font>
    <font>
      <b/>
      <u val="single"/>
      <sz val="9"/>
      <name val="Arial"/>
      <family val="2"/>
    </font>
    <font>
      <sz val="8"/>
      <color indexed="10"/>
      <name val="Arial"/>
      <family val="2"/>
    </font>
    <font>
      <b/>
      <sz val="7"/>
      <name val="Arial"/>
      <family val="2"/>
    </font>
    <font>
      <i/>
      <sz val="8"/>
      <name val="MS Sans Serif"/>
      <family val="2"/>
    </font>
    <font>
      <b/>
      <sz val="9"/>
      <name val="MS Sans Serif"/>
      <family val="2"/>
    </font>
    <font>
      <sz val="9"/>
      <name val="MS Sans Serif"/>
      <family val="2"/>
    </font>
    <font>
      <b/>
      <u val="single"/>
      <sz val="9"/>
      <color indexed="8"/>
      <name val="Arial"/>
      <family val="2"/>
    </font>
    <font>
      <sz val="9"/>
      <color indexed="8"/>
      <name val="Arial"/>
      <family val="2"/>
    </font>
    <font>
      <b/>
      <sz val="9"/>
      <color indexed="8"/>
      <name val="Arial"/>
      <family val="2"/>
    </font>
    <font>
      <b/>
      <sz val="8"/>
      <color indexed="8"/>
      <name val="Arial"/>
      <family val="2"/>
    </font>
    <font>
      <b/>
      <sz val="18"/>
      <color indexed="56"/>
      <name val="Cambria"/>
      <family val="2"/>
    </font>
    <font>
      <b/>
      <sz val="11"/>
      <color indexed="56"/>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i/>
      <sz val="8"/>
      <color indexed="23"/>
      <name val="Arial"/>
      <family val="2"/>
    </font>
    <font>
      <sz val="8"/>
      <color indexed="9"/>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sz val="8"/>
      <color rgb="FFFF0000"/>
      <name val="Arial"/>
      <family val="2"/>
    </font>
    <font>
      <sz val="12"/>
      <color theme="0" tint="-0.24997000396251678"/>
      <name val="Arial"/>
      <family val="2"/>
    </font>
    <font>
      <b/>
      <sz val="8"/>
      <color rgb="FFFF0000"/>
      <name val="MS Sans Serif"/>
      <family val="2"/>
    </font>
    <font>
      <sz val="8"/>
      <color rgb="FFFF0000"/>
      <name val="MS Sans Serif"/>
      <family val="2"/>
    </font>
    <font>
      <sz val="12"/>
      <color rgb="FFFF0000"/>
      <name val="Arial"/>
      <family val="2"/>
    </font>
    <font>
      <b/>
      <sz val="9"/>
      <color rgb="FF000000"/>
      <name val="Arial"/>
      <family val="2"/>
    </font>
    <font>
      <sz val="8"/>
      <color rgb="FF000000"/>
      <name val="Arial"/>
      <family val="2"/>
    </font>
    <font>
      <b/>
      <sz val="8"/>
      <color rgb="FF000000"/>
      <name val="Arial"/>
      <family val="2"/>
    </font>
    <font>
      <sz val="9"/>
      <color rgb="FF000000"/>
      <name val="Arial"/>
      <family val="2"/>
    </font>
    <font>
      <b/>
      <u val="single"/>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CFFCC"/>
        <bgColor indexed="64"/>
      </patternFill>
    </fill>
    <fill>
      <patternFill patternType="solid">
        <fgColor rgb="FFFFFF99"/>
        <bgColor indexed="64"/>
      </patternFill>
    </fill>
    <fill>
      <patternFill patternType="solid">
        <fgColor theme="3" tint="0.5999900102615356"/>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8"/>
      </top>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top style="thin"/>
      <bottom style="double"/>
    </border>
    <border>
      <left/>
      <right/>
      <top style="thin"/>
      <bottom style="medium"/>
    </border>
    <border>
      <left/>
      <right/>
      <top style="double"/>
      <bottom/>
    </border>
  </borders>
  <cellStyleXfs count="67">
    <xf numFmtId="0" fontId="0" fillId="0" borderId="0">
      <alignment vertical="top"/>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53" fillId="0" borderId="0" applyNumberFormat="0" applyFill="0" applyBorder="0" applyAlignment="0" applyProtection="0"/>
    <xf numFmtId="2" fontId="2" fillId="0" borderId="0" applyFont="0" applyFill="0" applyBorder="0" applyAlignment="0" applyProtection="0"/>
    <xf numFmtId="0" fontId="54"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4" applyNumberFormat="0" applyFill="0" applyAlignment="0" applyProtection="0"/>
    <xf numFmtId="0" fontId="58" fillId="31" borderId="0" applyNumberFormat="0" applyBorder="0" applyAlignment="0" applyProtection="0"/>
    <xf numFmtId="0" fontId="15" fillId="0" borderId="0">
      <alignment/>
      <protection/>
    </xf>
    <xf numFmtId="43" fontId="2" fillId="0" borderId="0" applyNumberFormat="0">
      <alignment vertical="top"/>
      <protection/>
    </xf>
    <xf numFmtId="0" fontId="0" fillId="32" borderId="5" applyNumberFormat="0" applyFont="0" applyAlignment="0" applyProtection="0"/>
    <xf numFmtId="0" fontId="59" fillId="27" borderId="6"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2" fillId="0" borderId="7" applyNumberFormat="0" applyFont="0" applyFill="0" applyAlignment="0" applyProtection="0"/>
    <xf numFmtId="0" fontId="61" fillId="0" borderId="0" applyNumberFormat="0" applyFill="0" applyBorder="0" applyAlignment="0" applyProtection="0"/>
  </cellStyleXfs>
  <cellXfs count="459">
    <xf numFmtId="0" fontId="0" fillId="0" borderId="0" xfId="0" applyAlignment="1">
      <alignment vertical="top"/>
    </xf>
    <xf numFmtId="0" fontId="5" fillId="0" borderId="0" xfId="0" applyFont="1" applyFill="1" applyAlignment="1">
      <alignment vertical="top"/>
    </xf>
    <xf numFmtId="0" fontId="5" fillId="0" borderId="0" xfId="0" applyNumberFormat="1" applyFont="1" applyAlignment="1">
      <alignment horizontal="left" vertical="top"/>
    </xf>
    <xf numFmtId="0" fontId="5" fillId="0" borderId="0" xfId="0" applyFont="1" applyAlignment="1">
      <alignment vertical="top"/>
    </xf>
    <xf numFmtId="0" fontId="4" fillId="0" borderId="0" xfId="0" applyNumberFormat="1" applyFont="1" applyAlignment="1">
      <alignment horizontal="left" vertical="top"/>
    </xf>
    <xf numFmtId="0" fontId="5" fillId="0" borderId="0" xfId="0" applyNumberFormat="1" applyFont="1" applyBorder="1" applyAlignment="1" quotePrefix="1">
      <alignment horizontal="center" vertical="top"/>
    </xf>
    <xf numFmtId="164" fontId="5" fillId="33" borderId="0" xfId="0" applyNumberFormat="1" applyFont="1" applyFill="1" applyBorder="1" applyAlignment="1">
      <alignment horizontal="right"/>
    </xf>
    <xf numFmtId="0" fontId="5" fillId="0" borderId="0" xfId="0" applyNumberFormat="1" applyFont="1" applyAlignment="1">
      <alignment vertical="top"/>
    </xf>
    <xf numFmtId="0" fontId="5" fillId="0" borderId="0" xfId="0" applyFont="1" applyBorder="1" applyAlignment="1">
      <alignment vertical="top"/>
    </xf>
    <xf numFmtId="37" fontId="5" fillId="0" borderId="0" xfId="0" applyNumberFormat="1" applyFont="1" applyBorder="1" applyAlignment="1">
      <alignment horizontal="right"/>
    </xf>
    <xf numFmtId="37" fontId="5" fillId="33" borderId="0" xfId="0" applyNumberFormat="1" applyFont="1" applyFill="1" applyBorder="1" applyAlignment="1">
      <alignment horizontal="right"/>
    </xf>
    <xf numFmtId="164" fontId="5" fillId="0" borderId="0" xfId="0" applyNumberFormat="1" applyFont="1" applyBorder="1" applyAlignment="1">
      <alignment horizontal="right"/>
    </xf>
    <xf numFmtId="37" fontId="6" fillId="0" borderId="0" xfId="0" applyNumberFormat="1" applyFont="1" applyBorder="1" applyAlignment="1">
      <alignment horizontal="right"/>
    </xf>
    <xf numFmtId="164" fontId="6" fillId="0" borderId="0" xfId="0" applyNumberFormat="1" applyFont="1" applyBorder="1" applyAlignment="1">
      <alignment horizontal="right"/>
    </xf>
    <xf numFmtId="37" fontId="5" fillId="33" borderId="8" xfId="0" applyNumberFormat="1" applyFont="1" applyFill="1" applyBorder="1" applyAlignment="1">
      <alignment horizontal="right"/>
    </xf>
    <xf numFmtId="0" fontId="4" fillId="0" borderId="0" xfId="0" applyFont="1" applyAlignment="1">
      <alignment vertical="top"/>
    </xf>
    <xf numFmtId="37" fontId="5" fillId="33" borderId="9" xfId="0" applyNumberFormat="1" applyFont="1" applyFill="1" applyBorder="1" applyAlignment="1">
      <alignment vertical="top"/>
    </xf>
    <xf numFmtId="37" fontId="6" fillId="33" borderId="0" xfId="0" applyNumberFormat="1" applyFont="1" applyFill="1" applyBorder="1" applyAlignment="1">
      <alignment horizontal="right"/>
    </xf>
    <xf numFmtId="37" fontId="5" fillId="0" borderId="0" xfId="0" applyNumberFormat="1" applyFont="1" applyAlignment="1">
      <alignment vertical="top"/>
    </xf>
    <xf numFmtId="37" fontId="5" fillId="0" borderId="0" xfId="0" applyNumberFormat="1" applyFont="1" applyFill="1" applyAlignment="1">
      <alignment vertical="top"/>
    </xf>
    <xf numFmtId="40" fontId="5" fillId="0" borderId="0" xfId="0" applyNumberFormat="1" applyFont="1" applyAlignment="1">
      <alignment vertical="top"/>
    </xf>
    <xf numFmtId="38" fontId="5" fillId="0" borderId="0" xfId="0" applyNumberFormat="1" applyFont="1" applyFill="1" applyAlignment="1">
      <alignment vertical="top"/>
    </xf>
    <xf numFmtId="0" fontId="7" fillId="0" borderId="0" xfId="0" applyNumberFormat="1" applyFont="1" applyAlignment="1">
      <alignment horizontal="left" vertical="top"/>
    </xf>
    <xf numFmtId="6" fontId="7" fillId="0" borderId="0" xfId="0" applyNumberFormat="1" applyFont="1" applyBorder="1" applyAlignment="1">
      <alignment vertical="top"/>
    </xf>
    <xf numFmtId="0" fontId="7" fillId="0" borderId="0" xfId="0" applyFont="1" applyAlignment="1">
      <alignment vertical="top"/>
    </xf>
    <xf numFmtId="0" fontId="7" fillId="0" borderId="0" xfId="0" applyFont="1" applyAlignment="1" quotePrefix="1">
      <alignment vertical="top"/>
    </xf>
    <xf numFmtId="0" fontId="8" fillId="0" borderId="0" xfId="0" applyFont="1" applyFill="1" applyAlignment="1">
      <alignment vertical="top"/>
    </xf>
    <xf numFmtId="0" fontId="8" fillId="0" borderId="0" xfId="0" applyNumberFormat="1" applyFont="1" applyAlignment="1">
      <alignment horizontal="left" vertical="top"/>
    </xf>
    <xf numFmtId="0" fontId="8" fillId="0" borderId="0" xfId="0" applyFont="1" applyAlignment="1">
      <alignment vertical="top"/>
    </xf>
    <xf numFmtId="17" fontId="8" fillId="0" borderId="0" xfId="0" applyNumberFormat="1" applyFont="1" applyAlignment="1">
      <alignment horizontal="center"/>
    </xf>
    <xf numFmtId="17" fontId="8" fillId="0" borderId="0" xfId="0" applyNumberFormat="1" applyFont="1" applyFill="1" applyAlignment="1">
      <alignment horizontal="center"/>
    </xf>
    <xf numFmtId="6" fontId="7" fillId="0" borderId="0" xfId="0" applyNumberFormat="1" applyFont="1" applyAlignment="1">
      <alignment vertical="center"/>
    </xf>
    <xf numFmtId="37" fontId="10" fillId="0" borderId="9" xfId="0" applyNumberFormat="1" applyFont="1" applyFill="1" applyBorder="1" applyAlignment="1">
      <alignment vertical="top"/>
    </xf>
    <xf numFmtId="49" fontId="5" fillId="0" borderId="0" xfId="0" applyNumberFormat="1" applyFont="1" applyAlignment="1">
      <alignment vertical="top"/>
    </xf>
    <xf numFmtId="49" fontId="5" fillId="0" borderId="0" xfId="0" applyNumberFormat="1" applyFont="1" applyBorder="1" applyAlignment="1">
      <alignment horizontal="center" vertical="top"/>
    </xf>
    <xf numFmtId="49" fontId="5" fillId="0" borderId="0" xfId="0" applyNumberFormat="1" applyFont="1" applyBorder="1" applyAlignment="1" quotePrefix="1">
      <alignment horizontal="center" vertical="top"/>
    </xf>
    <xf numFmtId="49" fontId="4" fillId="0" borderId="0" xfId="0" applyNumberFormat="1" applyFont="1" applyAlignment="1">
      <alignment vertical="top"/>
    </xf>
    <xf numFmtId="49" fontId="8" fillId="33" borderId="10"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0" xfId="0" applyNumberFormat="1" applyFont="1" applyFill="1" applyBorder="1" applyAlignment="1">
      <alignment horizontal="center" vertical="top"/>
    </xf>
    <xf numFmtId="49" fontId="8" fillId="33" borderId="13" xfId="0" applyNumberFormat="1" applyFont="1" applyFill="1" applyBorder="1" applyAlignment="1">
      <alignment horizontal="center" vertical="top"/>
    </xf>
    <xf numFmtId="49" fontId="8" fillId="33" borderId="8" xfId="0" applyNumberFormat="1" applyFont="1" applyFill="1" applyBorder="1" applyAlignment="1">
      <alignment horizontal="center" vertical="top"/>
    </xf>
    <xf numFmtId="39" fontId="62" fillId="0" borderId="0" xfId="0" applyNumberFormat="1" applyFont="1" applyFill="1" applyAlignment="1">
      <alignment vertical="top"/>
    </xf>
    <xf numFmtId="0" fontId="8" fillId="0" borderId="0" xfId="0" applyNumberFormat="1" applyFont="1" applyFill="1" applyAlignment="1">
      <alignment horizontal="left" vertical="top"/>
    </xf>
    <xf numFmtId="37" fontId="5" fillId="0" borderId="0" xfId="0" applyNumberFormat="1" applyFont="1" applyFill="1" applyBorder="1" applyAlignment="1">
      <alignment vertical="top"/>
    </xf>
    <xf numFmtId="37" fontId="5" fillId="0" borderId="0" xfId="42" applyNumberFormat="1" applyFont="1" applyFill="1" applyAlignment="1" applyProtection="1">
      <alignment vertical="top"/>
      <protection locked="0"/>
    </xf>
    <xf numFmtId="0" fontId="0" fillId="0" borderId="0" xfId="0" applyAlignment="1" applyProtection="1">
      <alignment/>
      <protection locked="0"/>
    </xf>
    <xf numFmtId="0" fontId="0" fillId="0" borderId="0" xfId="0" applyAlignment="1" applyProtection="1">
      <alignment/>
      <protection/>
    </xf>
    <xf numFmtId="164" fontId="8" fillId="34" borderId="0" xfId="0" applyNumberFormat="1" applyFont="1" applyFill="1" applyAlignment="1">
      <alignment horizontal="center"/>
    </xf>
    <xf numFmtId="17" fontId="9" fillId="34" borderId="0" xfId="0" applyNumberFormat="1" applyFont="1" applyFill="1" applyAlignment="1">
      <alignment horizontal="center"/>
    </xf>
    <xf numFmtId="0" fontId="5" fillId="34" borderId="0" xfId="0" applyNumberFormat="1" applyFont="1" applyFill="1" applyBorder="1" applyAlignment="1" quotePrefix="1">
      <alignment horizontal="center" vertical="top"/>
    </xf>
    <xf numFmtId="0" fontId="5" fillId="34" borderId="0" xfId="0" applyNumberFormat="1" applyFont="1" applyFill="1" applyAlignment="1">
      <alignment vertical="top"/>
    </xf>
    <xf numFmtId="37" fontId="5" fillId="34" borderId="0" xfId="0" applyNumberFormat="1" applyFont="1" applyFill="1" applyBorder="1" applyAlignment="1">
      <alignment vertical="top"/>
    </xf>
    <xf numFmtId="37" fontId="5" fillId="34" borderId="8" xfId="0" applyNumberFormat="1" applyFont="1" applyFill="1" applyBorder="1" applyAlignment="1">
      <alignment vertical="top"/>
    </xf>
    <xf numFmtId="37" fontId="5" fillId="34" borderId="0" xfId="0" applyNumberFormat="1" applyFont="1" applyFill="1" applyBorder="1" applyAlignment="1">
      <alignment horizontal="right"/>
    </xf>
    <xf numFmtId="37" fontId="5" fillId="34" borderId="9" xfId="0" applyNumberFormat="1" applyFont="1" applyFill="1" applyBorder="1" applyAlignment="1">
      <alignment vertical="top"/>
    </xf>
    <xf numFmtId="0" fontId="12" fillId="0" borderId="0" xfId="0" applyFont="1" applyFill="1" applyAlignment="1">
      <alignment vertical="top"/>
    </xf>
    <xf numFmtId="0" fontId="14" fillId="0" borderId="0" xfId="0" applyFont="1" applyFill="1" applyAlignment="1" quotePrefix="1">
      <alignment vertical="top"/>
    </xf>
    <xf numFmtId="40" fontId="12" fillId="0" borderId="0" xfId="42" applyNumberFormat="1" applyFont="1" applyFill="1" applyAlignment="1" applyProtection="1">
      <alignment vertical="top"/>
      <protection locked="0"/>
    </xf>
    <xf numFmtId="40" fontId="12" fillId="0" borderId="8" xfId="42" applyNumberFormat="1" applyFont="1" applyFill="1" applyBorder="1" applyAlignment="1" applyProtection="1">
      <alignment vertical="top"/>
      <protection locked="0"/>
    </xf>
    <xf numFmtId="40" fontId="12" fillId="0" borderId="0" xfId="42" applyNumberFormat="1" applyFont="1" applyAlignment="1" applyProtection="1">
      <alignment vertical="top"/>
      <protection locked="0"/>
    </xf>
    <xf numFmtId="40" fontId="12" fillId="0" borderId="0" xfId="0" applyNumberFormat="1" applyFont="1" applyAlignment="1">
      <alignment vertical="top"/>
    </xf>
    <xf numFmtId="0" fontId="12" fillId="0" borderId="0" xfId="0" applyFont="1" applyAlignment="1">
      <alignment vertical="top"/>
    </xf>
    <xf numFmtId="40" fontId="12" fillId="0" borderId="0" xfId="0" applyNumberFormat="1" applyFont="1" applyFill="1" applyBorder="1" applyAlignment="1">
      <alignment vertical="top"/>
    </xf>
    <xf numFmtId="0" fontId="12" fillId="0" borderId="0" xfId="0" applyFont="1" applyFill="1" applyBorder="1" applyAlignment="1">
      <alignment vertical="top"/>
    </xf>
    <xf numFmtId="8" fontId="13" fillId="0" borderId="0" xfId="0" applyNumberFormat="1" applyFont="1" applyAlignment="1">
      <alignment vertical="top"/>
    </xf>
    <xf numFmtId="0" fontId="14" fillId="0" borderId="0" xfId="0" applyFont="1" applyFill="1" applyAlignment="1">
      <alignment vertical="top"/>
    </xf>
    <xf numFmtId="0" fontId="8" fillId="0" borderId="0" xfId="0" applyFont="1" applyAlignment="1">
      <alignment horizontal="left"/>
    </xf>
    <xf numFmtId="0" fontId="12" fillId="0" borderId="0" xfId="0" applyFont="1" applyBorder="1" applyAlignment="1">
      <alignment vertical="top"/>
    </xf>
    <xf numFmtId="0" fontId="10" fillId="0" borderId="0" xfId="0" applyFont="1" applyFill="1" applyBorder="1" applyAlignment="1">
      <alignment vertical="top"/>
    </xf>
    <xf numFmtId="40" fontId="12" fillId="0" borderId="8" xfId="42" applyNumberFormat="1" applyFont="1" applyBorder="1" applyAlignment="1" applyProtection="1">
      <alignment vertical="top"/>
      <protection locked="0"/>
    </xf>
    <xf numFmtId="0" fontId="12" fillId="0" borderId="0" xfId="0" applyFont="1" applyAlignment="1">
      <alignment horizontal="right"/>
    </xf>
    <xf numFmtId="8" fontId="12" fillId="0" borderId="0" xfId="0" applyNumberFormat="1" applyFont="1" applyFill="1" applyBorder="1" applyAlignment="1">
      <alignment vertical="top"/>
    </xf>
    <xf numFmtId="0" fontId="12" fillId="0" borderId="0" xfId="0" applyFont="1" applyAlignment="1">
      <alignment horizontal="left"/>
    </xf>
    <xf numFmtId="0" fontId="13" fillId="0" borderId="0" xfId="0" applyFont="1" applyAlignment="1">
      <alignment horizontal="left"/>
    </xf>
    <xf numFmtId="6" fontId="12" fillId="0" borderId="0" xfId="0" applyNumberFormat="1" applyFont="1" applyFill="1" applyBorder="1" applyAlignment="1">
      <alignment vertical="top"/>
    </xf>
    <xf numFmtId="0" fontId="13" fillId="0" borderId="0" xfId="0" applyFont="1" applyAlignment="1">
      <alignment horizontal="right" vertical="top"/>
    </xf>
    <xf numFmtId="8" fontId="13" fillId="0" borderId="8" xfId="0" applyNumberFormat="1" applyFont="1" applyBorder="1" applyAlignment="1">
      <alignment vertical="top"/>
    </xf>
    <xf numFmtId="5" fontId="0" fillId="0" borderId="0" xfId="45" applyNumberFormat="1" applyFont="1" applyAlignment="1">
      <alignment/>
    </xf>
    <xf numFmtId="40" fontId="0" fillId="0" borderId="0" xfId="0" applyNumberFormat="1" applyFont="1" applyFill="1" applyBorder="1" applyAlignment="1">
      <alignment vertical="top"/>
    </xf>
    <xf numFmtId="0" fontId="0" fillId="0" borderId="0" xfId="0" applyNumberFormat="1" applyFont="1" applyFill="1" applyBorder="1" applyAlignment="1">
      <alignment horizontal="left"/>
    </xf>
    <xf numFmtId="5" fontId="0" fillId="0" borderId="0" xfId="45" applyNumberFormat="1" applyFont="1" applyAlignment="1">
      <alignment horizontal="right"/>
    </xf>
    <xf numFmtId="0" fontId="0" fillId="0" borderId="0" xfId="0" applyAlignment="1" applyProtection="1">
      <alignment horizontal="left"/>
      <protection locked="0"/>
    </xf>
    <xf numFmtId="40" fontId="12" fillId="34" borderId="0" xfId="42" applyNumberFormat="1" applyFont="1" applyFill="1" applyAlignment="1" applyProtection="1">
      <alignment vertical="top"/>
      <protection locked="0"/>
    </xf>
    <xf numFmtId="40" fontId="12" fillId="34" borderId="0" xfId="0" applyNumberFormat="1" applyFont="1" applyFill="1" applyAlignment="1">
      <alignment vertical="top"/>
    </xf>
    <xf numFmtId="8" fontId="13" fillId="34" borderId="0" xfId="0" applyNumberFormat="1" applyFont="1" applyFill="1" applyAlignment="1">
      <alignment vertical="top"/>
    </xf>
    <xf numFmtId="0" fontId="10" fillId="34" borderId="0" xfId="0" applyNumberFormat="1" applyFont="1" applyFill="1" applyAlignment="1">
      <alignment horizontal="center" vertical="center"/>
    </xf>
    <xf numFmtId="8" fontId="0" fillId="0" borderId="0" xfId="0" applyNumberFormat="1" applyAlignment="1" applyProtection="1">
      <alignment horizontal="center"/>
      <protection locked="0"/>
    </xf>
    <xf numFmtId="0" fontId="0" fillId="0" borderId="0" xfId="0" applyAlignment="1" applyProtection="1">
      <alignment horizontal="center"/>
      <protection/>
    </xf>
    <xf numFmtId="0" fontId="63" fillId="0" borderId="0" xfId="0" applyFont="1" applyAlignment="1" applyProtection="1">
      <alignment horizontal="left"/>
      <protection locked="0"/>
    </xf>
    <xf numFmtId="37" fontId="5" fillId="34" borderId="11" xfId="45" applyNumberFormat="1" applyFont="1" applyFill="1" applyBorder="1" applyAlignment="1" applyProtection="1">
      <alignment horizontal="right"/>
      <protection locked="0"/>
    </xf>
    <xf numFmtId="0" fontId="5" fillId="34" borderId="0" xfId="0" applyFont="1" applyFill="1" applyBorder="1" applyAlignment="1">
      <alignment vertical="top"/>
    </xf>
    <xf numFmtId="0" fontId="5" fillId="34" borderId="0" xfId="0" applyFont="1" applyFill="1" applyAlignment="1">
      <alignment vertical="top"/>
    </xf>
    <xf numFmtId="0" fontId="7" fillId="34" borderId="0" xfId="0" applyFont="1" applyFill="1" applyAlignment="1" quotePrefix="1">
      <alignment vertical="top"/>
    </xf>
    <xf numFmtId="0" fontId="8" fillId="34" borderId="0" xfId="0" applyNumberFormat="1" applyFont="1" applyFill="1" applyAlignment="1">
      <alignment horizontal="center" vertical="top"/>
    </xf>
    <xf numFmtId="0" fontId="0" fillId="0" borderId="0" xfId="0" applyFill="1" applyAlignment="1" applyProtection="1">
      <alignment/>
      <protection/>
    </xf>
    <xf numFmtId="39" fontId="5" fillId="0" borderId="0" xfId="42" applyNumberFormat="1" applyFont="1" applyFill="1" applyAlignment="1" applyProtection="1">
      <alignment vertical="top"/>
      <protection locked="0"/>
    </xf>
    <xf numFmtId="6" fontId="7" fillId="0" borderId="0" xfId="0" applyNumberFormat="1" applyFont="1" applyAlignment="1">
      <alignment vertical="top"/>
    </xf>
    <xf numFmtId="0" fontId="0" fillId="0" borderId="0" xfId="0" applyAlignment="1">
      <alignment vertical="top"/>
    </xf>
    <xf numFmtId="0" fontId="5" fillId="0" borderId="0" xfId="0" applyNumberFormat="1" applyFont="1" applyAlignment="1">
      <alignment horizontal="left" vertical="top"/>
    </xf>
    <xf numFmtId="0" fontId="5" fillId="0" borderId="0" xfId="0" applyFont="1" applyAlignment="1">
      <alignment vertical="top"/>
    </xf>
    <xf numFmtId="0" fontId="4" fillId="0" borderId="0" xfId="0" applyNumberFormat="1" applyFont="1" applyAlignment="1">
      <alignment horizontal="left" vertical="top"/>
    </xf>
    <xf numFmtId="0" fontId="5" fillId="0" borderId="0" xfId="0" applyNumberFormat="1" applyFont="1" applyBorder="1" applyAlignment="1" quotePrefix="1">
      <alignment horizontal="center" vertical="top"/>
    </xf>
    <xf numFmtId="164" fontId="5" fillId="33" borderId="0" xfId="0" applyNumberFormat="1" applyFont="1" applyFill="1" applyBorder="1" applyAlignment="1">
      <alignment horizontal="right"/>
    </xf>
    <xf numFmtId="0" fontId="5" fillId="0" borderId="0" xfId="0" applyNumberFormat="1" applyFont="1" applyAlignment="1">
      <alignment vertical="top"/>
    </xf>
    <xf numFmtId="0" fontId="5" fillId="0" borderId="0" xfId="0" applyFont="1" applyBorder="1" applyAlignment="1">
      <alignment vertical="top"/>
    </xf>
    <xf numFmtId="37" fontId="5" fillId="0" borderId="0" xfId="0" applyNumberFormat="1" applyFont="1" applyBorder="1" applyAlignment="1">
      <alignment horizontal="right"/>
    </xf>
    <xf numFmtId="37" fontId="5" fillId="33" borderId="0" xfId="0" applyNumberFormat="1" applyFont="1" applyFill="1" applyBorder="1" applyAlignment="1">
      <alignment horizontal="right"/>
    </xf>
    <xf numFmtId="164" fontId="5" fillId="0" borderId="0" xfId="0" applyNumberFormat="1" applyFont="1" applyBorder="1" applyAlignment="1">
      <alignment horizontal="right"/>
    </xf>
    <xf numFmtId="37" fontId="6" fillId="0" borderId="0" xfId="0" applyNumberFormat="1" applyFont="1" applyBorder="1" applyAlignment="1">
      <alignment horizontal="right"/>
    </xf>
    <xf numFmtId="164" fontId="6" fillId="0" borderId="0" xfId="0" applyNumberFormat="1" applyFont="1" applyBorder="1" applyAlignment="1">
      <alignment horizontal="right"/>
    </xf>
    <xf numFmtId="0" fontId="4" fillId="0" borderId="0" xfId="0" applyFont="1" applyAlignment="1">
      <alignment vertical="top"/>
    </xf>
    <xf numFmtId="37" fontId="5" fillId="33" borderId="9" xfId="0" applyNumberFormat="1" applyFont="1" applyFill="1" applyBorder="1" applyAlignment="1">
      <alignment vertical="top"/>
    </xf>
    <xf numFmtId="37" fontId="6" fillId="33" borderId="0" xfId="0" applyNumberFormat="1" applyFont="1" applyFill="1" applyBorder="1" applyAlignment="1">
      <alignment horizontal="right"/>
    </xf>
    <xf numFmtId="37" fontId="5" fillId="0" borderId="0" xfId="0" applyNumberFormat="1" applyFont="1" applyAlignment="1">
      <alignment vertical="top"/>
    </xf>
    <xf numFmtId="40" fontId="5" fillId="0" borderId="0" xfId="0" applyNumberFormat="1" applyFont="1" applyAlignment="1">
      <alignment vertical="top"/>
    </xf>
    <xf numFmtId="38" fontId="5" fillId="0" borderId="0" xfId="0" applyNumberFormat="1" applyFont="1" applyFill="1" applyAlignment="1">
      <alignment vertical="top"/>
    </xf>
    <xf numFmtId="0" fontId="7" fillId="0" borderId="0" xfId="0" applyNumberFormat="1" applyFont="1" applyAlignment="1">
      <alignment horizontal="left" vertical="top"/>
    </xf>
    <xf numFmtId="6" fontId="7" fillId="0" borderId="0" xfId="0" applyNumberFormat="1" applyFont="1" applyBorder="1" applyAlignment="1">
      <alignment vertical="top"/>
    </xf>
    <xf numFmtId="0" fontId="7" fillId="0" borderId="0" xfId="0" applyFont="1" applyAlignment="1" quotePrefix="1">
      <alignment vertical="top"/>
    </xf>
    <xf numFmtId="0" fontId="8" fillId="0" borderId="0" xfId="0" applyFont="1" applyFill="1" applyAlignment="1">
      <alignment vertical="top"/>
    </xf>
    <xf numFmtId="0" fontId="8" fillId="0" borderId="0" xfId="0" applyNumberFormat="1" applyFont="1" applyAlignment="1">
      <alignment horizontal="left" vertical="top"/>
    </xf>
    <xf numFmtId="0" fontId="8" fillId="0" borderId="0" xfId="0" applyFont="1" applyAlignment="1">
      <alignment vertical="top"/>
    </xf>
    <xf numFmtId="17" fontId="8" fillId="0" borderId="0" xfId="0" applyNumberFormat="1" applyFont="1" applyAlignment="1">
      <alignment horizontal="center"/>
    </xf>
    <xf numFmtId="17" fontId="8" fillId="0" borderId="0" xfId="0" applyNumberFormat="1" applyFont="1" applyFill="1" applyAlignment="1">
      <alignment horizontal="center"/>
    </xf>
    <xf numFmtId="6" fontId="7" fillId="0" borderId="0" xfId="0" applyNumberFormat="1" applyFont="1" applyAlignment="1">
      <alignment vertical="center"/>
    </xf>
    <xf numFmtId="37" fontId="10" fillId="0" borderId="9" xfId="0" applyNumberFormat="1" applyFont="1" applyFill="1" applyBorder="1" applyAlignment="1">
      <alignment vertical="top"/>
    </xf>
    <xf numFmtId="49" fontId="5" fillId="0" borderId="0" xfId="0" applyNumberFormat="1" applyFont="1" applyAlignment="1">
      <alignment vertical="top"/>
    </xf>
    <xf numFmtId="49" fontId="5" fillId="0" borderId="0" xfId="0" applyNumberFormat="1" applyFont="1" applyBorder="1" applyAlignment="1">
      <alignment horizontal="center" vertical="top"/>
    </xf>
    <xf numFmtId="49" fontId="5" fillId="0" borderId="0" xfId="0" applyNumberFormat="1" applyFont="1" applyBorder="1" applyAlignment="1" quotePrefix="1">
      <alignment horizontal="center" vertical="top"/>
    </xf>
    <xf numFmtId="49" fontId="4" fillId="0" borderId="0" xfId="0" applyNumberFormat="1" applyFont="1" applyAlignment="1">
      <alignment vertical="top"/>
    </xf>
    <xf numFmtId="49" fontId="8" fillId="33" borderId="10"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4" xfId="0" applyNumberFormat="1" applyFont="1" applyFill="1" applyBorder="1" applyAlignment="1" quotePrefix="1">
      <alignment horizontal="center" vertical="top"/>
    </xf>
    <xf numFmtId="49" fontId="8" fillId="33" borderId="0" xfId="0" applyNumberFormat="1" applyFont="1" applyFill="1" applyBorder="1" applyAlignment="1">
      <alignment horizontal="center" vertical="top"/>
    </xf>
    <xf numFmtId="49" fontId="8" fillId="33" borderId="13" xfId="0" applyNumberFormat="1" applyFont="1" applyFill="1" applyBorder="1" applyAlignment="1">
      <alignment horizontal="center" vertical="top"/>
    </xf>
    <xf numFmtId="49" fontId="8" fillId="33" borderId="8" xfId="0" applyNumberFormat="1" applyFont="1" applyFill="1" applyBorder="1" applyAlignment="1">
      <alignment horizontal="center" vertical="top"/>
    </xf>
    <xf numFmtId="39" fontId="62" fillId="0" borderId="0" xfId="0" applyNumberFormat="1" applyFont="1" applyFill="1" applyAlignment="1">
      <alignment vertical="top"/>
    </xf>
    <xf numFmtId="0" fontId="8" fillId="0" borderId="0" xfId="0" applyNumberFormat="1" applyFont="1" applyFill="1" applyAlignment="1">
      <alignment horizontal="left" vertical="top"/>
    </xf>
    <xf numFmtId="37" fontId="5" fillId="0" borderId="0" xfId="0" applyNumberFormat="1" applyFont="1" applyFill="1" applyBorder="1" applyAlignment="1">
      <alignment vertical="top"/>
    </xf>
    <xf numFmtId="37" fontId="5" fillId="0" borderId="0" xfId="42" applyNumberFormat="1" applyFont="1" applyFill="1" applyAlignment="1" applyProtection="1">
      <alignment vertical="top"/>
      <protection locked="0"/>
    </xf>
    <xf numFmtId="164" fontId="8" fillId="34" borderId="0" xfId="0" applyNumberFormat="1" applyFont="1" applyFill="1" applyAlignment="1">
      <alignment horizontal="center"/>
    </xf>
    <xf numFmtId="17" fontId="9" fillId="34" borderId="0" xfId="0" applyNumberFormat="1" applyFont="1" applyFill="1" applyAlignment="1">
      <alignment horizontal="center"/>
    </xf>
    <xf numFmtId="0" fontId="5" fillId="34" borderId="0" xfId="0" applyNumberFormat="1" applyFont="1" applyFill="1" applyBorder="1" applyAlignment="1" quotePrefix="1">
      <alignment horizontal="center" vertical="top"/>
    </xf>
    <xf numFmtId="0" fontId="5" fillId="34" borderId="0" xfId="0" applyNumberFormat="1" applyFont="1" applyFill="1" applyAlignment="1">
      <alignment vertical="top"/>
    </xf>
    <xf numFmtId="37" fontId="5" fillId="34" borderId="0" xfId="0" applyNumberFormat="1" applyFont="1" applyFill="1" applyBorder="1" applyAlignment="1">
      <alignment vertical="top"/>
    </xf>
    <xf numFmtId="37" fontId="5" fillId="34" borderId="8" xfId="0" applyNumberFormat="1" applyFont="1" applyFill="1" applyBorder="1" applyAlignment="1">
      <alignment vertical="top"/>
    </xf>
    <xf numFmtId="37" fontId="5" fillId="34" borderId="0" xfId="0" applyNumberFormat="1" applyFont="1" applyFill="1" applyBorder="1" applyAlignment="1">
      <alignment horizontal="right"/>
    </xf>
    <xf numFmtId="37" fontId="5" fillId="34" borderId="9" xfId="0" applyNumberFormat="1" applyFont="1" applyFill="1" applyBorder="1" applyAlignment="1">
      <alignment vertical="top"/>
    </xf>
    <xf numFmtId="0" fontId="10" fillId="34" borderId="0" xfId="0" applyNumberFormat="1" applyFont="1" applyFill="1" applyAlignment="1">
      <alignment horizontal="center" vertical="center"/>
    </xf>
    <xf numFmtId="37" fontId="5" fillId="34" borderId="11" xfId="45" applyNumberFormat="1" applyFont="1" applyFill="1" applyBorder="1" applyAlignment="1" applyProtection="1">
      <alignment horizontal="right"/>
      <protection locked="0"/>
    </xf>
    <xf numFmtId="0" fontId="5" fillId="34" borderId="0" xfId="0" applyFont="1" applyFill="1" applyBorder="1" applyAlignment="1">
      <alignment vertical="top"/>
    </xf>
    <xf numFmtId="0" fontId="5" fillId="34" borderId="0" xfId="0" applyFont="1" applyFill="1" applyAlignment="1">
      <alignment vertical="top"/>
    </xf>
    <xf numFmtId="0" fontId="7" fillId="34" borderId="0" xfId="0" applyFont="1" applyFill="1" applyAlignment="1" quotePrefix="1">
      <alignment vertical="top"/>
    </xf>
    <xf numFmtId="0" fontId="8" fillId="34" borderId="0" xfId="0" applyNumberFormat="1" applyFont="1" applyFill="1" applyAlignment="1">
      <alignment horizontal="center" vertical="top"/>
    </xf>
    <xf numFmtId="0" fontId="64" fillId="0" borderId="0" xfId="0" applyFont="1" applyAlignment="1">
      <alignment horizontal="right" vertical="top"/>
    </xf>
    <xf numFmtId="0" fontId="0" fillId="0" borderId="0" xfId="0" applyFont="1" applyAlignment="1">
      <alignment vertical="top"/>
    </xf>
    <xf numFmtId="0" fontId="18" fillId="0" borderId="0" xfId="0" applyFont="1" applyAlignment="1" applyProtection="1">
      <alignment/>
      <protection/>
    </xf>
    <xf numFmtId="0" fontId="18" fillId="0" borderId="0" xfId="0" applyFont="1" applyFill="1" applyAlignment="1" applyProtection="1">
      <alignment/>
      <protection/>
    </xf>
    <xf numFmtId="0" fontId="18" fillId="0" borderId="0" xfId="0" applyFont="1" applyAlignment="1">
      <alignment vertical="top"/>
    </xf>
    <xf numFmtId="0" fontId="10" fillId="0" borderId="0" xfId="0" applyFont="1" applyFill="1" applyAlignment="1" applyProtection="1">
      <alignment/>
      <protection/>
    </xf>
    <xf numFmtId="0" fontId="0" fillId="0" borderId="8" xfId="0" applyBorder="1" applyAlignment="1">
      <alignment vertical="top"/>
    </xf>
    <xf numFmtId="39" fontId="0" fillId="0" borderId="0" xfId="0" applyNumberFormat="1" applyAlignment="1">
      <alignment vertical="top"/>
    </xf>
    <xf numFmtId="39" fontId="0" fillId="0" borderId="0" xfId="0" applyNumberFormat="1" applyFont="1" applyAlignment="1">
      <alignment vertical="top"/>
    </xf>
    <xf numFmtId="0" fontId="10" fillId="35" borderId="0" xfId="0" applyFont="1" applyFill="1" applyAlignment="1" applyProtection="1">
      <alignment/>
      <protection/>
    </xf>
    <xf numFmtId="0" fontId="10" fillId="0" borderId="0" xfId="0" applyFont="1" applyAlignment="1" applyProtection="1">
      <alignment/>
      <protection/>
    </xf>
    <xf numFmtId="0" fontId="19" fillId="0" borderId="0" xfId="0" applyFont="1" applyAlignment="1" applyProtection="1">
      <alignment/>
      <protection/>
    </xf>
    <xf numFmtId="0" fontId="0" fillId="0" borderId="8" xfId="0" applyFont="1" applyBorder="1" applyAlignment="1">
      <alignment horizontal="center" vertical="top"/>
    </xf>
    <xf numFmtId="39" fontId="0" fillId="0" borderId="15" xfId="0" applyNumberFormat="1" applyBorder="1" applyAlignment="1">
      <alignment vertical="top"/>
    </xf>
    <xf numFmtId="37" fontId="5" fillId="34" borderId="0" xfId="0" applyNumberFormat="1" applyFont="1" applyFill="1" applyAlignment="1">
      <alignment vertical="top"/>
    </xf>
    <xf numFmtId="0" fontId="65" fillId="0" borderId="0" xfId="0" applyFont="1" applyBorder="1" applyAlignment="1">
      <alignment vertical="top"/>
    </xf>
    <xf numFmtId="0" fontId="64" fillId="0" borderId="0" xfId="0" applyFont="1" applyAlignment="1">
      <alignment vertical="top"/>
    </xf>
    <xf numFmtId="8" fontId="63" fillId="0" borderId="0" xfId="0" applyNumberFormat="1" applyFont="1" applyAlignment="1" applyProtection="1">
      <alignment horizontal="center"/>
      <protection locked="0"/>
    </xf>
    <xf numFmtId="38" fontId="5" fillId="34" borderId="0" xfId="42" applyNumberFormat="1" applyFont="1" applyFill="1" applyAlignment="1" applyProtection="1">
      <alignment vertical="top"/>
      <protection locked="0"/>
    </xf>
    <xf numFmtId="38" fontId="5" fillId="0" borderId="0" xfId="42" applyNumberFormat="1" applyFont="1" applyFill="1" applyAlignment="1" applyProtection="1">
      <alignment vertical="top"/>
      <protection locked="0"/>
    </xf>
    <xf numFmtId="40" fontId="7" fillId="34" borderId="0" xfId="0" applyNumberFormat="1" applyFont="1" applyFill="1" applyAlignment="1" quotePrefix="1">
      <alignment vertical="top"/>
    </xf>
    <xf numFmtId="40" fontId="5" fillId="34" borderId="0" xfId="42" applyNumberFormat="1" applyFont="1" applyFill="1" applyAlignment="1" applyProtection="1">
      <alignment vertical="top"/>
      <protection locked="0"/>
    </xf>
    <xf numFmtId="40" fontId="7" fillId="0" borderId="0" xfId="0" applyNumberFormat="1" applyFont="1" applyAlignment="1" quotePrefix="1">
      <alignment vertical="top"/>
    </xf>
    <xf numFmtId="40" fontId="5" fillId="0" borderId="0" xfId="42" applyNumberFormat="1" applyFont="1" applyFill="1" applyAlignment="1" applyProtection="1">
      <alignment vertical="top"/>
      <protection locked="0"/>
    </xf>
    <xf numFmtId="40" fontId="0" fillId="0" borderId="0" xfId="0" applyNumberFormat="1" applyAlignment="1">
      <alignment vertical="top"/>
    </xf>
    <xf numFmtId="40" fontId="5" fillId="0" borderId="0" xfId="0" applyNumberFormat="1" applyFont="1" applyFill="1" applyAlignment="1">
      <alignment vertical="top"/>
    </xf>
    <xf numFmtId="40" fontId="5" fillId="0" borderId="0" xfId="42" applyNumberFormat="1" applyFont="1" applyFill="1" applyBorder="1" applyAlignment="1" applyProtection="1">
      <alignment vertical="top"/>
      <protection locked="0"/>
    </xf>
    <xf numFmtId="40" fontId="5" fillId="0" borderId="16" xfId="0" applyNumberFormat="1" applyFont="1" applyBorder="1" applyAlignment="1">
      <alignment vertical="top"/>
    </xf>
    <xf numFmtId="8" fontId="0" fillId="0" borderId="0" xfId="0" applyNumberFormat="1" applyAlignment="1">
      <alignment vertical="top"/>
    </xf>
    <xf numFmtId="0" fontId="5" fillId="11" borderId="0" xfId="0" applyFont="1" applyFill="1" applyAlignment="1">
      <alignment vertical="top"/>
    </xf>
    <xf numFmtId="0" fontId="5" fillId="36" borderId="0" xfId="0" applyFont="1" applyFill="1" applyAlignment="1">
      <alignment vertical="top"/>
    </xf>
    <xf numFmtId="0" fontId="5" fillId="13" borderId="0" xfId="0" applyFont="1" applyFill="1" applyAlignment="1">
      <alignment vertical="top"/>
    </xf>
    <xf numFmtId="0" fontId="21" fillId="0" borderId="0" xfId="0" applyFont="1" applyAlignment="1">
      <alignment vertical="top"/>
    </xf>
    <xf numFmtId="0" fontId="0" fillId="8" borderId="0" xfId="0" applyFont="1" applyFill="1" applyAlignment="1">
      <alignment vertical="top"/>
    </xf>
    <xf numFmtId="0" fontId="0" fillId="8" borderId="0" xfId="0" applyFill="1" applyAlignment="1">
      <alignment vertical="top"/>
    </xf>
    <xf numFmtId="0" fontId="5" fillId="8" borderId="0" xfId="0" applyFont="1" applyFill="1" applyAlignment="1">
      <alignment vertical="top"/>
    </xf>
    <xf numFmtId="0" fontId="0" fillId="13" borderId="0" xfId="0" applyFont="1" applyFill="1" applyAlignment="1">
      <alignment vertical="top"/>
    </xf>
    <xf numFmtId="0" fontId="0" fillId="13" borderId="0" xfId="0" applyFill="1" applyAlignment="1">
      <alignment vertical="top"/>
    </xf>
    <xf numFmtId="0" fontId="0" fillId="4" borderId="0" xfId="0" applyFill="1" applyAlignment="1">
      <alignment vertical="top"/>
    </xf>
    <xf numFmtId="0" fontId="0" fillId="7" borderId="0" xfId="0" applyFill="1" applyAlignment="1">
      <alignment vertical="top"/>
    </xf>
    <xf numFmtId="40" fontId="0" fillId="4" borderId="0" xfId="0" applyNumberFormat="1" applyFill="1" applyAlignment="1">
      <alignment vertical="top"/>
    </xf>
    <xf numFmtId="40" fontId="0" fillId="7" borderId="0" xfId="0" applyNumberFormat="1" applyFill="1" applyAlignment="1">
      <alignment vertical="top"/>
    </xf>
    <xf numFmtId="40" fontId="0" fillId="0" borderId="0" xfId="0" applyNumberFormat="1" applyFont="1" applyAlignment="1">
      <alignment vertical="top"/>
    </xf>
    <xf numFmtId="40" fontId="0" fillId="4" borderId="0" xfId="0" applyNumberFormat="1" applyFont="1" applyFill="1" applyAlignment="1">
      <alignment vertical="top"/>
    </xf>
    <xf numFmtId="40" fontId="0" fillId="0" borderId="8" xfId="0" applyNumberFormat="1" applyFont="1" applyBorder="1" applyAlignment="1">
      <alignment vertical="top"/>
    </xf>
    <xf numFmtId="40" fontId="0" fillId="4" borderId="8" xfId="0" applyNumberFormat="1" applyFont="1" applyFill="1" applyBorder="1" applyAlignment="1">
      <alignment vertical="top"/>
    </xf>
    <xf numFmtId="40" fontId="0" fillId="4" borderId="8" xfId="0" applyNumberFormat="1" applyFill="1" applyBorder="1" applyAlignment="1">
      <alignment vertical="top"/>
    </xf>
    <xf numFmtId="40" fontId="0" fillId="7" borderId="8" xfId="0" applyNumberFormat="1" applyFill="1" applyBorder="1" applyAlignment="1">
      <alignment vertical="top"/>
    </xf>
    <xf numFmtId="40" fontId="0" fillId="0" borderId="8" xfId="0" applyNumberFormat="1" applyBorder="1" applyAlignment="1">
      <alignment vertical="top"/>
    </xf>
    <xf numFmtId="40" fontId="0" fillId="7" borderId="0" xfId="0" applyNumberFormat="1" applyFont="1" applyFill="1" applyAlignment="1">
      <alignment vertical="top"/>
    </xf>
    <xf numFmtId="40" fontId="0" fillId="0" borderId="15" xfId="0" applyNumberFormat="1" applyBorder="1" applyAlignment="1">
      <alignment vertical="top"/>
    </xf>
    <xf numFmtId="40" fontId="0" fillId="4" borderId="15" xfId="0" applyNumberFormat="1" applyFill="1" applyBorder="1" applyAlignment="1">
      <alignment vertical="top"/>
    </xf>
    <xf numFmtId="40" fontId="0" fillId="7" borderId="15" xfId="0" applyNumberFormat="1" applyFill="1" applyBorder="1" applyAlignment="1">
      <alignment vertical="top"/>
    </xf>
    <xf numFmtId="40" fontId="0" fillId="0" borderId="0" xfId="0" applyNumberFormat="1" applyAlignment="1">
      <alignment horizontal="center" vertical="top"/>
    </xf>
    <xf numFmtId="0" fontId="5" fillId="11" borderId="0" xfId="0" applyFont="1" applyFill="1" applyBorder="1" applyAlignment="1">
      <alignment vertical="top"/>
    </xf>
    <xf numFmtId="40" fontId="7" fillId="11" borderId="0" xfId="0" applyNumberFormat="1" applyFont="1" applyFill="1" applyAlignment="1" quotePrefix="1">
      <alignment vertical="top"/>
    </xf>
    <xf numFmtId="40" fontId="5" fillId="11" borderId="0" xfId="42" applyNumberFormat="1" applyFont="1" applyFill="1" applyAlignment="1" applyProtection="1">
      <alignment vertical="top"/>
      <protection locked="0"/>
    </xf>
    <xf numFmtId="0" fontId="0" fillId="0" borderId="0" xfId="0" applyFont="1" applyAlignment="1">
      <alignment horizontal="right" vertical="top"/>
    </xf>
    <xf numFmtId="0" fontId="0" fillId="0" borderId="0" xfId="0" applyAlignment="1">
      <alignment horizontal="right" vertical="top"/>
    </xf>
    <xf numFmtId="4" fontId="0" fillId="0" borderId="0" xfId="0" applyNumberFormat="1" applyFont="1" applyAlignment="1">
      <alignment vertical="top"/>
    </xf>
    <xf numFmtId="0" fontId="0" fillId="0" borderId="0" xfId="0" applyAlignment="1">
      <alignment/>
    </xf>
    <xf numFmtId="0" fontId="0" fillId="0" borderId="0" xfId="0" applyFill="1" applyAlignment="1">
      <alignment horizontal="center" vertical="top"/>
    </xf>
    <xf numFmtId="0" fontId="0" fillId="0" borderId="0" xfId="0" applyFill="1" applyAlignment="1">
      <alignment vertical="top"/>
    </xf>
    <xf numFmtId="0" fontId="0"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0" xfId="0" applyFill="1" applyBorder="1" applyAlignment="1">
      <alignment vertical="top"/>
    </xf>
    <xf numFmtId="0" fontId="0" fillId="0" borderId="0" xfId="0" applyBorder="1" applyAlignment="1">
      <alignment vertical="top"/>
    </xf>
    <xf numFmtId="40" fontId="0" fillId="0" borderId="0" xfId="0" applyNumberFormat="1" applyBorder="1" applyAlignment="1">
      <alignment vertical="top"/>
    </xf>
    <xf numFmtId="4" fontId="0" fillId="0" borderId="0" xfId="0" applyNumberFormat="1" applyBorder="1" applyAlignment="1">
      <alignment vertical="top"/>
    </xf>
    <xf numFmtId="39" fontId="0" fillId="0" borderId="0" xfId="0" applyNumberFormat="1" applyAlignment="1" applyProtection="1">
      <alignment/>
      <protection/>
    </xf>
    <xf numFmtId="0" fontId="24" fillId="7" borderId="0" xfId="0" applyFont="1" applyFill="1" applyAlignment="1" applyProtection="1">
      <alignment horizontal="left"/>
      <protection locked="0"/>
    </xf>
    <xf numFmtId="8" fontId="0" fillId="7" borderId="0" xfId="0" applyNumberFormat="1" applyFill="1" applyAlignment="1" applyProtection="1">
      <alignment horizontal="center"/>
      <protection locked="0"/>
    </xf>
    <xf numFmtId="0" fontId="24" fillId="7" borderId="0" xfId="0" applyFont="1" applyFill="1" applyAlignment="1" applyProtection="1">
      <alignment/>
      <protection/>
    </xf>
    <xf numFmtId="0" fontId="0" fillId="7" borderId="0" xfId="0" applyFill="1" applyAlignment="1" applyProtection="1">
      <alignment/>
      <protection/>
    </xf>
    <xf numFmtId="0" fontId="24" fillId="7" borderId="0" xfId="0" applyFont="1" applyFill="1" applyAlignment="1" applyProtection="1">
      <alignment horizontal="center"/>
      <protection/>
    </xf>
    <xf numFmtId="0" fontId="0" fillId="7" borderId="0" xfId="0" applyFill="1" applyAlignment="1" applyProtection="1">
      <alignment horizontal="left"/>
      <protection/>
    </xf>
    <xf numFmtId="39" fontId="0" fillId="7" borderId="0" xfId="0" applyNumberFormat="1" applyFill="1" applyAlignment="1" applyProtection="1">
      <alignment horizontal="right"/>
      <protection/>
    </xf>
    <xf numFmtId="0" fontId="0" fillId="7" borderId="0" xfId="0" applyFont="1" applyFill="1" applyAlignment="1" applyProtection="1">
      <alignment/>
      <protection/>
    </xf>
    <xf numFmtId="39" fontId="0" fillId="7" borderId="0" xfId="0" applyNumberFormat="1" applyFill="1" applyAlignment="1" applyProtection="1">
      <alignment/>
      <protection/>
    </xf>
    <xf numFmtId="0" fontId="0" fillId="7" borderId="0" xfId="0" applyFont="1" applyFill="1" applyAlignment="1" applyProtection="1">
      <alignment horizontal="left"/>
      <protection/>
    </xf>
    <xf numFmtId="39" fontId="0" fillId="7" borderId="8" xfId="0" applyNumberFormat="1" applyFill="1" applyBorder="1" applyAlignment="1" applyProtection="1">
      <alignment/>
      <protection/>
    </xf>
    <xf numFmtId="39" fontId="0" fillId="7" borderId="8" xfId="0" applyNumberFormat="1" applyFill="1" applyBorder="1" applyAlignment="1" applyProtection="1">
      <alignment horizontal="right"/>
      <protection/>
    </xf>
    <xf numFmtId="39" fontId="24" fillId="7" borderId="0" xfId="0" applyNumberFormat="1" applyFont="1" applyFill="1" applyAlignment="1" applyProtection="1">
      <alignment/>
      <protection/>
    </xf>
    <xf numFmtId="0" fontId="24" fillId="4" borderId="0" xfId="0" applyFont="1" applyFill="1" applyAlignment="1" applyProtection="1">
      <alignment/>
      <protection/>
    </xf>
    <xf numFmtId="39" fontId="0" fillId="4" borderId="0" xfId="0" applyNumberFormat="1" applyFill="1" applyAlignment="1" applyProtection="1">
      <alignment/>
      <protection/>
    </xf>
    <xf numFmtId="0" fontId="0" fillId="4" borderId="0" xfId="0" applyFill="1" applyAlignment="1" applyProtection="1">
      <alignment/>
      <protection/>
    </xf>
    <xf numFmtId="0" fontId="24" fillId="4" borderId="0" xfId="0" applyFont="1" applyFill="1" applyAlignment="1" applyProtection="1">
      <alignment horizontal="center"/>
      <protection/>
    </xf>
    <xf numFmtId="0" fontId="0" fillId="4" borderId="0" xfId="0" applyFont="1" applyFill="1" applyAlignment="1" applyProtection="1">
      <alignment/>
      <protection/>
    </xf>
    <xf numFmtId="0" fontId="0" fillId="4" borderId="0" xfId="0" applyFont="1" applyFill="1" applyAlignment="1" applyProtection="1">
      <alignment horizontal="left"/>
      <protection/>
    </xf>
    <xf numFmtId="39" fontId="0" fillId="4" borderId="0" xfId="0" applyNumberFormat="1" applyFill="1" applyAlignment="1" applyProtection="1">
      <alignment horizontal="right"/>
      <protection/>
    </xf>
    <xf numFmtId="39" fontId="0" fillId="4" borderId="8" xfId="0" applyNumberFormat="1" applyFill="1" applyBorder="1" applyAlignment="1" applyProtection="1">
      <alignment/>
      <protection/>
    </xf>
    <xf numFmtId="39" fontId="24" fillId="4" borderId="0" xfId="0" applyNumberFormat="1" applyFont="1" applyFill="1" applyAlignment="1" applyProtection="1">
      <alignment/>
      <protection/>
    </xf>
    <xf numFmtId="0" fontId="24" fillId="4" borderId="0" xfId="0" applyFont="1" applyFill="1" applyAlignment="1" applyProtection="1">
      <alignment horizontal="left"/>
      <protection/>
    </xf>
    <xf numFmtId="39" fontId="24" fillId="4" borderId="0" xfId="0" applyNumberFormat="1" applyFont="1" applyFill="1" applyAlignment="1" applyProtection="1">
      <alignment horizontal="right"/>
      <protection/>
    </xf>
    <xf numFmtId="0" fontId="13" fillId="34" borderId="0" xfId="0" applyFont="1" applyFill="1" applyAlignment="1">
      <alignment horizontal="left" vertical="top"/>
    </xf>
    <xf numFmtId="8" fontId="13" fillId="34" borderId="15" xfId="0" applyNumberFormat="1" applyFont="1" applyFill="1" applyBorder="1" applyAlignment="1">
      <alignment vertical="top"/>
    </xf>
    <xf numFmtId="0" fontId="2" fillId="0" borderId="0" xfId="0" applyFont="1" applyAlignment="1">
      <alignment horizontal="left"/>
    </xf>
    <xf numFmtId="0" fontId="12" fillId="0" borderId="0" xfId="0" applyNumberFormat="1" applyFont="1" applyAlignment="1" applyProtection="1">
      <alignment/>
      <protection/>
    </xf>
    <xf numFmtId="39" fontId="12" fillId="0" borderId="0" xfId="0" applyNumberFormat="1" applyFont="1" applyAlignment="1" applyProtection="1">
      <alignment/>
      <protection/>
    </xf>
    <xf numFmtId="40" fontId="13" fillId="0" borderId="0" xfId="42" applyNumberFormat="1" applyFont="1" applyFill="1" applyAlignment="1" applyProtection="1">
      <alignment vertical="top"/>
      <protection locked="0"/>
    </xf>
    <xf numFmtId="8" fontId="13" fillId="0" borderId="0" xfId="0" applyNumberFormat="1" applyFont="1" applyBorder="1" applyAlignment="1">
      <alignment vertical="top"/>
    </xf>
    <xf numFmtId="40" fontId="12" fillId="0" borderId="0" xfId="42" applyNumberFormat="1" applyFont="1" applyBorder="1" applyAlignment="1" applyProtection="1">
      <alignment vertical="top"/>
      <protection locked="0"/>
    </xf>
    <xf numFmtId="0" fontId="13" fillId="34" borderId="0" xfId="0" applyFont="1" applyFill="1" applyAlignment="1">
      <alignment horizontal="left"/>
    </xf>
    <xf numFmtId="40" fontId="12" fillId="34" borderId="0" xfId="42" applyNumberFormat="1" applyFont="1" applyFill="1" applyBorder="1" applyAlignment="1" applyProtection="1">
      <alignment vertical="top"/>
      <protection locked="0"/>
    </xf>
    <xf numFmtId="0" fontId="24" fillId="0" borderId="0" xfId="0" applyFont="1" applyAlignment="1">
      <alignment vertical="top"/>
    </xf>
    <xf numFmtId="0" fontId="24" fillId="0" borderId="0" xfId="0" applyFont="1" applyAlignment="1">
      <alignment horizontal="center" vertical="top"/>
    </xf>
    <xf numFmtId="39" fontId="0" fillId="0" borderId="0" xfId="0" applyNumberFormat="1" applyBorder="1" applyAlignment="1">
      <alignment vertical="top"/>
    </xf>
    <xf numFmtId="39" fontId="0" fillId="0" borderId="0" xfId="0" applyNumberFormat="1" applyFont="1" applyAlignment="1">
      <alignment horizontal="right" vertical="top"/>
    </xf>
    <xf numFmtId="0" fontId="0" fillId="0" borderId="0" xfId="0" applyFont="1" applyAlignment="1">
      <alignment vertical="top"/>
    </xf>
    <xf numFmtId="39" fontId="0" fillId="0" borderId="0" xfId="0" applyNumberFormat="1" applyFont="1" applyFill="1" applyAlignment="1">
      <alignment vertical="top"/>
    </xf>
    <xf numFmtId="39" fontId="0" fillId="0" borderId="0" xfId="0" applyNumberFormat="1" applyFill="1" applyAlignment="1">
      <alignment vertical="top"/>
    </xf>
    <xf numFmtId="39" fontId="0" fillId="0" borderId="0" xfId="0" applyNumberFormat="1" applyFill="1" applyBorder="1" applyAlignment="1">
      <alignment vertical="top"/>
    </xf>
    <xf numFmtId="0" fontId="24" fillId="0" borderId="0" xfId="0" applyFont="1" applyFill="1" applyAlignment="1">
      <alignment horizontal="center" vertical="top"/>
    </xf>
    <xf numFmtId="10" fontId="24" fillId="0" borderId="8" xfId="0" applyNumberFormat="1" applyFont="1" applyBorder="1" applyAlignment="1">
      <alignment horizontal="center" vertical="top"/>
    </xf>
    <xf numFmtId="10" fontId="24" fillId="0" borderId="8" xfId="0" applyNumberFormat="1" applyFont="1" applyFill="1" applyBorder="1" applyAlignment="1">
      <alignment horizontal="center" vertical="top"/>
    </xf>
    <xf numFmtId="0" fontId="24" fillId="0" borderId="8" xfId="0" applyFont="1" applyBorder="1" applyAlignment="1">
      <alignment vertical="top"/>
    </xf>
    <xf numFmtId="40" fontId="0" fillId="0" borderId="11" xfId="0" applyNumberFormat="1" applyBorder="1" applyAlignment="1">
      <alignment vertical="top"/>
    </xf>
    <xf numFmtId="40" fontId="0" fillId="4" borderId="11" xfId="0" applyNumberFormat="1" applyFill="1" applyBorder="1" applyAlignment="1">
      <alignment vertical="top"/>
    </xf>
    <xf numFmtId="40" fontId="0" fillId="7" borderId="11" xfId="0" applyNumberFormat="1" applyFill="1" applyBorder="1" applyAlignment="1">
      <alignment vertical="top"/>
    </xf>
    <xf numFmtId="40" fontId="12" fillId="0" borderId="0" xfId="42" applyNumberFormat="1" applyFont="1" applyFill="1" applyBorder="1" applyAlignment="1" applyProtection="1">
      <alignment vertical="top"/>
      <protection locked="0"/>
    </xf>
    <xf numFmtId="0" fontId="24" fillId="0" borderId="0" xfId="0" applyFont="1" applyAlignment="1">
      <alignment horizontal="center" vertical="top"/>
    </xf>
    <xf numFmtId="0" fontId="24" fillId="0" borderId="0" xfId="0" applyFont="1" applyAlignment="1">
      <alignment vertical="top"/>
    </xf>
    <xf numFmtId="0" fontId="24" fillId="4" borderId="0" xfId="0" applyFont="1" applyFill="1" applyAlignment="1">
      <alignment horizontal="center" vertical="top"/>
    </xf>
    <xf numFmtId="0" fontId="24" fillId="4" borderId="8" xfId="0" applyFont="1" applyFill="1" applyBorder="1" applyAlignment="1">
      <alignment horizontal="center" vertical="top"/>
    </xf>
    <xf numFmtId="0" fontId="24" fillId="7" borderId="0" xfId="0" applyFont="1" applyFill="1" applyAlignment="1">
      <alignment horizontal="center" vertical="top"/>
    </xf>
    <xf numFmtId="0" fontId="24" fillId="7" borderId="8" xfId="0" applyFont="1" applyFill="1" applyBorder="1" applyAlignment="1">
      <alignment horizontal="center" vertical="top"/>
    </xf>
    <xf numFmtId="0" fontId="25" fillId="4" borderId="0" xfId="0" applyFont="1" applyFill="1" applyAlignment="1">
      <alignment horizontal="center" vertical="top"/>
    </xf>
    <xf numFmtId="0" fontId="25" fillId="4" borderId="8" xfId="0" applyFont="1" applyFill="1" applyBorder="1" applyAlignment="1">
      <alignment horizontal="center" vertical="top"/>
    </xf>
    <xf numFmtId="0" fontId="25" fillId="7" borderId="0" xfId="0" applyFont="1" applyFill="1" applyAlignment="1">
      <alignment horizontal="center" vertical="top"/>
    </xf>
    <xf numFmtId="0" fontId="25" fillId="7" borderId="8" xfId="0" applyFont="1" applyFill="1" applyBorder="1" applyAlignment="1">
      <alignment horizontal="center" vertical="top"/>
    </xf>
    <xf numFmtId="0" fontId="24" fillId="0" borderId="0" xfId="0" applyFont="1" applyAlignment="1">
      <alignment horizontal="center" vertical="top"/>
    </xf>
    <xf numFmtId="0" fontId="24" fillId="0" borderId="0" xfId="0" applyFont="1" applyAlignment="1">
      <alignment horizontal="center" vertical="top"/>
    </xf>
    <xf numFmtId="0" fontId="24" fillId="4" borderId="0" xfId="0" applyFont="1" applyFill="1" applyAlignment="1">
      <alignment horizontal="center" vertical="top"/>
    </xf>
    <xf numFmtId="0" fontId="24" fillId="7" borderId="0" xfId="0" applyFont="1" applyFill="1" applyAlignment="1">
      <alignment horizontal="center" vertical="top"/>
    </xf>
    <xf numFmtId="0" fontId="0" fillId="0" borderId="0" xfId="0" applyNumberFormat="1" applyFill="1" applyBorder="1" applyAlignment="1" applyProtection="1">
      <alignment/>
      <protection locked="0"/>
    </xf>
    <xf numFmtId="49" fontId="14" fillId="0" borderId="0" xfId="0" applyNumberFormat="1" applyFont="1" applyFill="1" applyBorder="1" applyAlignment="1" applyProtection="1">
      <alignment horizontal="right" vertical="top"/>
      <protection/>
    </xf>
    <xf numFmtId="49" fontId="26" fillId="0" borderId="0"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left" vertical="top"/>
      <protection/>
    </xf>
    <xf numFmtId="4" fontId="10" fillId="0" borderId="0" xfId="0" applyNumberFormat="1" applyFont="1" applyFill="1" applyBorder="1" applyAlignment="1" applyProtection="1">
      <alignment horizontal="right" vertical="top"/>
      <protection/>
    </xf>
    <xf numFmtId="0" fontId="0" fillId="0" borderId="11" xfId="0" applyBorder="1" applyAlignment="1" applyProtection="1">
      <alignment vertical="top"/>
      <protection/>
    </xf>
    <xf numFmtId="0" fontId="0" fillId="0" borderId="17" xfId="0" applyBorder="1" applyAlignment="1" applyProtection="1">
      <alignment vertical="top"/>
      <protection/>
    </xf>
    <xf numFmtId="40" fontId="0" fillId="0" borderId="0" xfId="0" applyNumberFormat="1" applyFill="1" applyBorder="1" applyAlignment="1">
      <alignment vertical="top"/>
    </xf>
    <xf numFmtId="0" fontId="24" fillId="0" borderId="0" xfId="0" applyFont="1" applyAlignment="1">
      <alignment horizontal="center" vertical="top"/>
    </xf>
    <xf numFmtId="0" fontId="24" fillId="4" borderId="0" xfId="0" applyFont="1" applyFill="1" applyAlignment="1">
      <alignment horizontal="center" vertical="top"/>
    </xf>
    <xf numFmtId="0" fontId="24" fillId="7" borderId="0" xfId="0" applyFont="1" applyFill="1" applyAlignment="1">
      <alignment horizontal="center" vertical="top"/>
    </xf>
    <xf numFmtId="43" fontId="0" fillId="0" borderId="0" xfId="42" applyFont="1" applyAlignment="1" applyProtection="1">
      <alignment vertical="top"/>
      <protection locked="0"/>
    </xf>
    <xf numFmtId="0" fontId="8" fillId="34" borderId="0" xfId="0" applyNumberFormat="1" applyFont="1" applyFill="1" applyAlignment="1">
      <alignment horizontal="center" vertical="top"/>
    </xf>
    <xf numFmtId="0" fontId="10" fillId="0" borderId="0" xfId="0" applyFont="1" applyAlignment="1">
      <alignment vertical="top"/>
    </xf>
    <xf numFmtId="0" fontId="18" fillId="0" borderId="0" xfId="0" applyFont="1" applyAlignment="1">
      <alignment horizontal="center" vertical="top"/>
    </xf>
    <xf numFmtId="0" fontId="61" fillId="0" borderId="0" xfId="0" applyFont="1" applyAlignment="1">
      <alignment horizontal="right" vertical="top"/>
    </xf>
    <xf numFmtId="0" fontId="18" fillId="4" borderId="0" xfId="0" applyFont="1" applyFill="1" applyAlignment="1">
      <alignment horizontal="center" vertical="top"/>
    </xf>
    <xf numFmtId="0" fontId="18" fillId="7" borderId="0" xfId="0" applyFont="1" applyFill="1" applyAlignment="1">
      <alignment horizontal="center" vertical="top"/>
    </xf>
    <xf numFmtId="0" fontId="28" fillId="4" borderId="0" xfId="0" applyFont="1" applyFill="1" applyAlignment="1">
      <alignment horizontal="center" vertical="top"/>
    </xf>
    <xf numFmtId="0" fontId="28" fillId="7" borderId="0" xfId="0" applyFont="1" applyFill="1" applyAlignment="1">
      <alignment horizontal="center" vertical="top"/>
    </xf>
    <xf numFmtId="0" fontId="10" fillId="0" borderId="8" xfId="0" applyFont="1" applyBorder="1" applyAlignment="1">
      <alignment horizontal="center" vertical="top"/>
    </xf>
    <xf numFmtId="0" fontId="18" fillId="4" borderId="8" xfId="0" applyFont="1" applyFill="1" applyBorder="1" applyAlignment="1">
      <alignment horizontal="center" vertical="top"/>
    </xf>
    <xf numFmtId="0" fontId="18" fillId="7" borderId="8" xfId="0" applyFont="1" applyFill="1" applyBorder="1" applyAlignment="1">
      <alignment horizontal="center" vertical="top"/>
    </xf>
    <xf numFmtId="0" fontId="10" fillId="0" borderId="8" xfId="0" applyFont="1" applyBorder="1" applyAlignment="1">
      <alignment vertical="top"/>
    </xf>
    <xf numFmtId="38" fontId="10" fillId="0" borderId="0" xfId="0" applyNumberFormat="1" applyFont="1" applyAlignment="1">
      <alignment vertical="top"/>
    </xf>
    <xf numFmtId="38" fontId="10" fillId="4" borderId="0" xfId="0" applyNumberFormat="1" applyFont="1" applyFill="1" applyAlignment="1">
      <alignment vertical="top"/>
    </xf>
    <xf numFmtId="38" fontId="10" fillId="7" borderId="0" xfId="0" applyNumberFormat="1" applyFont="1" applyFill="1" applyAlignment="1">
      <alignment vertical="top"/>
    </xf>
    <xf numFmtId="0" fontId="10" fillId="0" borderId="0" xfId="0" applyFont="1" applyFill="1" applyAlignment="1" applyProtection="1">
      <alignment horizontal="left" indent="1"/>
      <protection/>
    </xf>
    <xf numFmtId="38" fontId="10" fillId="0" borderId="8" xfId="0" applyNumberFormat="1" applyFont="1" applyBorder="1" applyAlignment="1">
      <alignment vertical="top"/>
    </xf>
    <xf numFmtId="38" fontId="10" fillId="4" borderId="8" xfId="0" applyNumberFormat="1" applyFont="1" applyFill="1" applyBorder="1" applyAlignment="1">
      <alignment vertical="top"/>
    </xf>
    <xf numFmtId="38" fontId="10" fillId="7" borderId="8" xfId="0" applyNumberFormat="1" applyFont="1" applyFill="1" applyBorder="1" applyAlignment="1">
      <alignment vertical="top"/>
    </xf>
    <xf numFmtId="0" fontId="10" fillId="0" borderId="0" xfId="0" applyFont="1" applyAlignment="1" applyProtection="1">
      <alignment horizontal="left" indent="1"/>
      <protection/>
    </xf>
    <xf numFmtId="38" fontId="10" fillId="0" borderId="15" xfId="0" applyNumberFormat="1" applyFont="1" applyBorder="1" applyAlignment="1">
      <alignment vertical="top"/>
    </xf>
    <xf numFmtId="38" fontId="10" fillId="4" borderId="15" xfId="0" applyNumberFormat="1" applyFont="1" applyFill="1" applyBorder="1" applyAlignment="1">
      <alignment vertical="top"/>
    </xf>
    <xf numFmtId="38" fontId="10" fillId="7" borderId="15" xfId="0" applyNumberFormat="1" applyFont="1" applyFill="1" applyBorder="1" applyAlignment="1">
      <alignment vertical="top"/>
    </xf>
    <xf numFmtId="38" fontId="10" fillId="0" borderId="0" xfId="0" applyNumberFormat="1" applyFont="1" applyFill="1" applyAlignment="1">
      <alignment vertical="top"/>
    </xf>
    <xf numFmtId="38" fontId="18" fillId="0" borderId="0" xfId="0" applyNumberFormat="1" applyFont="1" applyAlignment="1">
      <alignment horizontal="center" vertical="top"/>
    </xf>
    <xf numFmtId="38" fontId="18" fillId="4" borderId="0" xfId="0" applyNumberFormat="1" applyFont="1" applyFill="1" applyAlignment="1">
      <alignment horizontal="center" vertical="top"/>
    </xf>
    <xf numFmtId="38" fontId="18" fillId="7" borderId="0" xfId="0" applyNumberFormat="1" applyFont="1" applyFill="1" applyAlignment="1">
      <alignment horizontal="center" vertical="top"/>
    </xf>
    <xf numFmtId="38" fontId="28" fillId="4" borderId="0" xfId="0" applyNumberFormat="1" applyFont="1" applyFill="1" applyAlignment="1">
      <alignment horizontal="center" vertical="top"/>
    </xf>
    <xf numFmtId="38" fontId="28" fillId="7" borderId="0" xfId="0" applyNumberFormat="1" applyFont="1" applyFill="1" applyAlignment="1">
      <alignment horizontal="center" vertical="top"/>
    </xf>
    <xf numFmtId="38" fontId="10" fillId="0" borderId="8" xfId="0" applyNumberFormat="1" applyFont="1" applyBorder="1" applyAlignment="1">
      <alignment horizontal="center" vertical="top"/>
    </xf>
    <xf numFmtId="38" fontId="18" fillId="4" borderId="8" xfId="0" applyNumberFormat="1" applyFont="1" applyFill="1" applyBorder="1" applyAlignment="1">
      <alignment horizontal="center" vertical="top"/>
    </xf>
    <xf numFmtId="38" fontId="28" fillId="4" borderId="8" xfId="0" applyNumberFormat="1" applyFont="1" applyFill="1" applyBorder="1" applyAlignment="1">
      <alignment horizontal="center" vertical="top"/>
    </xf>
    <xf numFmtId="38" fontId="18" fillId="7" borderId="8" xfId="0" applyNumberFormat="1" applyFont="1" applyFill="1" applyBorder="1" applyAlignment="1">
      <alignment horizontal="center" vertical="top"/>
    </xf>
    <xf numFmtId="38" fontId="28" fillId="7" borderId="8" xfId="0" applyNumberFormat="1" applyFont="1" applyFill="1" applyBorder="1" applyAlignment="1">
      <alignment horizontal="center" vertical="top"/>
    </xf>
    <xf numFmtId="38" fontId="10" fillId="0" borderId="11" xfId="0" applyNumberFormat="1" applyFont="1" applyBorder="1" applyAlignment="1">
      <alignment vertical="top"/>
    </xf>
    <xf numFmtId="38" fontId="10" fillId="4" borderId="11" xfId="0" applyNumberFormat="1" applyFont="1" applyFill="1" applyBorder="1" applyAlignment="1">
      <alignment vertical="top"/>
    </xf>
    <xf numFmtId="38" fontId="10" fillId="7" borderId="11" xfId="0" applyNumberFormat="1" applyFont="1" applyFill="1" applyBorder="1" applyAlignment="1">
      <alignment vertical="top"/>
    </xf>
    <xf numFmtId="38" fontId="10" fillId="0" borderId="0" xfId="0" applyNumberFormat="1" applyFont="1" applyBorder="1" applyAlignment="1">
      <alignment vertical="top"/>
    </xf>
    <xf numFmtId="38" fontId="10" fillId="0" borderId="0" xfId="0" applyNumberFormat="1" applyFont="1" applyFill="1" applyBorder="1" applyAlignment="1">
      <alignment vertical="top"/>
    </xf>
    <xf numFmtId="40" fontId="10" fillId="0" borderId="0" xfId="0" applyNumberFormat="1" applyFont="1" applyAlignment="1">
      <alignment vertical="top"/>
    </xf>
    <xf numFmtId="38" fontId="10" fillId="0" borderId="0" xfId="42" applyNumberFormat="1" applyFont="1" applyAlignment="1" applyProtection="1">
      <alignment vertical="top"/>
      <protection locked="0"/>
    </xf>
    <xf numFmtId="0" fontId="10" fillId="0" borderId="0" xfId="0" applyFont="1" applyBorder="1" applyAlignment="1">
      <alignment vertical="top"/>
    </xf>
    <xf numFmtId="0" fontId="8" fillId="34" borderId="0" xfId="0" applyNumberFormat="1" applyFont="1" applyFill="1" applyAlignment="1">
      <alignment horizontal="center" vertical="top"/>
    </xf>
    <xf numFmtId="0" fontId="24" fillId="0" borderId="0" xfId="0" applyFont="1" applyAlignment="1" applyProtection="1">
      <alignment/>
      <protection/>
    </xf>
    <xf numFmtId="0" fontId="0" fillId="0" borderId="0" xfId="0" applyFont="1" applyAlignment="1" applyProtection="1">
      <alignment/>
      <protection/>
    </xf>
    <xf numFmtId="0" fontId="29" fillId="0" borderId="0" xfId="0" applyFont="1" applyAlignment="1" applyProtection="1">
      <alignment/>
      <protection/>
    </xf>
    <xf numFmtId="39" fontId="0" fillId="0" borderId="0" xfId="0" applyNumberFormat="1" applyFill="1" applyAlignment="1" applyProtection="1">
      <alignment/>
      <protection/>
    </xf>
    <xf numFmtId="39" fontId="0" fillId="0" borderId="0" xfId="0" applyNumberFormat="1" applyFill="1" applyAlignment="1" applyProtection="1">
      <alignment horizontal="right"/>
      <protection/>
    </xf>
    <xf numFmtId="39" fontId="0" fillId="0" borderId="0" xfId="0" applyNumberFormat="1" applyAlignment="1" applyProtection="1">
      <alignment horizontal="right"/>
      <protection/>
    </xf>
    <xf numFmtId="39" fontId="0" fillId="0" borderId="8" xfId="0" applyNumberFormat="1" applyBorder="1" applyAlignment="1" applyProtection="1">
      <alignment horizontal="right"/>
      <protection/>
    </xf>
    <xf numFmtId="39" fontId="0" fillId="0" borderId="8" xfId="0" applyNumberFormat="1" applyFill="1" applyBorder="1" applyAlignment="1" applyProtection="1">
      <alignment horizontal="right"/>
      <protection/>
    </xf>
    <xf numFmtId="39" fontId="0" fillId="0" borderId="8" xfId="0" applyNumberFormat="1" applyBorder="1" applyAlignment="1" applyProtection="1">
      <alignment/>
      <protection/>
    </xf>
    <xf numFmtId="39" fontId="24" fillId="0" borderId="0" xfId="0" applyNumberFormat="1" applyFont="1" applyFill="1" applyAlignment="1" applyProtection="1">
      <alignment/>
      <protection/>
    </xf>
    <xf numFmtId="0" fontId="8" fillId="34" borderId="0" xfId="0" applyNumberFormat="1" applyFont="1" applyFill="1" applyAlignment="1">
      <alignment horizontal="center" vertical="top"/>
    </xf>
    <xf numFmtId="0" fontId="24" fillId="37" borderId="0" xfId="0" applyFont="1" applyFill="1" applyAlignment="1">
      <alignment vertical="top"/>
    </xf>
    <xf numFmtId="39" fontId="0" fillId="37" borderId="0" xfId="0" applyNumberFormat="1" applyFont="1" applyFill="1" applyAlignment="1">
      <alignment vertical="top"/>
    </xf>
    <xf numFmtId="39" fontId="0" fillId="37" borderId="0" xfId="0" applyNumberFormat="1" applyFill="1" applyAlignment="1">
      <alignment vertical="top"/>
    </xf>
    <xf numFmtId="39" fontId="0" fillId="37" borderId="0" xfId="0" applyNumberFormat="1" applyFont="1" applyFill="1" applyBorder="1" applyAlignment="1">
      <alignment vertical="top"/>
    </xf>
    <xf numFmtId="39" fontId="0" fillId="37" borderId="0" xfId="0" applyNumberFormat="1" applyFill="1" applyBorder="1" applyAlignment="1">
      <alignment vertical="top"/>
    </xf>
    <xf numFmtId="39" fontId="0" fillId="37" borderId="8" xfId="0" applyNumberFormat="1" applyFont="1" applyFill="1" applyBorder="1" applyAlignment="1">
      <alignment vertical="top"/>
    </xf>
    <xf numFmtId="39" fontId="0" fillId="37" borderId="8" xfId="0" applyNumberFormat="1" applyFill="1" applyBorder="1" applyAlignment="1">
      <alignment vertical="top"/>
    </xf>
    <xf numFmtId="0" fontId="24" fillId="37" borderId="0" xfId="0" applyFont="1" applyFill="1" applyAlignment="1" applyProtection="1">
      <alignment/>
      <protection/>
    </xf>
    <xf numFmtId="39" fontId="24" fillId="37" borderId="15" xfId="0" applyNumberFormat="1" applyFont="1" applyFill="1" applyBorder="1" applyAlignment="1">
      <alignment vertical="top"/>
    </xf>
    <xf numFmtId="0" fontId="8" fillId="34" borderId="0" xfId="0" applyNumberFormat="1" applyFont="1" applyFill="1" applyAlignment="1">
      <alignment horizontal="center" vertical="top"/>
    </xf>
    <xf numFmtId="43" fontId="14" fillId="6" borderId="0" xfId="60" applyFont="1" applyFill="1" applyBorder="1" applyAlignment="1">
      <alignment/>
      <protection/>
    </xf>
    <xf numFmtId="10" fontId="24" fillId="6" borderId="0" xfId="0" applyNumberFormat="1" applyFont="1" applyFill="1" applyAlignment="1">
      <alignment horizontal="center"/>
    </xf>
    <xf numFmtId="10" fontId="24" fillId="6" borderId="0" xfId="0" applyNumberFormat="1" applyFont="1" applyFill="1" applyAlignment="1">
      <alignment horizontal="center" vertical="top"/>
    </xf>
    <xf numFmtId="0" fontId="14" fillId="6" borderId="0" xfId="0" applyFont="1" applyFill="1" applyAlignment="1" applyProtection="1">
      <alignment/>
      <protection/>
    </xf>
    <xf numFmtId="39" fontId="0" fillId="6" borderId="0" xfId="0" applyNumberFormat="1" applyFill="1" applyAlignment="1">
      <alignment vertical="top"/>
    </xf>
    <xf numFmtId="10" fontId="24" fillId="6" borderId="0" xfId="0" applyNumberFormat="1" applyFont="1" applyFill="1" applyAlignment="1">
      <alignment vertical="top"/>
    </xf>
    <xf numFmtId="0" fontId="30" fillId="0" borderId="0" xfId="0" applyFont="1" applyAlignment="1">
      <alignment vertical="top"/>
    </xf>
    <xf numFmtId="0" fontId="31" fillId="0" borderId="0" xfId="0" applyFont="1" applyAlignment="1">
      <alignment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39" fontId="5" fillId="34" borderId="9" xfId="0" applyNumberFormat="1" applyFont="1" applyFill="1" applyBorder="1" applyAlignment="1">
      <alignment vertical="top"/>
    </xf>
    <xf numFmtId="0" fontId="8" fillId="34" borderId="0" xfId="0" applyNumberFormat="1" applyFont="1" applyFill="1" applyAlignment="1">
      <alignment horizontal="center" vertical="top"/>
    </xf>
    <xf numFmtId="0" fontId="8" fillId="34" borderId="0" xfId="0" applyNumberFormat="1" applyFont="1" applyFill="1" applyAlignment="1">
      <alignment horizontal="center" vertical="top"/>
    </xf>
    <xf numFmtId="0" fontId="24" fillId="0" borderId="0" xfId="0" applyFont="1" applyAlignment="1">
      <alignment horizontal="center" vertical="top"/>
    </xf>
    <xf numFmtId="0" fontId="24" fillId="4" borderId="0" xfId="0" applyFont="1" applyFill="1" applyAlignment="1">
      <alignment horizontal="center" vertical="top"/>
    </xf>
    <xf numFmtId="0" fontId="24" fillId="7" borderId="0" xfId="0" applyFont="1" applyFill="1" applyAlignment="1">
      <alignment horizontal="center" vertical="top"/>
    </xf>
    <xf numFmtId="164" fontId="8" fillId="0" borderId="0" xfId="0" applyNumberFormat="1" applyFont="1" applyFill="1" applyAlignment="1">
      <alignment horizontal="center"/>
    </xf>
    <xf numFmtId="17" fontId="9" fillId="0" borderId="0" xfId="0" applyNumberFormat="1" applyFont="1" applyFill="1" applyAlignment="1">
      <alignment horizontal="center"/>
    </xf>
    <xf numFmtId="0" fontId="5" fillId="0" borderId="0" xfId="0" applyNumberFormat="1" applyFont="1" applyFill="1" applyBorder="1" applyAlignment="1" quotePrefix="1">
      <alignment horizontal="center" vertical="top"/>
    </xf>
    <xf numFmtId="0" fontId="5" fillId="0" borderId="0" xfId="0" applyNumberFormat="1" applyFont="1" applyFill="1" applyAlignment="1">
      <alignment vertical="top"/>
    </xf>
    <xf numFmtId="0" fontId="10" fillId="0" borderId="0" xfId="0" applyNumberFormat="1" applyFont="1" applyFill="1" applyAlignment="1">
      <alignment horizontal="center" vertical="center"/>
    </xf>
    <xf numFmtId="37" fontId="5" fillId="0" borderId="8" xfId="0" applyNumberFormat="1" applyFont="1" applyFill="1" applyBorder="1" applyAlignment="1">
      <alignment vertical="top"/>
    </xf>
    <xf numFmtId="37" fontId="5" fillId="0" borderId="0" xfId="0" applyNumberFormat="1" applyFont="1" applyFill="1" applyBorder="1" applyAlignment="1">
      <alignment horizontal="right"/>
    </xf>
    <xf numFmtId="37" fontId="5" fillId="0" borderId="11" xfId="45" applyNumberFormat="1" applyFont="1" applyFill="1" applyBorder="1" applyAlignment="1" applyProtection="1">
      <alignment horizontal="right"/>
      <protection locked="0"/>
    </xf>
    <xf numFmtId="37" fontId="5" fillId="0" borderId="9" xfId="0" applyNumberFormat="1" applyFont="1" applyFill="1" applyBorder="1" applyAlignment="1">
      <alignment vertical="top"/>
    </xf>
    <xf numFmtId="4" fontId="0" fillId="0" borderId="0" xfId="0" applyNumberFormat="1" applyAlignment="1">
      <alignment vertical="top"/>
    </xf>
    <xf numFmtId="0" fontId="8" fillId="34" borderId="0" xfId="0" applyNumberFormat="1" applyFont="1" applyFill="1" applyAlignment="1">
      <alignment horizontal="left" vertical="top"/>
    </xf>
    <xf numFmtId="0" fontId="66" fillId="0" borderId="0" xfId="0" applyFont="1" applyAlignment="1" applyProtection="1">
      <alignment horizontal="right" vertical="top"/>
      <protection/>
    </xf>
    <xf numFmtId="0" fontId="0" fillId="0" borderId="0" xfId="0" applyAlignment="1" applyProtection="1">
      <alignment horizontal="left" vertical="top"/>
      <protection/>
    </xf>
    <xf numFmtId="4" fontId="67" fillId="0" borderId="0" xfId="0" applyNumberFormat="1" applyFont="1" applyAlignment="1" applyProtection="1">
      <alignment horizontal="right" vertical="top"/>
      <protection/>
    </xf>
    <xf numFmtId="0" fontId="0" fillId="0" borderId="0" xfId="0" applyAlignment="1">
      <alignment horizontal="center" vertical="top"/>
    </xf>
    <xf numFmtId="14" fontId="0" fillId="0" borderId="0" xfId="0" applyNumberFormat="1" applyAlignment="1">
      <alignment vertical="top"/>
    </xf>
    <xf numFmtId="39" fontId="12" fillId="0" borderId="0" xfId="0" applyNumberFormat="1" applyFont="1" applyAlignment="1">
      <alignment vertical="top"/>
    </xf>
    <xf numFmtId="4" fontId="18" fillId="0" borderId="0" xfId="0" applyNumberFormat="1" applyFont="1" applyFill="1" applyBorder="1" applyAlignment="1" applyProtection="1">
      <alignment vertical="top"/>
      <protection/>
    </xf>
    <xf numFmtId="49" fontId="7" fillId="0" borderId="0" xfId="0" applyNumberFormat="1" applyFont="1" applyFill="1" applyBorder="1" applyAlignment="1" applyProtection="1">
      <alignment horizontal="left" vertical="top"/>
      <protection/>
    </xf>
    <xf numFmtId="0" fontId="24" fillId="0" borderId="0" xfId="0" applyFont="1" applyAlignment="1">
      <alignment horizontal="center" vertical="top"/>
    </xf>
    <xf numFmtId="0" fontId="31" fillId="0" borderId="0" xfId="0" applyFont="1" applyAlignment="1">
      <alignment horizontal="left" vertical="top" wrapText="1"/>
    </xf>
    <xf numFmtId="0" fontId="8" fillId="0" borderId="0" xfId="0" applyFont="1" applyFill="1" applyAlignment="1">
      <alignment horizontal="center" vertical="top"/>
    </xf>
    <xf numFmtId="0" fontId="8" fillId="0" borderId="0" xfId="0" applyFont="1" applyAlignment="1">
      <alignment horizontal="center"/>
    </xf>
    <xf numFmtId="38" fontId="18" fillId="0" borderId="0" xfId="0" applyNumberFormat="1" applyFont="1" applyFill="1" applyAlignment="1">
      <alignment horizontal="center" vertical="top"/>
    </xf>
    <xf numFmtId="0" fontId="28" fillId="7" borderId="0" xfId="0" applyFont="1" applyFill="1" applyAlignment="1">
      <alignment horizontal="center" vertical="top" wrapText="1"/>
    </xf>
    <xf numFmtId="0" fontId="28" fillId="7" borderId="8" xfId="0" applyFont="1" applyFill="1" applyBorder="1" applyAlignment="1">
      <alignment horizontal="center" vertical="top" wrapText="1"/>
    </xf>
    <xf numFmtId="0" fontId="28" fillId="4" borderId="0" xfId="0" applyFont="1" applyFill="1" applyAlignment="1">
      <alignment horizontal="center" vertical="top" wrapText="1"/>
    </xf>
    <xf numFmtId="0" fontId="28" fillId="4" borderId="8" xfId="0" applyFont="1" applyFill="1" applyBorder="1" applyAlignment="1">
      <alignment horizontal="center" vertical="top" wrapText="1"/>
    </xf>
    <xf numFmtId="0" fontId="18" fillId="0" borderId="0" xfId="0" applyFont="1" applyAlignment="1">
      <alignment horizontal="center" vertical="top"/>
    </xf>
    <xf numFmtId="0" fontId="18" fillId="0" borderId="0" xfId="0" applyFont="1" applyFill="1" applyAlignment="1">
      <alignment horizontal="center" vertical="top"/>
    </xf>
    <xf numFmtId="49" fontId="10" fillId="0" borderId="0" xfId="0" applyNumberFormat="1" applyFont="1" applyFill="1" applyBorder="1" applyAlignment="1" applyProtection="1">
      <alignment horizontal="left" vertical="top"/>
      <protection/>
    </xf>
    <xf numFmtId="165" fontId="10"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vertical="top"/>
      <protection/>
    </xf>
    <xf numFmtId="49" fontId="26" fillId="0" borderId="0" xfId="0" applyNumberFormat="1" applyFont="1" applyFill="1" applyBorder="1" applyAlignment="1" applyProtection="1">
      <alignment horizontal="right" vertical="top"/>
      <protection/>
    </xf>
    <xf numFmtId="4" fontId="18" fillId="0" borderId="0" xfId="0" applyNumberFormat="1" applyFont="1" applyFill="1" applyBorder="1" applyAlignment="1" applyProtection="1">
      <alignment horizontal="right" vertical="top"/>
      <protection/>
    </xf>
    <xf numFmtId="49" fontId="26"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right" vertical="top"/>
      <protection/>
    </xf>
    <xf numFmtId="165" fontId="18" fillId="0" borderId="0" xfId="0" applyNumberFormat="1" applyFont="1" applyFill="1" applyBorder="1" applyAlignment="1" applyProtection="1">
      <alignment horizontal="right" vertical="top"/>
      <protection/>
    </xf>
    <xf numFmtId="165" fontId="18" fillId="0" borderId="0"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left" vertical="top"/>
      <protection/>
    </xf>
    <xf numFmtId="0" fontId="8" fillId="34" borderId="0" xfId="0" applyNumberFormat="1" applyFont="1" applyFill="1" applyAlignment="1">
      <alignment horizontal="center" vertical="top"/>
    </xf>
    <xf numFmtId="4" fontId="68" fillId="0" borderId="0" xfId="0" applyNumberFormat="1" applyFont="1" applyAlignment="1" applyProtection="1">
      <alignment horizontal="right" vertical="top"/>
      <protection/>
    </xf>
    <xf numFmtId="0" fontId="66" fillId="0" borderId="0" xfId="0" applyFont="1" applyAlignment="1" applyProtection="1">
      <alignment horizontal="right" vertical="top"/>
      <protection/>
    </xf>
    <xf numFmtId="0" fontId="0" fillId="0" borderId="0" xfId="0" applyAlignment="1" applyProtection="1">
      <alignment horizontal="left" vertical="top"/>
      <protection/>
    </xf>
    <xf numFmtId="165" fontId="68" fillId="0" borderId="0" xfId="0" applyNumberFormat="1" applyFont="1" applyAlignment="1" applyProtection="1">
      <alignment horizontal="right" vertical="top"/>
      <protection/>
    </xf>
    <xf numFmtId="0" fontId="67" fillId="0" borderId="0" xfId="0" applyFont="1" applyAlignment="1" applyProtection="1">
      <alignment horizontal="left" vertical="top"/>
      <protection/>
    </xf>
    <xf numFmtId="0" fontId="69" fillId="0" borderId="0" xfId="0" applyFont="1" applyAlignment="1" applyProtection="1">
      <alignment horizontal="left" vertical="top"/>
      <protection/>
    </xf>
    <xf numFmtId="165" fontId="67" fillId="0" borderId="0" xfId="0" applyNumberFormat="1" applyFont="1" applyAlignment="1" applyProtection="1">
      <alignment horizontal="right" vertical="top"/>
      <protection/>
    </xf>
    <xf numFmtId="4" fontId="67" fillId="0" borderId="0" xfId="0" applyNumberFormat="1" applyFont="1" applyAlignment="1" applyProtection="1">
      <alignment horizontal="right" vertical="top"/>
      <protection/>
    </xf>
    <xf numFmtId="0" fontId="66" fillId="0" borderId="0" xfId="0" applyFont="1" applyAlignment="1" applyProtection="1">
      <alignment horizontal="right" vertical="top" wrapText="1"/>
      <protection/>
    </xf>
    <xf numFmtId="0" fontId="70" fillId="0" borderId="0" xfId="0" applyFont="1" applyAlignment="1" applyProtection="1">
      <alignment horizontal="left" vertical="top"/>
      <protection/>
    </xf>
    <xf numFmtId="0" fontId="66" fillId="0" borderId="0" xfId="0" applyFont="1" applyAlignment="1" applyProtection="1">
      <alignment horizontal="left" vertical="top" wrapText="1"/>
      <protection/>
    </xf>
    <xf numFmtId="0" fontId="70" fillId="0" borderId="0" xfId="0" applyFont="1" applyAlignment="1" applyProtection="1">
      <alignment horizontal="right" vertical="top"/>
      <protection/>
    </xf>
    <xf numFmtId="49" fontId="14" fillId="0" borderId="0" xfId="0" applyNumberFormat="1" applyFont="1" applyFill="1" applyBorder="1" applyAlignment="1" applyProtection="1">
      <alignment horizontal="right" vertical="top"/>
      <protection/>
    </xf>
    <xf numFmtId="165" fontId="18" fillId="0" borderId="0" xfId="0" applyNumberFormat="1" applyFont="1" applyFill="1" applyBorder="1" applyAlignment="1" applyProtection="1">
      <alignment horizontal="right" vertical="top"/>
      <protection/>
    </xf>
    <xf numFmtId="4" fontId="18" fillId="0" borderId="0" xfId="0" applyNumberFormat="1" applyFont="1" applyFill="1" applyBorder="1" applyAlignment="1" applyProtection="1">
      <alignment horizontal="right" vertical="top"/>
      <protection/>
    </xf>
    <xf numFmtId="165" fontId="10" fillId="0" borderId="0" xfId="0" applyNumberFormat="1" applyFont="1" applyFill="1" applyBorder="1" applyAlignment="1" applyProtection="1">
      <alignment horizontal="right" vertical="top"/>
      <protection/>
    </xf>
    <xf numFmtId="4"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left" vertical="top"/>
      <protection/>
    </xf>
    <xf numFmtId="0" fontId="24" fillId="4" borderId="0" xfId="0" applyFont="1" applyFill="1" applyAlignment="1">
      <alignment horizontal="center" vertical="top"/>
    </xf>
    <xf numFmtId="0" fontId="24" fillId="7" borderId="0" xfId="0" applyFont="1" applyFill="1" applyAlignment="1">
      <alignment horizontal="center"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_Bi 05 CSS Prog"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35</xdr:col>
      <xdr:colOff>0</xdr:colOff>
      <xdr:row>11</xdr:row>
      <xdr:rowOff>0</xdr:rowOff>
    </xdr:to>
    <xdr:sp>
      <xdr:nvSpPr>
        <xdr:cNvPr id="1" name="line 8011"/>
        <xdr:cNvSpPr>
          <a:spLocks/>
        </xdr:cNvSpPr>
      </xdr:nvSpPr>
      <xdr:spPr>
        <a:xfrm>
          <a:off x="0" y="15430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14</xdr:row>
      <xdr:rowOff>0</xdr:rowOff>
    </xdr:from>
    <xdr:to>
      <xdr:col>35</xdr:col>
      <xdr:colOff>57150</xdr:colOff>
      <xdr:row>14</xdr:row>
      <xdr:rowOff>0</xdr:rowOff>
    </xdr:to>
    <xdr:sp>
      <xdr:nvSpPr>
        <xdr:cNvPr id="2" name="line 8016"/>
        <xdr:cNvSpPr>
          <a:spLocks/>
        </xdr:cNvSpPr>
      </xdr:nvSpPr>
      <xdr:spPr>
        <a:xfrm>
          <a:off x="0" y="1952625"/>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49</xdr:row>
      <xdr:rowOff>0</xdr:rowOff>
    </xdr:from>
    <xdr:to>
      <xdr:col>35</xdr:col>
      <xdr:colOff>0</xdr:colOff>
      <xdr:row>49</xdr:row>
      <xdr:rowOff>0</xdr:rowOff>
    </xdr:to>
    <xdr:sp>
      <xdr:nvSpPr>
        <xdr:cNvPr id="3" name="line 8166"/>
        <xdr:cNvSpPr>
          <a:spLocks/>
        </xdr:cNvSpPr>
      </xdr:nvSpPr>
      <xdr:spPr>
        <a:xfrm>
          <a:off x="0" y="679132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81</xdr:row>
      <xdr:rowOff>0</xdr:rowOff>
    </xdr:from>
    <xdr:to>
      <xdr:col>35</xdr:col>
      <xdr:colOff>0</xdr:colOff>
      <xdr:row>81</xdr:row>
      <xdr:rowOff>0</xdr:rowOff>
    </xdr:to>
    <xdr:sp>
      <xdr:nvSpPr>
        <xdr:cNvPr id="4" name="line 8312"/>
        <xdr:cNvSpPr>
          <a:spLocks/>
        </xdr:cNvSpPr>
      </xdr:nvSpPr>
      <xdr:spPr>
        <a:xfrm>
          <a:off x="0" y="112204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113</xdr:row>
      <xdr:rowOff>0</xdr:rowOff>
    </xdr:from>
    <xdr:to>
      <xdr:col>35</xdr:col>
      <xdr:colOff>0</xdr:colOff>
      <xdr:row>113</xdr:row>
      <xdr:rowOff>0</xdr:rowOff>
    </xdr:to>
    <xdr:sp>
      <xdr:nvSpPr>
        <xdr:cNvPr id="5" name="line 8458"/>
        <xdr:cNvSpPr>
          <a:spLocks/>
        </xdr:cNvSpPr>
      </xdr:nvSpPr>
      <xdr:spPr>
        <a:xfrm>
          <a:off x="0" y="156400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35</xdr:col>
      <xdr:colOff>57150</xdr:colOff>
      <xdr:row>116</xdr:row>
      <xdr:rowOff>0</xdr:rowOff>
    </xdr:to>
    <xdr:sp>
      <xdr:nvSpPr>
        <xdr:cNvPr id="6" name="line 8463"/>
        <xdr:cNvSpPr>
          <a:spLocks/>
        </xdr:cNvSpPr>
      </xdr:nvSpPr>
      <xdr:spPr>
        <a:xfrm>
          <a:off x="0" y="16049625"/>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135</xdr:row>
      <xdr:rowOff>0</xdr:rowOff>
    </xdr:from>
    <xdr:to>
      <xdr:col>35</xdr:col>
      <xdr:colOff>0</xdr:colOff>
      <xdr:row>135</xdr:row>
      <xdr:rowOff>0</xdr:rowOff>
    </xdr:to>
    <xdr:sp>
      <xdr:nvSpPr>
        <xdr:cNvPr id="7" name="line 8533"/>
        <xdr:cNvSpPr>
          <a:spLocks/>
        </xdr:cNvSpPr>
      </xdr:nvSpPr>
      <xdr:spPr>
        <a:xfrm>
          <a:off x="0" y="1869757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155</xdr:row>
      <xdr:rowOff>0</xdr:rowOff>
    </xdr:from>
    <xdr:to>
      <xdr:col>35</xdr:col>
      <xdr:colOff>0</xdr:colOff>
      <xdr:row>155</xdr:row>
      <xdr:rowOff>0</xdr:rowOff>
    </xdr:to>
    <xdr:sp>
      <xdr:nvSpPr>
        <xdr:cNvPr id="8" name="line 8619"/>
        <xdr:cNvSpPr>
          <a:spLocks/>
        </xdr:cNvSpPr>
      </xdr:nvSpPr>
      <xdr:spPr>
        <a:xfrm>
          <a:off x="0" y="2147887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171</xdr:row>
      <xdr:rowOff>0</xdr:rowOff>
    </xdr:from>
    <xdr:to>
      <xdr:col>35</xdr:col>
      <xdr:colOff>0</xdr:colOff>
      <xdr:row>171</xdr:row>
      <xdr:rowOff>0</xdr:rowOff>
    </xdr:to>
    <xdr:sp>
      <xdr:nvSpPr>
        <xdr:cNvPr id="9" name="line 8685"/>
        <xdr:cNvSpPr>
          <a:spLocks/>
        </xdr:cNvSpPr>
      </xdr:nvSpPr>
      <xdr:spPr>
        <a:xfrm>
          <a:off x="0" y="2370772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174</xdr:row>
      <xdr:rowOff>0</xdr:rowOff>
    </xdr:from>
    <xdr:to>
      <xdr:col>35</xdr:col>
      <xdr:colOff>57150</xdr:colOff>
      <xdr:row>174</xdr:row>
      <xdr:rowOff>0</xdr:rowOff>
    </xdr:to>
    <xdr:sp>
      <xdr:nvSpPr>
        <xdr:cNvPr id="10" name="line 8690"/>
        <xdr:cNvSpPr>
          <a:spLocks/>
        </xdr:cNvSpPr>
      </xdr:nvSpPr>
      <xdr:spPr>
        <a:xfrm>
          <a:off x="0" y="24117300"/>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xdr:row>
      <xdr:rowOff>0</xdr:rowOff>
    </xdr:from>
    <xdr:to>
      <xdr:col>35</xdr:col>
      <xdr:colOff>0</xdr:colOff>
      <xdr:row>11</xdr:row>
      <xdr:rowOff>0</xdr:rowOff>
    </xdr:to>
    <xdr:sp>
      <xdr:nvSpPr>
        <xdr:cNvPr id="11" name="line 9039"/>
        <xdr:cNvSpPr>
          <a:spLocks/>
        </xdr:cNvSpPr>
      </xdr:nvSpPr>
      <xdr:spPr>
        <a:xfrm>
          <a:off x="0" y="15430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14</xdr:row>
      <xdr:rowOff>0</xdr:rowOff>
    </xdr:from>
    <xdr:to>
      <xdr:col>35</xdr:col>
      <xdr:colOff>57150</xdr:colOff>
      <xdr:row>14</xdr:row>
      <xdr:rowOff>0</xdr:rowOff>
    </xdr:to>
    <xdr:sp>
      <xdr:nvSpPr>
        <xdr:cNvPr id="12" name="line 9044"/>
        <xdr:cNvSpPr>
          <a:spLocks/>
        </xdr:cNvSpPr>
      </xdr:nvSpPr>
      <xdr:spPr>
        <a:xfrm>
          <a:off x="0" y="1952625"/>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49</xdr:row>
      <xdr:rowOff>0</xdr:rowOff>
    </xdr:from>
    <xdr:to>
      <xdr:col>35</xdr:col>
      <xdr:colOff>0</xdr:colOff>
      <xdr:row>49</xdr:row>
      <xdr:rowOff>0</xdr:rowOff>
    </xdr:to>
    <xdr:sp>
      <xdr:nvSpPr>
        <xdr:cNvPr id="13" name="line 9194"/>
        <xdr:cNvSpPr>
          <a:spLocks/>
        </xdr:cNvSpPr>
      </xdr:nvSpPr>
      <xdr:spPr>
        <a:xfrm>
          <a:off x="0" y="679132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81</xdr:row>
      <xdr:rowOff>0</xdr:rowOff>
    </xdr:from>
    <xdr:to>
      <xdr:col>35</xdr:col>
      <xdr:colOff>0</xdr:colOff>
      <xdr:row>81</xdr:row>
      <xdr:rowOff>0</xdr:rowOff>
    </xdr:to>
    <xdr:sp>
      <xdr:nvSpPr>
        <xdr:cNvPr id="14" name="line 9340"/>
        <xdr:cNvSpPr>
          <a:spLocks/>
        </xdr:cNvSpPr>
      </xdr:nvSpPr>
      <xdr:spPr>
        <a:xfrm>
          <a:off x="0" y="112204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113</xdr:row>
      <xdr:rowOff>0</xdr:rowOff>
    </xdr:from>
    <xdr:to>
      <xdr:col>35</xdr:col>
      <xdr:colOff>0</xdr:colOff>
      <xdr:row>113</xdr:row>
      <xdr:rowOff>0</xdr:rowOff>
    </xdr:to>
    <xdr:sp>
      <xdr:nvSpPr>
        <xdr:cNvPr id="15" name="line 9486"/>
        <xdr:cNvSpPr>
          <a:spLocks/>
        </xdr:cNvSpPr>
      </xdr:nvSpPr>
      <xdr:spPr>
        <a:xfrm>
          <a:off x="0" y="15640050"/>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35</xdr:col>
      <xdr:colOff>57150</xdr:colOff>
      <xdr:row>116</xdr:row>
      <xdr:rowOff>0</xdr:rowOff>
    </xdr:to>
    <xdr:sp>
      <xdr:nvSpPr>
        <xdr:cNvPr id="16" name="line 9491"/>
        <xdr:cNvSpPr>
          <a:spLocks/>
        </xdr:cNvSpPr>
      </xdr:nvSpPr>
      <xdr:spPr>
        <a:xfrm>
          <a:off x="0" y="16049625"/>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135</xdr:row>
      <xdr:rowOff>0</xdr:rowOff>
    </xdr:from>
    <xdr:to>
      <xdr:col>35</xdr:col>
      <xdr:colOff>0</xdr:colOff>
      <xdr:row>135</xdr:row>
      <xdr:rowOff>0</xdr:rowOff>
    </xdr:to>
    <xdr:sp>
      <xdr:nvSpPr>
        <xdr:cNvPr id="17" name="line 9561"/>
        <xdr:cNvSpPr>
          <a:spLocks/>
        </xdr:cNvSpPr>
      </xdr:nvSpPr>
      <xdr:spPr>
        <a:xfrm>
          <a:off x="0" y="1869757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155</xdr:row>
      <xdr:rowOff>0</xdr:rowOff>
    </xdr:from>
    <xdr:to>
      <xdr:col>35</xdr:col>
      <xdr:colOff>0</xdr:colOff>
      <xdr:row>155</xdr:row>
      <xdr:rowOff>0</xdr:rowOff>
    </xdr:to>
    <xdr:sp>
      <xdr:nvSpPr>
        <xdr:cNvPr id="18" name="line 9647"/>
        <xdr:cNvSpPr>
          <a:spLocks/>
        </xdr:cNvSpPr>
      </xdr:nvSpPr>
      <xdr:spPr>
        <a:xfrm>
          <a:off x="0" y="2147887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171</xdr:row>
      <xdr:rowOff>0</xdr:rowOff>
    </xdr:from>
    <xdr:to>
      <xdr:col>35</xdr:col>
      <xdr:colOff>0</xdr:colOff>
      <xdr:row>171</xdr:row>
      <xdr:rowOff>0</xdr:rowOff>
    </xdr:to>
    <xdr:sp>
      <xdr:nvSpPr>
        <xdr:cNvPr id="19" name="line 9713"/>
        <xdr:cNvSpPr>
          <a:spLocks/>
        </xdr:cNvSpPr>
      </xdr:nvSpPr>
      <xdr:spPr>
        <a:xfrm>
          <a:off x="0" y="23707725"/>
          <a:ext cx="935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174</xdr:row>
      <xdr:rowOff>0</xdr:rowOff>
    </xdr:from>
    <xdr:to>
      <xdr:col>35</xdr:col>
      <xdr:colOff>57150</xdr:colOff>
      <xdr:row>174</xdr:row>
      <xdr:rowOff>0</xdr:rowOff>
    </xdr:to>
    <xdr:sp>
      <xdr:nvSpPr>
        <xdr:cNvPr id="20" name="line 9718"/>
        <xdr:cNvSpPr>
          <a:spLocks/>
        </xdr:cNvSpPr>
      </xdr:nvSpPr>
      <xdr:spPr>
        <a:xfrm>
          <a:off x="0" y="24117300"/>
          <a:ext cx="9410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2"/>
  <sheetViews>
    <sheetView zoomScalePageLayoutView="0" workbookViewId="0" topLeftCell="A1">
      <selection activeCell="A32" sqref="A32:F32"/>
    </sheetView>
  </sheetViews>
  <sheetFormatPr defaultColWidth="9.33203125" defaultRowHeight="10.5"/>
  <cols>
    <col min="1" max="1" width="57.33203125" style="0" customWidth="1"/>
    <col min="2" max="2" width="13.5" style="0" customWidth="1"/>
    <col min="3" max="4" width="14.83203125" style="0" bestFit="1" customWidth="1"/>
    <col min="5" max="5" width="16" style="0" bestFit="1" customWidth="1"/>
    <col min="6" max="6" width="13.33203125" style="0" bestFit="1" customWidth="1"/>
  </cols>
  <sheetData>
    <row r="1" spans="1:7" ht="10.5">
      <c r="A1" s="413" t="s">
        <v>261</v>
      </c>
      <c r="B1" s="413"/>
      <c r="C1" s="413"/>
      <c r="D1" s="413"/>
      <c r="E1" s="413"/>
      <c r="F1" s="261"/>
      <c r="G1" s="261"/>
    </row>
    <row r="2" spans="1:7" ht="10.5">
      <c r="A2" s="413" t="s">
        <v>265</v>
      </c>
      <c r="B2" s="413"/>
      <c r="C2" s="413"/>
      <c r="D2" s="413"/>
      <c r="E2" s="413"/>
      <c r="F2" s="265"/>
      <c r="G2" s="265"/>
    </row>
    <row r="3" spans="1:7" ht="10.5">
      <c r="A3" s="413" t="s">
        <v>547</v>
      </c>
      <c r="B3" s="413"/>
      <c r="C3" s="413"/>
      <c r="D3" s="413"/>
      <c r="E3" s="413"/>
      <c r="F3" s="265"/>
      <c r="G3" s="265"/>
    </row>
    <row r="4" ht="10.5">
      <c r="A4" s="158" t="s">
        <v>52</v>
      </c>
    </row>
    <row r="5" ht="10.5">
      <c r="A5" s="173" t="s">
        <v>52</v>
      </c>
    </row>
    <row r="6" ht="10.5">
      <c r="A6" s="157" t="s">
        <v>52</v>
      </c>
    </row>
    <row r="7" spans="2:5" ht="10.5">
      <c r="B7" s="262" t="s">
        <v>262</v>
      </c>
      <c r="C7" s="269" t="s">
        <v>190</v>
      </c>
      <c r="D7" s="269" t="s">
        <v>424</v>
      </c>
      <c r="E7" s="262" t="s">
        <v>3</v>
      </c>
    </row>
    <row r="8" spans="2:5" ht="10.5">
      <c r="B8" s="270">
        <f>B18/E18</f>
        <v>0.03811080978345634</v>
      </c>
      <c r="C8" s="271">
        <f>C18/E18</f>
        <v>0.5832457753848008</v>
      </c>
      <c r="D8" s="271">
        <f>D18/E18</f>
        <v>0.3786434148317429</v>
      </c>
      <c r="E8" s="272"/>
    </row>
    <row r="9" spans="1:4" ht="10.5">
      <c r="A9" s="158"/>
      <c r="B9" s="165"/>
      <c r="C9" s="266"/>
      <c r="D9" s="267"/>
    </row>
    <row r="10" spans="1:5" s="99" customFormat="1" ht="10.5">
      <c r="A10" s="357" t="s">
        <v>506</v>
      </c>
      <c r="B10" s="358">
        <v>274883.39</v>
      </c>
      <c r="C10" s="358">
        <v>3744104.33</v>
      </c>
      <c r="D10" s="359">
        <v>2182583.29</v>
      </c>
      <c r="E10" s="359">
        <f>SUM(B10:D10)</f>
        <v>6201571.01</v>
      </c>
    </row>
    <row r="11" spans="1:5" s="99" customFormat="1" ht="10.5">
      <c r="A11" s="357"/>
      <c r="B11" s="358"/>
      <c r="C11" s="358"/>
      <c r="D11" s="359"/>
      <c r="E11" s="359"/>
    </row>
    <row r="12" spans="1:5" s="99" customFormat="1" ht="10.5">
      <c r="A12" s="357" t="s">
        <v>274</v>
      </c>
      <c r="B12" s="358">
        <v>272275.97</v>
      </c>
      <c r="C12" s="358">
        <v>8803589.68</v>
      </c>
      <c r="D12" s="359">
        <v>0</v>
      </c>
      <c r="E12" s="359">
        <f>SUM(B12:D12)</f>
        <v>9075865.65</v>
      </c>
    </row>
    <row r="13" spans="1:5" s="99" customFormat="1" ht="10.5">
      <c r="A13" s="357" t="s">
        <v>456</v>
      </c>
      <c r="B13" s="358">
        <v>184434.65</v>
      </c>
      <c r="C13" s="358">
        <v>0</v>
      </c>
      <c r="D13" s="359">
        <v>5963385.2</v>
      </c>
      <c r="E13" s="359">
        <f>SUM(B13:D13)</f>
        <v>6147819.850000001</v>
      </c>
    </row>
    <row r="14" spans="1:5" s="99" customFormat="1" ht="10.5">
      <c r="A14" s="357" t="s">
        <v>275</v>
      </c>
      <c r="B14" s="360">
        <v>88305.25</v>
      </c>
      <c r="C14" s="360">
        <v>0</v>
      </c>
      <c r="D14" s="361">
        <v>0</v>
      </c>
      <c r="E14" s="361">
        <f>SUM(B14:D14)</f>
        <v>88305.25</v>
      </c>
    </row>
    <row r="15" spans="1:5" s="99" customFormat="1" ht="10.5">
      <c r="A15" s="357" t="s">
        <v>443</v>
      </c>
      <c r="B15" s="362">
        <v>0</v>
      </c>
      <c r="C15" s="362">
        <v>0</v>
      </c>
      <c r="D15" s="363">
        <v>0</v>
      </c>
      <c r="E15" s="363">
        <f>SUM(B15:D15)</f>
        <v>0</v>
      </c>
    </row>
    <row r="16" spans="1:5" s="99" customFormat="1" ht="10.5">
      <c r="A16" s="357" t="s">
        <v>276</v>
      </c>
      <c r="B16" s="358">
        <f>SUM(B12:B15)</f>
        <v>545015.87</v>
      </c>
      <c r="C16" s="358">
        <f>SUM(C12:C15)</f>
        <v>8803589.68</v>
      </c>
      <c r="D16" s="358">
        <f>SUM(D12:D15)</f>
        <v>5963385.2</v>
      </c>
      <c r="E16" s="358">
        <f>SUM(E12:E15)</f>
        <v>15311990.75</v>
      </c>
    </row>
    <row r="17" spans="1:4" s="99" customFormat="1" ht="10.5">
      <c r="A17" s="158"/>
      <c r="B17" s="165"/>
      <c r="C17" s="266"/>
      <c r="D17" s="267"/>
    </row>
    <row r="18" spans="1:5" s="99" customFormat="1" ht="10.5">
      <c r="A18" s="278" t="s">
        <v>459</v>
      </c>
      <c r="B18" s="264">
        <f>B10+B16</f>
        <v>819899.26</v>
      </c>
      <c r="C18" s="264">
        <f>C10+C16</f>
        <v>12547694.01</v>
      </c>
      <c r="D18" s="264">
        <f>D10+D16</f>
        <v>8145968.49</v>
      </c>
      <c r="E18" s="164">
        <f>SUM(B18:D18)</f>
        <v>21513561.759999998</v>
      </c>
    </row>
    <row r="19" spans="1:4" s="99" customFormat="1" ht="10.5">
      <c r="A19" s="158"/>
      <c r="B19" s="165"/>
      <c r="C19" s="266"/>
      <c r="D19" s="267"/>
    </row>
    <row r="20" spans="1:5" ht="10.5">
      <c r="A20" s="346" t="s">
        <v>468</v>
      </c>
      <c r="B20" s="164">
        <f>254809.74+40143.26+119.24</f>
        <v>295072.24</v>
      </c>
      <c r="C20" s="267">
        <v>8327804.12</v>
      </c>
      <c r="D20" s="267">
        <v>5697488.42</v>
      </c>
      <c r="E20" s="164">
        <f>SUM(B20:D20)</f>
        <v>14320364.78</v>
      </c>
    </row>
    <row r="21" spans="1:4" ht="10.5">
      <c r="A21" s="347"/>
      <c r="C21" s="219"/>
      <c r="D21" s="219"/>
    </row>
    <row r="22" spans="1:7" ht="10.5">
      <c r="A22" s="364" t="s">
        <v>463</v>
      </c>
      <c r="B22" s="361">
        <v>300</v>
      </c>
      <c r="C22" s="361">
        <v>3237270.96</v>
      </c>
      <c r="D22" s="361">
        <v>2448491.75</v>
      </c>
      <c r="E22" s="361">
        <f>SUM(B22:D22)</f>
        <v>5686062.71</v>
      </c>
      <c r="G22" t="s">
        <v>52</v>
      </c>
    </row>
    <row r="23" spans="1:4" ht="10.5">
      <c r="A23" s="158"/>
      <c r="C23" s="222"/>
      <c r="D23" s="222"/>
    </row>
    <row r="24" spans="1:5" ht="11.25" thickBot="1">
      <c r="A24" s="346" t="s">
        <v>263</v>
      </c>
      <c r="B24" s="170">
        <f>B18-B20-B22</f>
        <v>524527.02</v>
      </c>
      <c r="C24" s="170">
        <f>C18-C20-C22</f>
        <v>982618.9299999997</v>
      </c>
      <c r="D24" s="170">
        <f>D18-D20-D22</f>
        <v>-11.679999999701977</v>
      </c>
      <c r="E24" s="170">
        <f>SUM(B24:D24)</f>
        <v>1507134.27</v>
      </c>
    </row>
    <row r="25" spans="1:5" ht="11.25" thickTop="1">
      <c r="A25" s="348"/>
      <c r="B25" s="263"/>
      <c r="C25" s="268"/>
      <c r="D25" s="268"/>
      <c r="E25" s="223"/>
    </row>
    <row r="26" spans="1:5" ht="11.25" thickBot="1">
      <c r="A26" s="364" t="s">
        <v>264</v>
      </c>
      <c r="B26" s="365">
        <f>B24+B22</f>
        <v>524827.02</v>
      </c>
      <c r="C26" s="365">
        <f>C22+C24</f>
        <v>4219889.89</v>
      </c>
      <c r="D26" s="365">
        <f>D22+D24</f>
        <v>2448480.0700000003</v>
      </c>
      <c r="E26" s="365">
        <f>SUM(B26:D26)</f>
        <v>7193196.98</v>
      </c>
    </row>
    <row r="27" spans="1:5" ht="12.75" thickTop="1">
      <c r="A27" s="367" t="s">
        <v>461</v>
      </c>
      <c r="B27" s="368">
        <f>B20/E20</f>
        <v>0.02060507846923715</v>
      </c>
      <c r="C27" s="369" t="s">
        <v>52</v>
      </c>
      <c r="D27" s="369" t="s">
        <v>52</v>
      </c>
      <c r="E27" s="369" t="s">
        <v>52</v>
      </c>
    </row>
    <row r="28" spans="1:5" ht="12">
      <c r="A28" s="370" t="s">
        <v>462</v>
      </c>
      <c r="B28" s="371"/>
      <c r="C28" s="371"/>
      <c r="D28" s="371"/>
      <c r="E28" s="372">
        <f>E26/E18</f>
        <v>0.3343563962232538</v>
      </c>
    </row>
    <row r="29" spans="1:6" ht="10.5">
      <c r="A29" s="214" t="s">
        <v>52</v>
      </c>
      <c r="B29" s="181" t="str">
        <f>'OEA GMR old'!B45</f>
        <v> </v>
      </c>
      <c r="C29" s="181" t="s">
        <v>52</v>
      </c>
      <c r="D29" s="181" t="s">
        <v>52</v>
      </c>
      <c r="E29" s="181" t="s">
        <v>52</v>
      </c>
      <c r="F29" s="181" t="s">
        <v>52</v>
      </c>
    </row>
    <row r="31" spans="1:6" ht="10.5">
      <c r="A31" s="373" t="s">
        <v>464</v>
      </c>
      <c r="B31" s="99"/>
      <c r="C31" s="99"/>
      <c r="D31" s="99"/>
      <c r="E31" s="99" t="s">
        <v>52</v>
      </c>
      <c r="F31" s="99"/>
    </row>
    <row r="32" spans="1:6" ht="10.5">
      <c r="A32" s="414" t="s">
        <v>465</v>
      </c>
      <c r="B32" s="414"/>
      <c r="C32" s="414"/>
      <c r="D32" s="414"/>
      <c r="E32" s="414"/>
      <c r="F32" s="414"/>
    </row>
    <row r="33" spans="1:6" ht="10.5">
      <c r="A33" s="374" t="s">
        <v>469</v>
      </c>
      <c r="B33" s="99"/>
      <c r="C33" s="99"/>
      <c r="D33" s="99"/>
      <c r="E33" s="99"/>
      <c r="F33" s="99"/>
    </row>
    <row r="34" spans="1:6" ht="10.5">
      <c r="A34" s="374" t="s">
        <v>52</v>
      </c>
      <c r="B34" s="99"/>
      <c r="C34" s="99"/>
      <c r="D34" s="99"/>
      <c r="E34" s="99"/>
      <c r="F34" s="99"/>
    </row>
    <row r="35" spans="1:6" ht="10.5">
      <c r="A35" s="374"/>
      <c r="B35" s="99"/>
      <c r="C35" s="99"/>
      <c r="D35" s="99"/>
      <c r="E35" s="99"/>
      <c r="F35" s="99"/>
    </row>
    <row r="36" spans="1:6" ht="10.5">
      <c r="A36" s="374"/>
      <c r="B36" s="99"/>
      <c r="C36" s="99"/>
      <c r="D36" s="99"/>
      <c r="E36" s="99"/>
      <c r="F36" s="99"/>
    </row>
    <row r="37" spans="1:6" ht="10.5">
      <c r="A37" s="374"/>
      <c r="B37" s="99"/>
      <c r="C37" s="99"/>
      <c r="D37" s="99"/>
      <c r="E37" s="99"/>
      <c r="F37" s="99"/>
    </row>
    <row r="38" spans="1:6" ht="10.5">
      <c r="A38" s="373" t="s">
        <v>466</v>
      </c>
      <c r="B38" s="99"/>
      <c r="C38" s="99"/>
      <c r="D38" s="99"/>
      <c r="E38" s="99"/>
      <c r="F38" s="99"/>
    </row>
    <row r="39" spans="1:6" ht="10.5">
      <c r="A39" s="158" t="s">
        <v>467</v>
      </c>
      <c r="B39" s="99"/>
      <c r="C39" s="99"/>
      <c r="D39" s="99"/>
      <c r="E39" s="99"/>
      <c r="F39" s="99"/>
    </row>
    <row r="40" spans="1:6" ht="10.5">
      <c r="A40" s="374" t="s">
        <v>470</v>
      </c>
      <c r="B40" s="99"/>
      <c r="C40" s="99"/>
      <c r="D40" s="99"/>
      <c r="E40" s="99"/>
      <c r="F40" s="99"/>
    </row>
    <row r="41" spans="1:6" ht="10.5">
      <c r="A41" s="374" t="s">
        <v>471</v>
      </c>
      <c r="B41" s="99"/>
      <c r="C41" s="99"/>
      <c r="D41" s="99"/>
      <c r="E41" s="99"/>
      <c r="F41" s="99"/>
    </row>
    <row r="42" spans="1:6" ht="10.5">
      <c r="A42" s="374" t="s">
        <v>52</v>
      </c>
      <c r="B42" s="99"/>
      <c r="C42" s="99"/>
      <c r="D42" s="99"/>
      <c r="E42" s="99"/>
      <c r="F42" s="99"/>
    </row>
  </sheetData>
  <sheetProtection/>
  <mergeCells count="4">
    <mergeCell ref="A1:E1"/>
    <mergeCell ref="A2:E2"/>
    <mergeCell ref="A3:E3"/>
    <mergeCell ref="A32:F32"/>
  </mergeCells>
  <printOptions/>
  <pageMargins left="0.7" right="0.7" top="0.75" bottom="0.75" header="0.3" footer="0.3"/>
  <pageSetup horizontalDpi="600" verticalDpi="600" orientation="landscape" r:id="rId3"/>
  <headerFooter>
    <oddFooter>&amp;L
&amp;C&amp;Z&amp;F</oddFooter>
  </headerFooter>
  <ignoredErrors>
    <ignoredError sqref="B29 E24 B26:E26 B18:E18 E22 E20 B8:D8 E13 E10 E12 E14 B16:E16 E15 B27 E28 B24:D24 B20" unlockedFormula="1"/>
  </ignoredError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E120"/>
  <sheetViews>
    <sheetView zoomScalePageLayoutView="0" workbookViewId="0" topLeftCell="A1">
      <selection activeCell="A2" sqref="A2"/>
    </sheetView>
  </sheetViews>
  <sheetFormatPr defaultColWidth="9.33203125" defaultRowHeight="10.5"/>
  <cols>
    <col min="1" max="1" width="33.5" style="83" customWidth="1"/>
    <col min="2" max="3" width="16.5" style="88" customWidth="1"/>
    <col min="4" max="4" width="16.66015625" style="88" bestFit="1" customWidth="1"/>
    <col min="5" max="5" width="13.33203125" style="47" bestFit="1" customWidth="1"/>
    <col min="6" max="6" width="13.83203125" style="48" bestFit="1" customWidth="1"/>
    <col min="7" max="10" width="9.33203125" style="48" customWidth="1"/>
    <col min="11" max="11" width="12.16015625" style="48" bestFit="1" customWidth="1"/>
    <col min="12" max="16384" width="9.33203125" style="48" customWidth="1"/>
  </cols>
  <sheetData>
    <row r="1" spans="1:3" ht="10.5">
      <c r="A1" s="90" t="s">
        <v>447</v>
      </c>
      <c r="C1" s="174" t="s">
        <v>52</v>
      </c>
    </row>
    <row r="2" spans="1:3" ht="10.5">
      <c r="A2" s="90" t="s">
        <v>306</v>
      </c>
      <c r="C2" s="174"/>
    </row>
    <row r="4" spans="1:4" ht="10.5">
      <c r="A4" s="227" t="s">
        <v>191</v>
      </c>
      <c r="B4" s="228"/>
      <c r="C4" s="228"/>
      <c r="D4" s="228"/>
    </row>
    <row r="5" spans="1:4" s="96" customFormat="1" ht="10.5">
      <c r="A5" s="229" t="s">
        <v>44</v>
      </c>
      <c r="B5" s="230"/>
      <c r="C5" s="230"/>
      <c r="D5" s="230"/>
    </row>
    <row r="6" spans="1:5" ht="11.25" customHeight="1">
      <c r="A6" s="230"/>
      <c r="B6" s="231" t="s">
        <v>197</v>
      </c>
      <c r="C6" s="231" t="s">
        <v>12</v>
      </c>
      <c r="D6" s="231" t="s">
        <v>198</v>
      </c>
      <c r="E6" s="48"/>
    </row>
    <row r="7" spans="1:4" s="89" customFormat="1" ht="10.5">
      <c r="A7" s="232" t="s">
        <v>196</v>
      </c>
      <c r="B7" s="233">
        <v>8736.69</v>
      </c>
      <c r="C7" s="233">
        <v>8736.69</v>
      </c>
      <c r="D7" s="233">
        <f>B7-C7</f>
        <v>0</v>
      </c>
    </row>
    <row r="8" spans="1:5" ht="10.5">
      <c r="A8" s="234" t="s">
        <v>307</v>
      </c>
      <c r="B8" s="235">
        <v>94771.92</v>
      </c>
      <c r="C8" s="235">
        <v>94771.92</v>
      </c>
      <c r="D8" s="233">
        <f aca="true" t="shared" si="0" ref="D8:D20">B8-C8</f>
        <v>0</v>
      </c>
      <c r="E8" s="48"/>
    </row>
    <row r="9" spans="1:5" ht="10.5">
      <c r="A9" s="234" t="s">
        <v>308</v>
      </c>
      <c r="B9" s="235">
        <v>11608.28</v>
      </c>
      <c r="C9" s="235">
        <v>11608.28</v>
      </c>
      <c r="D9" s="233">
        <f t="shared" si="0"/>
        <v>0</v>
      </c>
      <c r="E9" s="48"/>
    </row>
    <row r="10" spans="1:5" ht="10.5">
      <c r="A10" s="234" t="s">
        <v>309</v>
      </c>
      <c r="B10" s="235">
        <v>8055</v>
      </c>
      <c r="C10" s="235">
        <v>8055</v>
      </c>
      <c r="D10" s="233">
        <f t="shared" si="0"/>
        <v>0</v>
      </c>
      <c r="E10" s="48"/>
    </row>
    <row r="11" spans="1:5" ht="10.5">
      <c r="A11" s="234" t="s">
        <v>310</v>
      </c>
      <c r="B11" s="235">
        <v>3137</v>
      </c>
      <c r="C11" s="235">
        <v>3137</v>
      </c>
      <c r="D11" s="233">
        <f t="shared" si="0"/>
        <v>0</v>
      </c>
      <c r="E11" s="48"/>
    </row>
    <row r="12" spans="1:4" s="96" customFormat="1" ht="10.5">
      <c r="A12" s="234" t="s">
        <v>311</v>
      </c>
      <c r="B12" s="235">
        <v>67009</v>
      </c>
      <c r="C12" s="235">
        <v>67009</v>
      </c>
      <c r="D12" s="233">
        <f t="shared" si="0"/>
        <v>0</v>
      </c>
    </row>
    <row r="13" spans="1:5" ht="10.5" customHeight="1">
      <c r="A13" s="234" t="s">
        <v>312</v>
      </c>
      <c r="B13" s="235">
        <v>29872</v>
      </c>
      <c r="C13" s="235">
        <v>29872</v>
      </c>
      <c r="D13" s="233">
        <f t="shared" si="0"/>
        <v>0</v>
      </c>
      <c r="E13" s="48"/>
    </row>
    <row r="14" spans="1:4" s="89" customFormat="1" ht="10.5">
      <c r="A14" s="236" t="s">
        <v>313</v>
      </c>
      <c r="B14" s="233">
        <v>8972</v>
      </c>
      <c r="C14" s="233">
        <v>8972</v>
      </c>
      <c r="D14" s="233">
        <f t="shared" si="0"/>
        <v>0</v>
      </c>
    </row>
    <row r="15" spans="1:5" ht="10.5">
      <c r="A15" s="234" t="s">
        <v>314</v>
      </c>
      <c r="B15" s="235">
        <v>5716.65</v>
      </c>
      <c r="C15" s="235">
        <v>5716.65</v>
      </c>
      <c r="D15" s="233">
        <f t="shared" si="0"/>
        <v>0</v>
      </c>
      <c r="E15" s="48"/>
    </row>
    <row r="16" spans="1:5" ht="10.5">
      <c r="A16" s="234" t="s">
        <v>315</v>
      </c>
      <c r="B16" s="235">
        <v>73065.59</v>
      </c>
      <c r="C16" s="235">
        <v>73065.59</v>
      </c>
      <c r="D16" s="233">
        <f t="shared" si="0"/>
        <v>0</v>
      </c>
      <c r="E16" s="48"/>
    </row>
    <row r="17" spans="1:5" ht="10.5">
      <c r="A17" s="234" t="s">
        <v>316</v>
      </c>
      <c r="B17" s="235">
        <v>6968</v>
      </c>
      <c r="C17" s="235">
        <v>6968</v>
      </c>
      <c r="D17" s="233">
        <f t="shared" si="0"/>
        <v>0</v>
      </c>
      <c r="E17" s="48"/>
    </row>
    <row r="18" spans="1:5" ht="10.5">
      <c r="A18" s="234" t="s">
        <v>317</v>
      </c>
      <c r="B18" s="235">
        <v>20078</v>
      </c>
      <c r="C18" s="235">
        <v>20078</v>
      </c>
      <c r="D18" s="233">
        <f t="shared" si="0"/>
        <v>0</v>
      </c>
      <c r="E18" s="48"/>
    </row>
    <row r="19" spans="1:5" ht="10.5">
      <c r="A19" s="234" t="s">
        <v>318</v>
      </c>
      <c r="B19" s="235">
        <v>22201</v>
      </c>
      <c r="C19" s="235">
        <v>22201</v>
      </c>
      <c r="D19" s="233">
        <f t="shared" si="0"/>
        <v>0</v>
      </c>
      <c r="E19" s="48"/>
    </row>
    <row r="20" spans="1:5" ht="10.5">
      <c r="A20" s="234" t="s">
        <v>319</v>
      </c>
      <c r="B20" s="237">
        <v>70036</v>
      </c>
      <c r="C20" s="237">
        <v>70036</v>
      </c>
      <c r="D20" s="238">
        <f t="shared" si="0"/>
        <v>0</v>
      </c>
      <c r="E20" s="48"/>
    </row>
    <row r="21" spans="1:5" ht="10.5">
      <c r="A21" s="230"/>
      <c r="B21" s="235"/>
      <c r="C21" s="235"/>
      <c r="D21" s="235"/>
      <c r="E21" s="48"/>
    </row>
    <row r="22" spans="1:5" ht="10.5">
      <c r="A22" s="229" t="s">
        <v>3</v>
      </c>
      <c r="B22" s="239">
        <f>SUM(B7:B20)</f>
        <v>430227.13</v>
      </c>
      <c r="C22" s="239">
        <f>SUM(C7:C20)</f>
        <v>430227.13</v>
      </c>
      <c r="D22" s="239">
        <f>SUM(D7:D20)</f>
        <v>0</v>
      </c>
      <c r="E22" s="48"/>
    </row>
    <row r="23" spans="1:5" ht="10.5">
      <c r="A23" s="230"/>
      <c r="B23" s="235"/>
      <c r="C23" s="235"/>
      <c r="D23" s="235"/>
      <c r="E23" s="48"/>
    </row>
    <row r="24" spans="1:5" ht="10.5">
      <c r="A24" s="230"/>
      <c r="B24" s="235"/>
      <c r="C24" s="235"/>
      <c r="D24" s="235"/>
      <c r="E24" s="48"/>
    </row>
    <row r="25" spans="1:5" ht="10.5">
      <c r="A25" s="229" t="s">
        <v>13</v>
      </c>
      <c r="B25" s="235"/>
      <c r="C25" s="235"/>
      <c r="D25" s="235"/>
      <c r="E25" s="48"/>
    </row>
    <row r="26" spans="1:5" ht="10.5">
      <c r="A26" s="230"/>
      <c r="B26" s="231" t="s">
        <v>197</v>
      </c>
      <c r="C26" s="231" t="s">
        <v>12</v>
      </c>
      <c r="D26" s="231" t="s">
        <v>198</v>
      </c>
      <c r="E26" s="48"/>
    </row>
    <row r="27" spans="1:5" ht="10.5">
      <c r="A27" s="234" t="s">
        <v>307</v>
      </c>
      <c r="B27" s="235">
        <f>560515+87477.8</f>
        <v>647992.8</v>
      </c>
      <c r="C27" s="235">
        <f>560515+87477.8</f>
        <v>647992.8</v>
      </c>
      <c r="D27" s="235">
        <f>B27-C27</f>
        <v>0</v>
      </c>
      <c r="E27" s="48"/>
    </row>
    <row r="28" spans="1:5" ht="10.5">
      <c r="A28" s="234" t="s">
        <v>308</v>
      </c>
      <c r="B28" s="235">
        <f>115580+15885.65</f>
        <v>131465.65</v>
      </c>
      <c r="C28" s="235">
        <f>115580+15885.65</f>
        <v>131465.65</v>
      </c>
      <c r="D28" s="235">
        <f aca="true" t="shared" si="1" ref="D28:D39">B28-C28</f>
        <v>0</v>
      </c>
      <c r="E28" s="48"/>
    </row>
    <row r="29" spans="1:5" ht="10.5">
      <c r="A29" s="234" t="s">
        <v>309</v>
      </c>
      <c r="B29" s="235">
        <f>165174+19002</f>
        <v>184176</v>
      </c>
      <c r="C29" s="235">
        <f>165174+19002</f>
        <v>184176</v>
      </c>
      <c r="D29" s="235">
        <f t="shared" si="1"/>
        <v>0</v>
      </c>
      <c r="E29" s="48"/>
    </row>
    <row r="30" spans="1:5" ht="10.5">
      <c r="A30" s="234" t="s">
        <v>310</v>
      </c>
      <c r="B30" s="235">
        <f>32200+3148</f>
        <v>35348</v>
      </c>
      <c r="C30" s="235">
        <f>32200+3148</f>
        <v>35348</v>
      </c>
      <c r="D30" s="235">
        <f t="shared" si="1"/>
        <v>0</v>
      </c>
      <c r="E30" s="48"/>
    </row>
    <row r="31" spans="1:4" s="96" customFormat="1" ht="10.5">
      <c r="A31" s="234" t="s">
        <v>311</v>
      </c>
      <c r="B31" s="235">
        <f>538236+123287</f>
        <v>661523</v>
      </c>
      <c r="C31" s="235">
        <f>538236+123287</f>
        <v>661523</v>
      </c>
      <c r="D31" s="235">
        <f t="shared" si="1"/>
        <v>0</v>
      </c>
    </row>
    <row r="32" spans="1:5" ht="11.25" customHeight="1">
      <c r="A32" s="234" t="s">
        <v>312</v>
      </c>
      <c r="B32" s="235">
        <f>337548+57589</f>
        <v>395137</v>
      </c>
      <c r="C32" s="235">
        <f>337548+57589</f>
        <v>395137</v>
      </c>
      <c r="D32" s="235">
        <f t="shared" si="1"/>
        <v>0</v>
      </c>
      <c r="E32" s="48"/>
    </row>
    <row r="33" spans="1:4" s="89" customFormat="1" ht="10.5">
      <c r="A33" s="236" t="s">
        <v>313</v>
      </c>
      <c r="B33" s="233">
        <f>65925+7752</f>
        <v>73677</v>
      </c>
      <c r="C33" s="233">
        <f>65925+7752</f>
        <v>73677</v>
      </c>
      <c r="D33" s="235">
        <f t="shared" si="1"/>
        <v>0</v>
      </c>
    </row>
    <row r="34" spans="1:5" ht="10.5">
      <c r="A34" s="234" t="s">
        <v>314</v>
      </c>
      <c r="B34" s="235">
        <f>89491+10019</f>
        <v>99510</v>
      </c>
      <c r="C34" s="235">
        <f>89491+10019</f>
        <v>99510</v>
      </c>
      <c r="D34" s="235">
        <f t="shared" si="1"/>
        <v>0</v>
      </c>
      <c r="E34" s="48"/>
    </row>
    <row r="35" spans="1:5" ht="10.5">
      <c r="A35" s="234" t="s">
        <v>315</v>
      </c>
      <c r="B35" s="235">
        <f>502281+116378.54</f>
        <v>618659.54</v>
      </c>
      <c r="C35" s="235">
        <f>502281+116378.54</f>
        <v>618659.54</v>
      </c>
      <c r="D35" s="235">
        <f t="shared" si="1"/>
        <v>0</v>
      </c>
      <c r="E35" s="48"/>
    </row>
    <row r="36" spans="1:5" ht="10.5">
      <c r="A36" s="234" t="s">
        <v>316</v>
      </c>
      <c r="B36" s="235">
        <f>152777+15378</f>
        <v>168155</v>
      </c>
      <c r="C36" s="235">
        <f>152777+15378</f>
        <v>168155</v>
      </c>
      <c r="D36" s="235">
        <f t="shared" si="1"/>
        <v>0</v>
      </c>
      <c r="E36" s="48"/>
    </row>
    <row r="37" spans="1:5" ht="10.5">
      <c r="A37" s="234" t="s">
        <v>317</v>
      </c>
      <c r="B37" s="235">
        <f>571974+75647</f>
        <v>647621</v>
      </c>
      <c r="C37" s="235">
        <f>571974+75647</f>
        <v>647621</v>
      </c>
      <c r="D37" s="235">
        <f t="shared" si="1"/>
        <v>0</v>
      </c>
      <c r="E37" s="48"/>
    </row>
    <row r="38" spans="1:5" ht="10.5">
      <c r="A38" s="234" t="s">
        <v>318</v>
      </c>
      <c r="B38" s="235">
        <f>195044+40383</f>
        <v>235427</v>
      </c>
      <c r="C38" s="235">
        <f>195044+40383</f>
        <v>235427</v>
      </c>
      <c r="D38" s="235">
        <f t="shared" si="1"/>
        <v>0</v>
      </c>
      <c r="E38" s="48"/>
    </row>
    <row r="39" spans="1:5" ht="10.5">
      <c r="A39" s="234" t="s">
        <v>319</v>
      </c>
      <c r="B39" s="237">
        <f>734466.47+59953</f>
        <v>794419.47</v>
      </c>
      <c r="C39" s="237">
        <f>734466.47+59953</f>
        <v>794419.47</v>
      </c>
      <c r="D39" s="237">
        <f t="shared" si="1"/>
        <v>0</v>
      </c>
      <c r="E39" s="48"/>
    </row>
    <row r="40" spans="1:5" ht="10.5">
      <c r="A40" s="230"/>
      <c r="B40" s="235"/>
      <c r="C40" s="235"/>
      <c r="D40" s="235"/>
      <c r="E40" s="48"/>
    </row>
    <row r="41" spans="1:5" ht="10.5">
      <c r="A41" s="229" t="s">
        <v>3</v>
      </c>
      <c r="B41" s="239">
        <f>SUM(B27:B39)</f>
        <v>4693111.46</v>
      </c>
      <c r="C41" s="239">
        <f>SUM(C27:C39)</f>
        <v>4693111.46</v>
      </c>
      <c r="D41" s="239">
        <f>SUM(D27:D39)</f>
        <v>0</v>
      </c>
      <c r="E41" s="48"/>
    </row>
    <row r="42" spans="1:5" ht="10.5">
      <c r="A42" s="230"/>
      <c r="B42" s="235"/>
      <c r="C42" s="235"/>
      <c r="D42" s="235"/>
      <c r="E42" s="48"/>
    </row>
    <row r="43" spans="1:5" ht="10.5">
      <c r="A43" s="230"/>
      <c r="B43" s="235"/>
      <c r="C43" s="235"/>
      <c r="D43" s="235"/>
      <c r="E43" s="48"/>
    </row>
    <row r="44" spans="1:5" ht="10.5">
      <c r="A44" s="229" t="s">
        <v>199</v>
      </c>
      <c r="B44" s="239">
        <f>B22+B41</f>
        <v>5123338.59</v>
      </c>
      <c r="C44" s="239">
        <f>C22+C41</f>
        <v>5123338.59</v>
      </c>
      <c r="D44" s="239">
        <f>D22+D41</f>
        <v>0</v>
      </c>
      <c r="E44" s="48"/>
    </row>
    <row r="45" spans="1:5" ht="10.5">
      <c r="A45" s="48"/>
      <c r="B45" s="226"/>
      <c r="C45" s="226"/>
      <c r="D45" s="226"/>
      <c r="E45" s="48"/>
    </row>
    <row r="46" spans="1:5" ht="10.5">
      <c r="A46" s="48"/>
      <c r="B46" s="226"/>
      <c r="C46" s="226"/>
      <c r="D46" s="226"/>
      <c r="E46" s="48"/>
    </row>
    <row r="47" spans="1:5" ht="10.5">
      <c r="A47" s="240" t="s">
        <v>190</v>
      </c>
      <c r="B47" s="241"/>
      <c r="C47" s="241"/>
      <c r="D47" s="241"/>
      <c r="E47" s="48"/>
    </row>
    <row r="48" spans="1:5" ht="10.5">
      <c r="A48" s="240" t="s">
        <v>44</v>
      </c>
      <c r="B48" s="241"/>
      <c r="C48" s="241"/>
      <c r="D48" s="241"/>
      <c r="E48" s="48"/>
    </row>
    <row r="49" spans="1:5" ht="10.5">
      <c r="A49" s="242"/>
      <c r="B49" s="243" t="s">
        <v>197</v>
      </c>
      <c r="C49" s="243" t="s">
        <v>12</v>
      </c>
      <c r="D49" s="243" t="s">
        <v>198</v>
      </c>
      <c r="E49" s="48"/>
    </row>
    <row r="50" spans="1:4" s="96" customFormat="1" ht="10.5">
      <c r="A50" s="244" t="s">
        <v>320</v>
      </c>
      <c r="B50" s="241">
        <f>205805</f>
        <v>205805</v>
      </c>
      <c r="C50" s="241">
        <f>205805</f>
        <v>205805</v>
      </c>
      <c r="D50" s="241">
        <f>B50-C50</f>
        <v>0</v>
      </c>
    </row>
    <row r="51" spans="1:5" ht="12" customHeight="1">
      <c r="A51" s="244" t="s">
        <v>321</v>
      </c>
      <c r="B51" s="241">
        <v>0</v>
      </c>
      <c r="C51" s="241">
        <v>0</v>
      </c>
      <c r="D51" s="241">
        <f aca="true" t="shared" si="2" ref="D51:D56">B51-C51</f>
        <v>0</v>
      </c>
      <c r="E51" s="48"/>
    </row>
    <row r="52" spans="1:4" s="89" customFormat="1" ht="10.5">
      <c r="A52" s="245" t="s">
        <v>322</v>
      </c>
      <c r="B52" s="246">
        <v>153600.78</v>
      </c>
      <c r="C52" s="246">
        <v>153600.78</v>
      </c>
      <c r="D52" s="241">
        <f t="shared" si="2"/>
        <v>0</v>
      </c>
    </row>
    <row r="53" spans="1:5" ht="10.5">
      <c r="A53" s="244" t="s">
        <v>323</v>
      </c>
      <c r="B53" s="241">
        <v>0</v>
      </c>
      <c r="C53" s="241">
        <v>0</v>
      </c>
      <c r="D53" s="241">
        <f t="shared" si="2"/>
        <v>0</v>
      </c>
      <c r="E53" s="48"/>
    </row>
    <row r="54" spans="1:5" ht="10.5">
      <c r="A54" s="244" t="s">
        <v>315</v>
      </c>
      <c r="B54" s="241">
        <f>220822.14</f>
        <v>220822.14</v>
      </c>
      <c r="C54" s="241">
        <v>220822.14</v>
      </c>
      <c r="D54" s="241">
        <f t="shared" si="2"/>
        <v>0</v>
      </c>
      <c r="E54" s="48"/>
    </row>
    <row r="55" spans="1:5" ht="10.5">
      <c r="A55" s="244" t="s">
        <v>316</v>
      </c>
      <c r="B55" s="241">
        <f>37547</f>
        <v>37547</v>
      </c>
      <c r="C55" s="241">
        <v>37547</v>
      </c>
      <c r="D55" s="241">
        <f t="shared" si="2"/>
        <v>0</v>
      </c>
      <c r="E55" s="48"/>
    </row>
    <row r="56" spans="1:5" ht="10.5">
      <c r="A56" s="244" t="s">
        <v>324</v>
      </c>
      <c r="B56" s="247">
        <f>26901.31</f>
        <v>26901.31</v>
      </c>
      <c r="C56" s="247">
        <v>26901.31</v>
      </c>
      <c r="D56" s="247">
        <f t="shared" si="2"/>
        <v>0</v>
      </c>
      <c r="E56" s="48"/>
    </row>
    <row r="57" spans="1:5" ht="10.5">
      <c r="A57" s="242"/>
      <c r="B57" s="241"/>
      <c r="C57" s="241"/>
      <c r="D57" s="241"/>
      <c r="E57" s="48"/>
    </row>
    <row r="58" spans="1:5" ht="10.5">
      <c r="A58" s="240" t="s">
        <v>3</v>
      </c>
      <c r="B58" s="248">
        <f>SUM(B50:B56)</f>
        <v>644676.2300000001</v>
      </c>
      <c r="C58" s="248">
        <f>SUM(C50:C56)</f>
        <v>644676.2300000001</v>
      </c>
      <c r="D58" s="248">
        <f>SUM(D50:D56)</f>
        <v>0</v>
      </c>
      <c r="E58" s="48"/>
    </row>
    <row r="59" spans="1:5" ht="10.5">
      <c r="A59" s="242"/>
      <c r="B59" s="242"/>
      <c r="C59" s="242"/>
      <c r="D59" s="242"/>
      <c r="E59" s="48"/>
    </row>
    <row r="60" spans="1:5" ht="10.5">
      <c r="A60" s="242"/>
      <c r="B60" s="242"/>
      <c r="C60" s="242"/>
      <c r="D60" s="242"/>
      <c r="E60" s="48"/>
    </row>
    <row r="61" spans="1:5" ht="10.5">
      <c r="A61" s="240" t="s">
        <v>13</v>
      </c>
      <c r="B61" s="242"/>
      <c r="C61" s="242"/>
      <c r="D61" s="242"/>
      <c r="E61" s="48"/>
    </row>
    <row r="62" spans="1:5" ht="10.5">
      <c r="A62" s="242"/>
      <c r="B62" s="243" t="s">
        <v>197</v>
      </c>
      <c r="C62" s="243" t="s">
        <v>12</v>
      </c>
      <c r="D62" s="243" t="s">
        <v>198</v>
      </c>
      <c r="E62" s="48"/>
    </row>
    <row r="63" spans="1:5" ht="10.5">
      <c r="A63" s="244" t="s">
        <v>320</v>
      </c>
      <c r="B63" s="241">
        <f>1596869+328736</f>
        <v>1925605</v>
      </c>
      <c r="C63" s="241">
        <f>1596869+328736</f>
        <v>1925605</v>
      </c>
      <c r="D63" s="241">
        <f>B63-C63</f>
        <v>0</v>
      </c>
      <c r="E63" s="48"/>
    </row>
    <row r="64" spans="1:5" ht="10.5">
      <c r="A64" s="244" t="s">
        <v>321</v>
      </c>
      <c r="B64" s="241">
        <v>0</v>
      </c>
      <c r="C64" s="241">
        <v>0</v>
      </c>
      <c r="D64" s="241">
        <f aca="true" t="shared" si="3" ref="D64:D69">B64-C64</f>
        <v>0</v>
      </c>
      <c r="E64" s="48"/>
    </row>
    <row r="65" spans="1:5" ht="10.5">
      <c r="A65" s="245" t="s">
        <v>322</v>
      </c>
      <c r="B65" s="241">
        <f>1258146+163900.11</f>
        <v>1422046.1099999999</v>
      </c>
      <c r="C65" s="241">
        <f>1258146+163900.11</f>
        <v>1422046.1099999999</v>
      </c>
      <c r="D65" s="241">
        <f t="shared" si="3"/>
        <v>0</v>
      </c>
      <c r="E65" s="48"/>
    </row>
    <row r="66" spans="1:5" ht="10.5">
      <c r="A66" s="244" t="s">
        <v>323</v>
      </c>
      <c r="B66" s="241">
        <v>0</v>
      </c>
      <c r="C66" s="241">
        <v>0</v>
      </c>
      <c r="D66" s="241">
        <f t="shared" si="3"/>
        <v>0</v>
      </c>
      <c r="E66" s="48"/>
    </row>
    <row r="67" spans="1:5" ht="10.5">
      <c r="A67" s="244" t="s">
        <v>315</v>
      </c>
      <c r="B67" s="241">
        <f>1897926+265735.97</f>
        <v>2163661.9699999997</v>
      </c>
      <c r="C67" s="241">
        <f>1897926+265735.97</f>
        <v>2163661.9699999997</v>
      </c>
      <c r="D67" s="241">
        <f t="shared" si="3"/>
        <v>0</v>
      </c>
      <c r="E67" s="48"/>
    </row>
    <row r="68" spans="1:5" ht="10.5">
      <c r="A68" s="244" t="s">
        <v>316</v>
      </c>
      <c r="B68" s="241">
        <f>828115+89918</f>
        <v>918033</v>
      </c>
      <c r="C68" s="241">
        <f>828115+89918</f>
        <v>918033</v>
      </c>
      <c r="D68" s="241">
        <f t="shared" si="3"/>
        <v>0</v>
      </c>
      <c r="E68" s="48"/>
    </row>
    <row r="69" spans="1:4" s="96" customFormat="1" ht="10.5">
      <c r="A69" s="244" t="s">
        <v>324</v>
      </c>
      <c r="B69" s="241">
        <f>200185+31215.25</f>
        <v>231400.25</v>
      </c>
      <c r="C69" s="241">
        <f>200185+31215.25</f>
        <v>231400.25</v>
      </c>
      <c r="D69" s="241">
        <f t="shared" si="3"/>
        <v>0</v>
      </c>
    </row>
    <row r="70" spans="1:5" ht="9.75" customHeight="1">
      <c r="A70" s="242"/>
      <c r="B70" s="241"/>
      <c r="C70" s="241"/>
      <c r="D70" s="241"/>
      <c r="E70" s="48"/>
    </row>
    <row r="71" spans="1:4" s="89" customFormat="1" ht="10.5">
      <c r="A71" s="249" t="s">
        <v>3</v>
      </c>
      <c r="B71" s="250">
        <f>SUM(B63:B69)</f>
        <v>6660746.33</v>
      </c>
      <c r="C71" s="250">
        <f>SUM(C63:C69)</f>
        <v>6660746.33</v>
      </c>
      <c r="D71" s="250">
        <f>SUM(D63:D69)</f>
        <v>0</v>
      </c>
    </row>
    <row r="72" spans="1:5" ht="10.5">
      <c r="A72" s="242"/>
      <c r="B72" s="241"/>
      <c r="C72" s="241"/>
      <c r="D72" s="241"/>
      <c r="E72" s="48"/>
    </row>
    <row r="73" spans="1:5" ht="10.5">
      <c r="A73" s="240" t="s">
        <v>200</v>
      </c>
      <c r="B73" s="248">
        <f>B58+B71</f>
        <v>7305422.5600000005</v>
      </c>
      <c r="C73" s="248">
        <f>C58+C71</f>
        <v>7305422.5600000005</v>
      </c>
      <c r="D73" s="248">
        <f>D58+D71</f>
        <v>0</v>
      </c>
      <c r="E73" s="48"/>
    </row>
    <row r="74" spans="1:5" ht="10.5">
      <c r="A74" s="48"/>
      <c r="B74" s="226"/>
      <c r="C74" s="226"/>
      <c r="D74" s="226"/>
      <c r="E74" s="48"/>
    </row>
    <row r="75" spans="1:5" ht="10.5">
      <c r="A75" s="48"/>
      <c r="B75" s="226"/>
      <c r="C75" s="226"/>
      <c r="D75" s="226"/>
      <c r="E75" s="48"/>
    </row>
    <row r="76" spans="1:5" ht="10.5">
      <c r="A76" s="48"/>
      <c r="B76" s="226"/>
      <c r="C76" s="226"/>
      <c r="D76" s="226">
        <f>D44+D73</f>
        <v>0</v>
      </c>
      <c r="E76" s="48"/>
    </row>
    <row r="77" spans="1:5" ht="10.5">
      <c r="A77" s="48"/>
      <c r="B77" s="226"/>
      <c r="C77" s="226"/>
      <c r="D77" s="226"/>
      <c r="E77" s="48"/>
    </row>
    <row r="78" spans="1:5" ht="10.5">
      <c r="A78" s="48"/>
      <c r="B78" s="226"/>
      <c r="C78" s="226"/>
      <c r="D78" s="226"/>
      <c r="E78" s="48"/>
    </row>
    <row r="79" spans="1:5" ht="10.5">
      <c r="A79" s="48"/>
      <c r="B79" s="48"/>
      <c r="C79" s="48"/>
      <c r="D79" s="48"/>
      <c r="E79" s="48"/>
    </row>
    <row r="80" spans="1:5" ht="10.5">
      <c r="A80" s="48"/>
      <c r="B80" s="48"/>
      <c r="C80" s="48"/>
      <c r="D80" s="48"/>
      <c r="E80" s="48"/>
    </row>
    <row r="81" s="96" customFormat="1" ht="10.5"/>
    <row r="82" spans="1:5" ht="6" customHeight="1">
      <c r="A82" s="48"/>
      <c r="B82" s="48"/>
      <c r="C82" s="48"/>
      <c r="D82" s="48"/>
      <c r="E82" s="48"/>
    </row>
    <row r="83" s="89" customFormat="1" ht="10.5"/>
    <row r="84" spans="1:5" ht="10.5">
      <c r="A84" s="48"/>
      <c r="B84" s="48"/>
      <c r="C84" s="48"/>
      <c r="D84" s="48"/>
      <c r="E84" s="48"/>
    </row>
    <row r="85" spans="1:5" ht="10.5">
      <c r="A85" s="48"/>
      <c r="B85" s="48"/>
      <c r="C85" s="48"/>
      <c r="D85" s="48"/>
      <c r="E85" s="48"/>
    </row>
    <row r="86" spans="1:5" ht="10.5">
      <c r="A86" s="48"/>
      <c r="B86" s="48"/>
      <c r="C86" s="48"/>
      <c r="D86" s="48"/>
      <c r="E86" s="48"/>
    </row>
    <row r="87" spans="1:5" ht="10.5">
      <c r="A87" s="48"/>
      <c r="B87" s="48"/>
      <c r="C87" s="48"/>
      <c r="D87" s="48"/>
      <c r="E87" s="48"/>
    </row>
    <row r="88" spans="1:5" ht="10.5">
      <c r="A88" s="48"/>
      <c r="B88" s="48"/>
      <c r="C88" s="48"/>
      <c r="D88" s="48"/>
      <c r="E88" s="48"/>
    </row>
    <row r="89" spans="1:5" ht="10.5">
      <c r="A89" s="48"/>
      <c r="B89" s="48"/>
      <c r="C89" s="48"/>
      <c r="D89" s="48"/>
      <c r="E89" s="48"/>
    </row>
    <row r="90" spans="1:5" ht="10.5">
      <c r="A90" s="48"/>
      <c r="B90" s="48"/>
      <c r="C90" s="48"/>
      <c r="D90" s="48"/>
      <c r="E90" s="48"/>
    </row>
    <row r="91" spans="1:5" ht="10.5">
      <c r="A91" s="48"/>
      <c r="B91" s="48"/>
      <c r="C91" s="48"/>
      <c r="D91" s="48"/>
      <c r="E91" s="48"/>
    </row>
    <row r="92" s="96" customFormat="1" ht="10.5"/>
    <row r="93" spans="1:5" ht="6" customHeight="1">
      <c r="A93" s="48"/>
      <c r="B93" s="48"/>
      <c r="C93" s="48"/>
      <c r="D93" s="48"/>
      <c r="E93" s="48"/>
    </row>
    <row r="94" s="89" customFormat="1" ht="10.5"/>
    <row r="95" spans="1:5" ht="10.5">
      <c r="A95" s="48"/>
      <c r="B95" s="48"/>
      <c r="C95" s="48"/>
      <c r="D95" s="48"/>
      <c r="E95" s="48"/>
    </row>
    <row r="96" spans="1:5" ht="10.5">
      <c r="A96" s="48"/>
      <c r="B96" s="48"/>
      <c r="C96" s="48"/>
      <c r="D96" s="48"/>
      <c r="E96" s="48"/>
    </row>
    <row r="97" spans="1:5" ht="10.5">
      <c r="A97" s="48"/>
      <c r="B97" s="48"/>
      <c r="C97" s="48"/>
      <c r="D97" s="48"/>
      <c r="E97" s="48"/>
    </row>
    <row r="98" spans="1:5" ht="10.5">
      <c r="A98" s="48"/>
      <c r="B98" s="48"/>
      <c r="C98" s="48"/>
      <c r="D98" s="48"/>
      <c r="E98" s="48"/>
    </row>
    <row r="99" spans="1:5" ht="10.5">
      <c r="A99" s="48"/>
      <c r="B99" s="48"/>
      <c r="C99" s="48"/>
      <c r="D99" s="48"/>
      <c r="E99" s="48"/>
    </row>
    <row r="100" spans="1:5" ht="10.5">
      <c r="A100" s="48"/>
      <c r="B100" s="48"/>
      <c r="C100" s="48"/>
      <c r="D100" s="48"/>
      <c r="E100" s="48"/>
    </row>
    <row r="101" spans="1:5" ht="10.5">
      <c r="A101" s="48"/>
      <c r="B101" s="48"/>
      <c r="C101" s="48"/>
      <c r="D101" s="48"/>
      <c r="E101" s="48"/>
    </row>
    <row r="102" spans="1:5" ht="10.5">
      <c r="A102" s="48"/>
      <c r="B102" s="48"/>
      <c r="C102" s="48"/>
      <c r="D102" s="48"/>
      <c r="E102" s="48"/>
    </row>
    <row r="103" spans="1:5" ht="10.5">
      <c r="A103" s="48"/>
      <c r="B103" s="48"/>
      <c r="C103" s="48"/>
      <c r="D103" s="48"/>
      <c r="E103" s="48"/>
    </row>
    <row r="104" spans="1:5" ht="6" customHeight="1">
      <c r="A104" s="48"/>
      <c r="B104" s="48"/>
      <c r="C104" s="48"/>
      <c r="D104" s="48"/>
      <c r="E104" s="48"/>
    </row>
    <row r="105" s="89" customFormat="1" ht="10.5"/>
    <row r="106" spans="1:5" ht="10.5">
      <c r="A106" s="48"/>
      <c r="B106" s="48"/>
      <c r="C106" s="48"/>
      <c r="D106" s="48"/>
      <c r="E106" s="48"/>
    </row>
    <row r="107" spans="1:5" ht="10.5">
      <c r="A107" s="48"/>
      <c r="B107" s="48"/>
      <c r="C107" s="48"/>
      <c r="D107" s="48"/>
      <c r="E107" s="48"/>
    </row>
    <row r="108" spans="1:5" ht="10.5">
      <c r="A108" s="48"/>
      <c r="B108" s="48"/>
      <c r="C108" s="48"/>
      <c r="D108" s="48"/>
      <c r="E108" s="48"/>
    </row>
    <row r="109" spans="1:5" ht="10.5">
      <c r="A109" s="48"/>
      <c r="B109" s="48"/>
      <c r="C109" s="48"/>
      <c r="D109" s="48"/>
      <c r="E109" s="48"/>
    </row>
    <row r="110" spans="1:5" ht="10.5">
      <c r="A110" s="48"/>
      <c r="B110" s="48"/>
      <c r="C110" s="48"/>
      <c r="D110" s="48"/>
      <c r="E110" s="48"/>
    </row>
    <row r="111" spans="1:5" ht="10.5">
      <c r="A111" s="48"/>
      <c r="B111" s="48"/>
      <c r="C111" s="48"/>
      <c r="D111" s="48"/>
      <c r="E111" s="48"/>
    </row>
    <row r="112" spans="1:5" ht="10.5">
      <c r="A112" s="48"/>
      <c r="B112" s="48"/>
      <c r="C112" s="48"/>
      <c r="D112" s="48"/>
      <c r="E112" s="48"/>
    </row>
    <row r="113" spans="1:5" ht="10.5">
      <c r="A113" s="48"/>
      <c r="B113" s="48"/>
      <c r="C113" s="48"/>
      <c r="D113" s="48"/>
      <c r="E113" s="48"/>
    </row>
    <row r="114" spans="1:5" ht="10.5">
      <c r="A114" s="48"/>
      <c r="B114" s="48"/>
      <c r="C114" s="48"/>
      <c r="D114" s="48"/>
      <c r="E114" s="48"/>
    </row>
    <row r="115" spans="1:5" ht="10.5">
      <c r="A115" s="48"/>
      <c r="B115" s="48"/>
      <c r="C115" s="48"/>
      <c r="D115" s="48"/>
      <c r="E115" s="48"/>
    </row>
    <row r="116" spans="1:5" ht="10.5">
      <c r="A116" s="48"/>
      <c r="B116" s="48"/>
      <c r="C116" s="48"/>
      <c r="D116" s="48"/>
      <c r="E116" s="48"/>
    </row>
    <row r="117" spans="1:5" ht="10.5">
      <c r="A117" s="48"/>
      <c r="B117" s="48"/>
      <c r="C117" s="48"/>
      <c r="D117" s="48"/>
      <c r="E117" s="48"/>
    </row>
    <row r="118" spans="1:5" ht="10.5">
      <c r="A118" s="48"/>
      <c r="B118" s="48"/>
      <c r="C118" s="48"/>
      <c r="D118" s="48"/>
      <c r="E118" s="48"/>
    </row>
    <row r="119" spans="1:5" ht="10.5">
      <c r="A119" s="48"/>
      <c r="B119" s="48"/>
      <c r="C119" s="48"/>
      <c r="D119" s="48"/>
      <c r="E119" s="48"/>
    </row>
    <row r="120" spans="1:5" ht="10.5">
      <c r="A120" s="48"/>
      <c r="B120" s="48"/>
      <c r="C120" s="48"/>
      <c r="D120" s="48"/>
      <c r="E120" s="48"/>
    </row>
  </sheetData>
  <sheetProtection/>
  <printOptions/>
  <pageMargins left="0.7" right="0.7" top="0.75" bottom="0.75" header="0.3" footer="0.3"/>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pageSetUpPr fitToPage="1"/>
  </sheetPr>
  <dimension ref="A1:X314"/>
  <sheetViews>
    <sheetView zoomScalePageLayoutView="0" workbookViewId="0" topLeftCell="A1">
      <selection activeCell="P280" sqref="P280:R280"/>
    </sheetView>
  </sheetViews>
  <sheetFormatPr defaultColWidth="9.33203125" defaultRowHeight="10.5"/>
  <cols>
    <col min="1" max="1" width="13.66015625" style="83" customWidth="1"/>
    <col min="2" max="2" width="11.16015625" style="88" customWidth="1"/>
    <col min="3" max="3" width="4.83203125" style="88" customWidth="1"/>
    <col min="4" max="4" width="10.66015625" style="88" customWidth="1"/>
    <col min="5" max="5" width="7.83203125" style="47" customWidth="1"/>
    <col min="6" max="6" width="2.66015625" style="48" customWidth="1"/>
    <col min="7" max="7" width="9.33203125" style="48" customWidth="1"/>
    <col min="8" max="8" width="3.33203125" style="48" customWidth="1"/>
    <col min="9" max="9" width="9.33203125" style="48" customWidth="1"/>
    <col min="10" max="10" width="1.0078125" style="48" customWidth="1"/>
    <col min="11" max="11" width="2.16015625" style="48" customWidth="1"/>
    <col min="12" max="12" width="2.66015625" style="48" customWidth="1"/>
    <col min="13" max="15" width="9.33203125" style="48" customWidth="1"/>
    <col min="16" max="16" width="8.5" style="48" customWidth="1"/>
    <col min="17" max="17" width="4.33203125" style="48" customWidth="1"/>
    <col min="18" max="22" width="9.33203125" style="48" customWidth="1"/>
    <col min="23" max="23" width="10.5" style="48" bestFit="1" customWidth="1"/>
    <col min="24" max="16384" width="9.33203125" style="48" customWidth="1"/>
  </cols>
  <sheetData>
    <row r="1" spans="1:3" ht="10.5">
      <c r="A1" s="90" t="s">
        <v>328</v>
      </c>
      <c r="C1" s="174" t="s">
        <v>52</v>
      </c>
    </row>
    <row r="2" spans="1:3" ht="10.5">
      <c r="A2" s="90" t="s">
        <v>306</v>
      </c>
      <c r="C2" s="174"/>
    </row>
    <row r="3" spans="1:24" ht="12">
      <c r="A3" s="430" t="s">
        <v>329</v>
      </c>
      <c r="B3" s="430"/>
      <c r="C3" s="455" t="s">
        <v>330</v>
      </c>
      <c r="D3" s="455"/>
      <c r="E3" s="455"/>
      <c r="F3" s="455"/>
      <c r="G3" s="455"/>
      <c r="H3" s="455"/>
      <c r="I3" s="455"/>
      <c r="J3" s="455"/>
      <c r="K3" s="455"/>
      <c r="L3" s="291"/>
      <c r="M3" s="291"/>
      <c r="N3" s="291"/>
      <c r="O3" s="291"/>
      <c r="P3" s="291"/>
      <c r="Q3" s="291"/>
      <c r="R3" s="291"/>
      <c r="S3" s="291"/>
      <c r="T3" s="291"/>
      <c r="U3" s="291"/>
      <c r="V3" s="291"/>
      <c r="W3" s="291"/>
      <c r="X3" s="291"/>
    </row>
    <row r="4" spans="1:24" ht="10.5">
      <c r="A4" s="430"/>
      <c r="B4" s="430"/>
      <c r="C4" s="291"/>
      <c r="D4" s="291"/>
      <c r="E4" s="291"/>
      <c r="F4" s="291"/>
      <c r="G4" s="291"/>
      <c r="H4" s="291"/>
      <c r="I4" s="291"/>
      <c r="J4" s="291"/>
      <c r="K4" s="291"/>
      <c r="L4" s="291"/>
      <c r="M4" s="291"/>
      <c r="N4" s="291"/>
      <c r="O4" s="291"/>
      <c r="P4" s="291"/>
      <c r="Q4" s="291"/>
      <c r="R4" s="291"/>
      <c r="S4" s="291"/>
      <c r="T4" s="291"/>
      <c r="U4" s="291"/>
      <c r="V4" s="291"/>
      <c r="W4" s="291"/>
      <c r="X4" s="291"/>
    </row>
    <row r="5" spans="1:24" s="96" customFormat="1" ht="12">
      <c r="A5" s="291"/>
      <c r="B5" s="430" t="s">
        <v>331</v>
      </c>
      <c r="C5" s="430"/>
      <c r="D5" s="455" t="s">
        <v>44</v>
      </c>
      <c r="E5" s="455"/>
      <c r="F5" s="455"/>
      <c r="G5" s="455"/>
      <c r="H5" s="455"/>
      <c r="I5" s="455"/>
      <c r="J5" s="455"/>
      <c r="K5" s="455"/>
      <c r="L5" s="455"/>
      <c r="M5" s="455"/>
      <c r="N5" s="291"/>
      <c r="O5" s="291"/>
      <c r="P5" s="291"/>
      <c r="Q5" s="291"/>
      <c r="R5" s="291"/>
      <c r="S5" s="291"/>
      <c r="T5" s="291"/>
      <c r="U5" s="291"/>
      <c r="V5" s="291"/>
      <c r="W5" s="291"/>
      <c r="X5" s="291"/>
    </row>
    <row r="6" spans="1:24" ht="11.25" customHeight="1">
      <c r="A6" s="430" t="s">
        <v>332</v>
      </c>
      <c r="B6" s="430"/>
      <c r="C6" s="291"/>
      <c r="D6" s="291"/>
      <c r="E6" s="456" t="s">
        <v>333</v>
      </c>
      <c r="F6" s="456"/>
      <c r="G6" s="456"/>
      <c r="H6" s="456"/>
      <c r="I6" s="456"/>
      <c r="J6" s="449" t="s">
        <v>3</v>
      </c>
      <c r="K6" s="449"/>
      <c r="L6" s="449"/>
      <c r="M6" s="449"/>
      <c r="N6" s="449" t="s">
        <v>334</v>
      </c>
      <c r="O6" s="449"/>
      <c r="P6" s="428" t="s">
        <v>335</v>
      </c>
      <c r="Q6" s="428"/>
      <c r="R6" s="291"/>
      <c r="S6" s="449" t="s">
        <v>336</v>
      </c>
      <c r="T6" s="449"/>
      <c r="U6" s="291"/>
      <c r="V6" s="292" t="s">
        <v>337</v>
      </c>
      <c r="W6" s="292" t="s">
        <v>338</v>
      </c>
      <c r="X6" s="291"/>
    </row>
    <row r="7" spans="1:24" s="89" customFormat="1" ht="12">
      <c r="A7" s="430"/>
      <c r="B7" s="430"/>
      <c r="C7" s="291"/>
      <c r="D7" s="291"/>
      <c r="E7" s="430" t="s">
        <v>339</v>
      </c>
      <c r="F7" s="430"/>
      <c r="G7" s="430"/>
      <c r="H7" s="430"/>
      <c r="I7" s="430"/>
      <c r="J7" s="428" t="s">
        <v>340</v>
      </c>
      <c r="K7" s="428"/>
      <c r="L7" s="428"/>
      <c r="M7" s="428"/>
      <c r="N7" s="428" t="s">
        <v>341</v>
      </c>
      <c r="O7" s="428"/>
      <c r="P7" s="428"/>
      <c r="Q7" s="428"/>
      <c r="R7" s="291"/>
      <c r="S7" s="428" t="s">
        <v>341</v>
      </c>
      <c r="T7" s="428"/>
      <c r="U7" s="291"/>
      <c r="V7" s="293" t="s">
        <v>342</v>
      </c>
      <c r="W7" s="293" t="s">
        <v>336</v>
      </c>
      <c r="X7" s="291"/>
    </row>
    <row r="8" spans="1:24" ht="12">
      <c r="A8" s="454" t="s">
        <v>196</v>
      </c>
      <c r="B8" s="454"/>
      <c r="C8" s="454"/>
      <c r="D8" s="454" t="s">
        <v>343</v>
      </c>
      <c r="E8" s="454"/>
      <c r="F8" s="454"/>
      <c r="G8" s="294" t="s">
        <v>344</v>
      </c>
      <c r="H8" s="454" t="s">
        <v>345</v>
      </c>
      <c r="I8" s="454"/>
      <c r="J8" s="452">
        <v>243.35</v>
      </c>
      <c r="K8" s="452"/>
      <c r="L8" s="452"/>
      <c r="M8" s="452"/>
      <c r="N8" s="452">
        <v>243.35</v>
      </c>
      <c r="O8" s="452"/>
      <c r="P8" s="453">
        <v>0</v>
      </c>
      <c r="Q8" s="453"/>
      <c r="R8" s="453"/>
      <c r="S8" s="452">
        <v>243.35</v>
      </c>
      <c r="T8" s="452"/>
      <c r="U8" s="453">
        <v>0</v>
      </c>
      <c r="V8" s="453"/>
      <c r="W8" s="295">
        <v>100</v>
      </c>
      <c r="X8" s="291"/>
    </row>
    <row r="9" spans="1:24" ht="10.5">
      <c r="A9" s="296"/>
      <c r="B9" s="296"/>
      <c r="C9" s="296"/>
      <c r="D9" s="296"/>
      <c r="E9" s="296"/>
      <c r="F9" s="296"/>
      <c r="G9" s="296"/>
      <c r="H9" s="296"/>
      <c r="I9" s="296"/>
      <c r="J9" s="296"/>
      <c r="K9" s="296"/>
      <c r="L9" s="296"/>
      <c r="M9" s="296"/>
      <c r="N9" s="296"/>
      <c r="O9" s="296"/>
      <c r="P9" s="296"/>
      <c r="Q9" s="296"/>
      <c r="R9" s="296"/>
      <c r="S9" s="296"/>
      <c r="T9" s="296"/>
      <c r="U9" s="296"/>
      <c r="V9" s="296"/>
      <c r="W9" s="296"/>
      <c r="X9" s="291"/>
    </row>
    <row r="10" spans="1:24" ht="12" thickBot="1">
      <c r="A10" s="291"/>
      <c r="B10" s="291"/>
      <c r="C10" s="291"/>
      <c r="D10" s="291"/>
      <c r="E10" s="291"/>
      <c r="F10" s="291"/>
      <c r="G10" s="291"/>
      <c r="H10" s="291"/>
      <c r="I10" s="291"/>
      <c r="J10" s="451">
        <v>243.35</v>
      </c>
      <c r="K10" s="451"/>
      <c r="L10" s="451"/>
      <c r="M10" s="451"/>
      <c r="N10" s="451">
        <v>243.35</v>
      </c>
      <c r="O10" s="451"/>
      <c r="P10" s="451">
        <v>0</v>
      </c>
      <c r="Q10" s="451"/>
      <c r="R10" s="451"/>
      <c r="S10" s="451">
        <v>243.35</v>
      </c>
      <c r="T10" s="451"/>
      <c r="U10" s="451">
        <v>0</v>
      </c>
      <c r="V10" s="451"/>
      <c r="W10" s="291"/>
      <c r="X10" s="291"/>
    </row>
    <row r="11" spans="1:24" ht="11.25" thickTop="1">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1"/>
    </row>
    <row r="12" spans="1:24" s="96" customFormat="1" ht="12">
      <c r="A12" s="449" t="s">
        <v>346</v>
      </c>
      <c r="B12" s="449"/>
      <c r="C12" s="449"/>
      <c r="D12" s="449"/>
      <c r="E12" s="449"/>
      <c r="F12" s="449"/>
      <c r="G12" s="449"/>
      <c r="H12" s="449"/>
      <c r="I12" s="291"/>
      <c r="J12" s="450">
        <v>243.35</v>
      </c>
      <c r="K12" s="450"/>
      <c r="L12" s="450"/>
      <c r="M12" s="450"/>
      <c r="N12" s="450">
        <v>243.35</v>
      </c>
      <c r="O12" s="450"/>
      <c r="P12" s="451">
        <v>0</v>
      </c>
      <c r="Q12" s="451"/>
      <c r="R12" s="451"/>
      <c r="S12" s="450">
        <v>243.35</v>
      </c>
      <c r="T12" s="450"/>
      <c r="U12" s="450">
        <v>0</v>
      </c>
      <c r="V12" s="450"/>
      <c r="W12" s="291"/>
      <c r="X12" s="291"/>
    </row>
    <row r="13" spans="1:24" ht="10.5" customHeight="1">
      <c r="A13" s="430" t="s">
        <v>329</v>
      </c>
      <c r="B13" s="430"/>
      <c r="C13" s="455" t="s">
        <v>347</v>
      </c>
      <c r="D13" s="455"/>
      <c r="E13" s="455"/>
      <c r="F13" s="455"/>
      <c r="G13" s="455"/>
      <c r="H13" s="455"/>
      <c r="I13" s="455"/>
      <c r="J13" s="455"/>
      <c r="K13" s="455"/>
      <c r="L13" s="291"/>
      <c r="M13" s="291"/>
      <c r="N13" s="291"/>
      <c r="O13" s="291"/>
      <c r="P13" s="291"/>
      <c r="Q13" s="291"/>
      <c r="R13" s="291"/>
      <c r="S13" s="291"/>
      <c r="T13" s="291"/>
      <c r="U13" s="291"/>
      <c r="V13" s="291"/>
      <c r="W13" s="291"/>
      <c r="X13" s="291"/>
    </row>
    <row r="14" spans="1:24" s="89" customFormat="1" ht="10.5">
      <c r="A14" s="430"/>
      <c r="B14" s="430"/>
      <c r="C14" s="291"/>
      <c r="D14" s="291"/>
      <c r="E14" s="291"/>
      <c r="F14" s="291"/>
      <c r="G14" s="291"/>
      <c r="H14" s="291"/>
      <c r="I14" s="291"/>
      <c r="J14" s="291"/>
      <c r="K14" s="291"/>
      <c r="L14" s="291"/>
      <c r="M14" s="291"/>
      <c r="N14" s="291"/>
      <c r="O14" s="291"/>
      <c r="P14" s="291"/>
      <c r="Q14" s="291"/>
      <c r="R14" s="291"/>
      <c r="S14" s="291"/>
      <c r="T14" s="291"/>
      <c r="U14" s="291"/>
      <c r="V14" s="291"/>
      <c r="W14" s="291"/>
      <c r="X14" s="291"/>
    </row>
    <row r="15" spans="1:24" ht="12">
      <c r="A15" s="291"/>
      <c r="B15" s="430" t="s">
        <v>331</v>
      </c>
      <c r="C15" s="430"/>
      <c r="D15" s="455" t="s">
        <v>44</v>
      </c>
      <c r="E15" s="455"/>
      <c r="F15" s="455"/>
      <c r="G15" s="455"/>
      <c r="H15" s="455"/>
      <c r="I15" s="455"/>
      <c r="J15" s="455"/>
      <c r="K15" s="455"/>
      <c r="L15" s="455"/>
      <c r="M15" s="455"/>
      <c r="N15" s="291"/>
      <c r="O15" s="291"/>
      <c r="P15" s="291"/>
      <c r="Q15" s="291"/>
      <c r="R15" s="291"/>
      <c r="S15" s="291"/>
      <c r="T15" s="291"/>
      <c r="U15" s="291"/>
      <c r="V15" s="291"/>
      <c r="W15" s="291"/>
      <c r="X15" s="291"/>
    </row>
    <row r="16" spans="1:24" ht="12">
      <c r="A16" s="430" t="s">
        <v>332</v>
      </c>
      <c r="B16" s="430"/>
      <c r="C16" s="291"/>
      <c r="D16" s="291"/>
      <c r="E16" s="456" t="s">
        <v>333</v>
      </c>
      <c r="F16" s="456"/>
      <c r="G16" s="456"/>
      <c r="H16" s="456"/>
      <c r="I16" s="456"/>
      <c r="J16" s="449" t="s">
        <v>3</v>
      </c>
      <c r="K16" s="449"/>
      <c r="L16" s="449"/>
      <c r="M16" s="449"/>
      <c r="N16" s="449" t="s">
        <v>334</v>
      </c>
      <c r="O16" s="449"/>
      <c r="P16" s="428" t="s">
        <v>335</v>
      </c>
      <c r="Q16" s="428"/>
      <c r="R16" s="291"/>
      <c r="S16" s="449" t="s">
        <v>336</v>
      </c>
      <c r="T16" s="449"/>
      <c r="U16" s="291"/>
      <c r="V16" s="292" t="s">
        <v>337</v>
      </c>
      <c r="W16" s="292" t="s">
        <v>338</v>
      </c>
      <c r="X16" s="291"/>
    </row>
    <row r="17" spans="1:24" ht="12">
      <c r="A17" s="430"/>
      <c r="B17" s="430"/>
      <c r="C17" s="291"/>
      <c r="D17" s="291"/>
      <c r="E17" s="430" t="s">
        <v>339</v>
      </c>
      <c r="F17" s="430"/>
      <c r="G17" s="430"/>
      <c r="H17" s="430"/>
      <c r="I17" s="430"/>
      <c r="J17" s="428" t="s">
        <v>340</v>
      </c>
      <c r="K17" s="428"/>
      <c r="L17" s="428"/>
      <c r="M17" s="428"/>
      <c r="N17" s="428" t="s">
        <v>341</v>
      </c>
      <c r="O17" s="428"/>
      <c r="P17" s="428"/>
      <c r="Q17" s="428"/>
      <c r="R17" s="291"/>
      <c r="S17" s="428" t="s">
        <v>341</v>
      </c>
      <c r="T17" s="428"/>
      <c r="U17" s="291"/>
      <c r="V17" s="293" t="s">
        <v>342</v>
      </c>
      <c r="W17" s="293" t="s">
        <v>336</v>
      </c>
      <c r="X17" s="291"/>
    </row>
    <row r="18" spans="1:24" ht="12">
      <c r="A18" s="454" t="s">
        <v>23</v>
      </c>
      <c r="B18" s="454"/>
      <c r="C18" s="454"/>
      <c r="D18" s="454" t="s">
        <v>343</v>
      </c>
      <c r="E18" s="454"/>
      <c r="F18" s="454"/>
      <c r="G18" s="294" t="s">
        <v>344</v>
      </c>
      <c r="H18" s="454" t="s">
        <v>345</v>
      </c>
      <c r="I18" s="454"/>
      <c r="J18" s="452">
        <v>16222</v>
      </c>
      <c r="K18" s="452"/>
      <c r="L18" s="452"/>
      <c r="M18" s="452"/>
      <c r="N18" s="452">
        <v>16222</v>
      </c>
      <c r="O18" s="452"/>
      <c r="P18" s="453">
        <v>0</v>
      </c>
      <c r="Q18" s="453"/>
      <c r="R18" s="453"/>
      <c r="S18" s="452">
        <v>16222</v>
      </c>
      <c r="T18" s="452"/>
      <c r="U18" s="453">
        <v>0</v>
      </c>
      <c r="V18" s="453"/>
      <c r="W18" s="295">
        <v>100</v>
      </c>
      <c r="X18" s="291"/>
    </row>
    <row r="19" spans="1:24" ht="12">
      <c r="A19" s="454" t="s">
        <v>24</v>
      </c>
      <c r="B19" s="454"/>
      <c r="C19" s="454"/>
      <c r="D19" s="454" t="s">
        <v>343</v>
      </c>
      <c r="E19" s="454"/>
      <c r="F19" s="454"/>
      <c r="G19" s="294" t="s">
        <v>344</v>
      </c>
      <c r="H19" s="454" t="s">
        <v>345</v>
      </c>
      <c r="I19" s="454"/>
      <c r="J19" s="452">
        <v>8327.13</v>
      </c>
      <c r="K19" s="452"/>
      <c r="L19" s="452"/>
      <c r="M19" s="452"/>
      <c r="N19" s="452">
        <v>8327.13</v>
      </c>
      <c r="O19" s="452"/>
      <c r="P19" s="453">
        <v>0</v>
      </c>
      <c r="Q19" s="453"/>
      <c r="R19" s="453"/>
      <c r="S19" s="452">
        <v>8327.13</v>
      </c>
      <c r="T19" s="452"/>
      <c r="U19" s="453">
        <v>0</v>
      </c>
      <c r="V19" s="453"/>
      <c r="W19" s="295">
        <v>100</v>
      </c>
      <c r="X19" s="291"/>
    </row>
    <row r="20" spans="1:24" ht="12">
      <c r="A20" s="454" t="s">
        <v>25</v>
      </c>
      <c r="B20" s="454"/>
      <c r="C20" s="454"/>
      <c r="D20" s="454" t="s">
        <v>343</v>
      </c>
      <c r="E20" s="454"/>
      <c r="F20" s="454"/>
      <c r="G20" s="294" t="s">
        <v>344</v>
      </c>
      <c r="H20" s="454" t="s">
        <v>345</v>
      </c>
      <c r="I20" s="454"/>
      <c r="J20" s="452">
        <v>6399</v>
      </c>
      <c r="K20" s="452"/>
      <c r="L20" s="452"/>
      <c r="M20" s="452"/>
      <c r="N20" s="452">
        <v>6399</v>
      </c>
      <c r="O20" s="452"/>
      <c r="P20" s="453">
        <v>0</v>
      </c>
      <c r="Q20" s="453"/>
      <c r="R20" s="453"/>
      <c r="S20" s="452">
        <v>6399</v>
      </c>
      <c r="T20" s="452"/>
      <c r="U20" s="453">
        <v>0</v>
      </c>
      <c r="V20" s="453"/>
      <c r="W20" s="295">
        <v>100</v>
      </c>
      <c r="X20" s="291"/>
    </row>
    <row r="21" spans="1:24" ht="12">
      <c r="A21" s="454" t="s">
        <v>26</v>
      </c>
      <c r="B21" s="454"/>
      <c r="C21" s="454"/>
      <c r="D21" s="454" t="s">
        <v>343</v>
      </c>
      <c r="E21" s="454"/>
      <c r="F21" s="454"/>
      <c r="G21" s="294" t="s">
        <v>344</v>
      </c>
      <c r="H21" s="454" t="s">
        <v>345</v>
      </c>
      <c r="I21" s="454"/>
      <c r="J21" s="452">
        <v>458</v>
      </c>
      <c r="K21" s="452"/>
      <c r="L21" s="452"/>
      <c r="M21" s="452"/>
      <c r="N21" s="452">
        <v>458</v>
      </c>
      <c r="O21" s="452"/>
      <c r="P21" s="453">
        <v>0</v>
      </c>
      <c r="Q21" s="453"/>
      <c r="R21" s="453"/>
      <c r="S21" s="452">
        <v>458</v>
      </c>
      <c r="T21" s="452"/>
      <c r="U21" s="453">
        <v>0</v>
      </c>
      <c r="V21" s="453"/>
      <c r="W21" s="295">
        <v>100</v>
      </c>
      <c r="X21" s="291"/>
    </row>
    <row r="22" spans="1:24" ht="12">
      <c r="A22" s="454" t="s">
        <v>27</v>
      </c>
      <c r="B22" s="454"/>
      <c r="C22" s="454"/>
      <c r="D22" s="454" t="s">
        <v>343</v>
      </c>
      <c r="E22" s="454"/>
      <c r="F22" s="454"/>
      <c r="G22" s="294" t="s">
        <v>344</v>
      </c>
      <c r="H22" s="454" t="s">
        <v>345</v>
      </c>
      <c r="I22" s="454"/>
      <c r="J22" s="452">
        <v>15945</v>
      </c>
      <c r="K22" s="452"/>
      <c r="L22" s="452"/>
      <c r="M22" s="452"/>
      <c r="N22" s="452">
        <v>15945</v>
      </c>
      <c r="O22" s="452"/>
      <c r="P22" s="453">
        <v>0</v>
      </c>
      <c r="Q22" s="453"/>
      <c r="R22" s="453"/>
      <c r="S22" s="452">
        <v>15945</v>
      </c>
      <c r="T22" s="452"/>
      <c r="U22" s="453">
        <v>0</v>
      </c>
      <c r="V22" s="453"/>
      <c r="W22" s="295">
        <v>100</v>
      </c>
      <c r="X22" s="291"/>
    </row>
    <row r="23" spans="1:24" ht="12">
      <c r="A23" s="454" t="s">
        <v>165</v>
      </c>
      <c r="B23" s="454"/>
      <c r="C23" s="454"/>
      <c r="D23" s="454" t="s">
        <v>343</v>
      </c>
      <c r="E23" s="454"/>
      <c r="F23" s="454"/>
      <c r="G23" s="294" t="s">
        <v>344</v>
      </c>
      <c r="H23" s="454" t="s">
        <v>345</v>
      </c>
      <c r="I23" s="454"/>
      <c r="J23" s="452">
        <v>15027</v>
      </c>
      <c r="K23" s="452"/>
      <c r="L23" s="452"/>
      <c r="M23" s="452"/>
      <c r="N23" s="452">
        <v>15027</v>
      </c>
      <c r="O23" s="452"/>
      <c r="P23" s="453">
        <v>0</v>
      </c>
      <c r="Q23" s="453"/>
      <c r="R23" s="453"/>
      <c r="S23" s="452">
        <v>15027</v>
      </c>
      <c r="T23" s="452"/>
      <c r="U23" s="453">
        <v>0</v>
      </c>
      <c r="V23" s="453"/>
      <c r="W23" s="295">
        <v>100</v>
      </c>
      <c r="X23" s="291"/>
    </row>
    <row r="24" spans="1:24" ht="12">
      <c r="A24" s="454" t="s">
        <v>37</v>
      </c>
      <c r="B24" s="454"/>
      <c r="C24" s="454"/>
      <c r="D24" s="454" t="s">
        <v>343</v>
      </c>
      <c r="E24" s="454"/>
      <c r="F24" s="454"/>
      <c r="G24" s="294" t="s">
        <v>344</v>
      </c>
      <c r="H24" s="454" t="s">
        <v>345</v>
      </c>
      <c r="I24" s="454"/>
      <c r="J24" s="452">
        <v>3075</v>
      </c>
      <c r="K24" s="452"/>
      <c r="L24" s="452"/>
      <c r="M24" s="452"/>
      <c r="N24" s="452">
        <v>3075</v>
      </c>
      <c r="O24" s="452"/>
      <c r="P24" s="453">
        <v>0</v>
      </c>
      <c r="Q24" s="453"/>
      <c r="R24" s="453"/>
      <c r="S24" s="452">
        <v>3075</v>
      </c>
      <c r="T24" s="452"/>
      <c r="U24" s="453">
        <v>0</v>
      </c>
      <c r="V24" s="453"/>
      <c r="W24" s="295">
        <v>100</v>
      </c>
      <c r="X24" s="291"/>
    </row>
    <row r="25" spans="1:24" ht="12">
      <c r="A25" s="454" t="s">
        <v>28</v>
      </c>
      <c r="B25" s="454"/>
      <c r="C25" s="454"/>
      <c r="D25" s="454" t="s">
        <v>343</v>
      </c>
      <c r="E25" s="454"/>
      <c r="F25" s="454"/>
      <c r="G25" s="294" t="s">
        <v>344</v>
      </c>
      <c r="H25" s="454" t="s">
        <v>345</v>
      </c>
      <c r="I25" s="454"/>
      <c r="J25" s="452">
        <v>5463.16</v>
      </c>
      <c r="K25" s="452"/>
      <c r="L25" s="452"/>
      <c r="M25" s="452"/>
      <c r="N25" s="452">
        <v>5463.16</v>
      </c>
      <c r="O25" s="452"/>
      <c r="P25" s="453">
        <v>0</v>
      </c>
      <c r="Q25" s="453"/>
      <c r="R25" s="453"/>
      <c r="S25" s="452">
        <v>5463.16</v>
      </c>
      <c r="T25" s="452"/>
      <c r="U25" s="453">
        <v>0</v>
      </c>
      <c r="V25" s="453"/>
      <c r="W25" s="295">
        <v>100</v>
      </c>
      <c r="X25" s="291"/>
    </row>
    <row r="26" spans="1:24" ht="12">
      <c r="A26" s="454" t="s">
        <v>29</v>
      </c>
      <c r="B26" s="454"/>
      <c r="C26" s="454"/>
      <c r="D26" s="454" t="s">
        <v>343</v>
      </c>
      <c r="E26" s="454"/>
      <c r="F26" s="454"/>
      <c r="G26" s="294" t="s">
        <v>344</v>
      </c>
      <c r="H26" s="454" t="s">
        <v>345</v>
      </c>
      <c r="I26" s="454"/>
      <c r="J26" s="452">
        <v>22183.07</v>
      </c>
      <c r="K26" s="452"/>
      <c r="L26" s="452"/>
      <c r="M26" s="452"/>
      <c r="N26" s="452">
        <v>22183.07</v>
      </c>
      <c r="O26" s="452"/>
      <c r="P26" s="453">
        <v>0</v>
      </c>
      <c r="Q26" s="453"/>
      <c r="R26" s="453"/>
      <c r="S26" s="452">
        <v>22183.07</v>
      </c>
      <c r="T26" s="452"/>
      <c r="U26" s="453">
        <v>0</v>
      </c>
      <c r="V26" s="453"/>
      <c r="W26" s="295">
        <v>100</v>
      </c>
      <c r="X26" s="291"/>
    </row>
    <row r="27" spans="1:24" ht="12">
      <c r="A27" s="454" t="s">
        <v>30</v>
      </c>
      <c r="B27" s="454"/>
      <c r="C27" s="454"/>
      <c r="D27" s="454" t="s">
        <v>343</v>
      </c>
      <c r="E27" s="454"/>
      <c r="F27" s="454"/>
      <c r="G27" s="294" t="s">
        <v>344</v>
      </c>
      <c r="H27" s="454" t="s">
        <v>345</v>
      </c>
      <c r="I27" s="454"/>
      <c r="J27" s="452">
        <v>5477</v>
      </c>
      <c r="K27" s="452"/>
      <c r="L27" s="452"/>
      <c r="M27" s="452"/>
      <c r="N27" s="452">
        <v>5477</v>
      </c>
      <c r="O27" s="452"/>
      <c r="P27" s="453">
        <v>0</v>
      </c>
      <c r="Q27" s="453"/>
      <c r="R27" s="453"/>
      <c r="S27" s="452">
        <v>5477</v>
      </c>
      <c r="T27" s="452"/>
      <c r="U27" s="453">
        <v>0</v>
      </c>
      <c r="V27" s="453"/>
      <c r="W27" s="295">
        <v>100</v>
      </c>
      <c r="X27" s="291"/>
    </row>
    <row r="28" spans="1:24" ht="12">
      <c r="A28" s="454" t="s">
        <v>31</v>
      </c>
      <c r="B28" s="454"/>
      <c r="C28" s="454"/>
      <c r="D28" s="454" t="s">
        <v>343</v>
      </c>
      <c r="E28" s="454"/>
      <c r="F28" s="454"/>
      <c r="G28" s="294" t="s">
        <v>344</v>
      </c>
      <c r="H28" s="454" t="s">
        <v>345</v>
      </c>
      <c r="I28" s="454"/>
      <c r="J28" s="452">
        <v>5196</v>
      </c>
      <c r="K28" s="452"/>
      <c r="L28" s="452"/>
      <c r="M28" s="452"/>
      <c r="N28" s="452">
        <v>5196</v>
      </c>
      <c r="O28" s="452"/>
      <c r="P28" s="453">
        <v>0</v>
      </c>
      <c r="Q28" s="453"/>
      <c r="R28" s="453"/>
      <c r="S28" s="452">
        <v>5196</v>
      </c>
      <c r="T28" s="452"/>
      <c r="U28" s="453">
        <v>0</v>
      </c>
      <c r="V28" s="453"/>
      <c r="W28" s="295">
        <v>100</v>
      </c>
      <c r="X28" s="291"/>
    </row>
    <row r="29" spans="1:24" ht="12">
      <c r="A29" s="454" t="s">
        <v>32</v>
      </c>
      <c r="B29" s="454"/>
      <c r="C29" s="454"/>
      <c r="D29" s="454" t="s">
        <v>343</v>
      </c>
      <c r="E29" s="454"/>
      <c r="F29" s="454"/>
      <c r="G29" s="294" t="s">
        <v>344</v>
      </c>
      <c r="H29" s="454" t="s">
        <v>345</v>
      </c>
      <c r="I29" s="454"/>
      <c r="J29" s="452">
        <v>7357</v>
      </c>
      <c r="K29" s="452"/>
      <c r="L29" s="452"/>
      <c r="M29" s="452"/>
      <c r="N29" s="452">
        <v>7357</v>
      </c>
      <c r="O29" s="452"/>
      <c r="P29" s="453">
        <v>0</v>
      </c>
      <c r="Q29" s="453"/>
      <c r="R29" s="453"/>
      <c r="S29" s="452">
        <v>7357</v>
      </c>
      <c r="T29" s="452"/>
      <c r="U29" s="453">
        <v>0</v>
      </c>
      <c r="V29" s="453"/>
      <c r="W29" s="295">
        <v>100</v>
      </c>
      <c r="X29" s="291"/>
    </row>
    <row r="30" spans="1:24" ht="12">
      <c r="A30" s="454" t="s">
        <v>33</v>
      </c>
      <c r="B30" s="454"/>
      <c r="C30" s="454"/>
      <c r="D30" s="454" t="s">
        <v>343</v>
      </c>
      <c r="E30" s="454"/>
      <c r="F30" s="454"/>
      <c r="G30" s="294" t="s">
        <v>344</v>
      </c>
      <c r="H30" s="454" t="s">
        <v>345</v>
      </c>
      <c r="I30" s="454"/>
      <c r="J30" s="452">
        <v>31364</v>
      </c>
      <c r="K30" s="452"/>
      <c r="L30" s="452"/>
      <c r="M30" s="452"/>
      <c r="N30" s="452">
        <v>31364</v>
      </c>
      <c r="O30" s="452"/>
      <c r="P30" s="453">
        <v>0</v>
      </c>
      <c r="Q30" s="453"/>
      <c r="R30" s="453"/>
      <c r="S30" s="452">
        <v>31364</v>
      </c>
      <c r="T30" s="452"/>
      <c r="U30" s="453">
        <v>0</v>
      </c>
      <c r="V30" s="453"/>
      <c r="W30" s="295">
        <v>100</v>
      </c>
      <c r="X30" s="291"/>
    </row>
    <row r="31" spans="1:24" s="96" customFormat="1" ht="10.5">
      <c r="A31" s="296"/>
      <c r="B31" s="296"/>
      <c r="C31" s="296"/>
      <c r="D31" s="296"/>
      <c r="E31" s="296"/>
      <c r="F31" s="296"/>
      <c r="G31" s="296"/>
      <c r="H31" s="296"/>
      <c r="I31" s="296"/>
      <c r="J31" s="296"/>
      <c r="K31" s="296"/>
      <c r="L31" s="296"/>
      <c r="M31" s="296"/>
      <c r="N31" s="296"/>
      <c r="O31" s="296"/>
      <c r="P31" s="296"/>
      <c r="Q31" s="296"/>
      <c r="R31" s="296"/>
      <c r="S31" s="296"/>
      <c r="T31" s="296"/>
      <c r="U31" s="296"/>
      <c r="V31" s="296"/>
      <c r="W31" s="296"/>
      <c r="X31" s="291"/>
    </row>
    <row r="32" spans="1:24" ht="11.25" customHeight="1">
      <c r="A32" s="291"/>
      <c r="B32" s="291"/>
      <c r="C32" s="291"/>
      <c r="D32" s="291"/>
      <c r="E32" s="291"/>
      <c r="F32" s="291"/>
      <c r="G32" s="291"/>
      <c r="H32" s="291"/>
      <c r="I32" s="291"/>
      <c r="J32" s="451">
        <v>142493.36</v>
      </c>
      <c r="K32" s="451"/>
      <c r="L32" s="451"/>
      <c r="M32" s="451"/>
      <c r="N32" s="451">
        <v>142493.36</v>
      </c>
      <c r="O32" s="451"/>
      <c r="P32" s="451">
        <v>0</v>
      </c>
      <c r="Q32" s="451"/>
      <c r="R32" s="451"/>
      <c r="S32" s="451">
        <v>142493.36</v>
      </c>
      <c r="T32" s="451"/>
      <c r="U32" s="451">
        <v>0</v>
      </c>
      <c r="V32" s="451"/>
      <c r="W32" s="291"/>
      <c r="X32" s="291"/>
    </row>
    <row r="33" spans="1:24" s="89" customFormat="1" ht="12">
      <c r="A33" s="291"/>
      <c r="B33" s="430" t="s">
        <v>331</v>
      </c>
      <c r="C33" s="430"/>
      <c r="D33" s="455" t="s">
        <v>348</v>
      </c>
      <c r="E33" s="455"/>
      <c r="F33" s="455"/>
      <c r="G33" s="455"/>
      <c r="H33" s="455"/>
      <c r="I33" s="455"/>
      <c r="J33" s="455"/>
      <c r="K33" s="455"/>
      <c r="L33" s="455"/>
      <c r="M33" s="455"/>
      <c r="N33" s="291"/>
      <c r="O33" s="291"/>
      <c r="P33" s="291"/>
      <c r="Q33" s="291"/>
      <c r="R33" s="291"/>
      <c r="S33" s="291"/>
      <c r="T33" s="291"/>
      <c r="U33" s="291"/>
      <c r="V33" s="291"/>
      <c r="W33" s="291"/>
      <c r="X33" s="291"/>
    </row>
    <row r="34" spans="1:24" ht="12">
      <c r="A34" s="430" t="s">
        <v>332</v>
      </c>
      <c r="B34" s="430"/>
      <c r="C34" s="291"/>
      <c r="D34" s="291"/>
      <c r="E34" s="456" t="s">
        <v>333</v>
      </c>
      <c r="F34" s="456"/>
      <c r="G34" s="456"/>
      <c r="H34" s="456"/>
      <c r="I34" s="456"/>
      <c r="J34" s="449" t="s">
        <v>3</v>
      </c>
      <c r="K34" s="449"/>
      <c r="L34" s="449"/>
      <c r="M34" s="449"/>
      <c r="N34" s="449" t="s">
        <v>334</v>
      </c>
      <c r="O34" s="449"/>
      <c r="P34" s="428" t="s">
        <v>335</v>
      </c>
      <c r="Q34" s="428"/>
      <c r="R34" s="291"/>
      <c r="S34" s="449" t="s">
        <v>336</v>
      </c>
      <c r="T34" s="449"/>
      <c r="U34" s="291"/>
      <c r="V34" s="292" t="s">
        <v>337</v>
      </c>
      <c r="W34" s="292" t="s">
        <v>338</v>
      </c>
      <c r="X34" s="291"/>
    </row>
    <row r="35" spans="1:24" ht="12">
      <c r="A35" s="430"/>
      <c r="B35" s="430"/>
      <c r="C35" s="291"/>
      <c r="D35" s="291"/>
      <c r="E35" s="430" t="s">
        <v>339</v>
      </c>
      <c r="F35" s="430"/>
      <c r="G35" s="430"/>
      <c r="H35" s="430"/>
      <c r="I35" s="430"/>
      <c r="J35" s="428" t="s">
        <v>340</v>
      </c>
      <c r="K35" s="428"/>
      <c r="L35" s="428"/>
      <c r="M35" s="428"/>
      <c r="N35" s="428" t="s">
        <v>341</v>
      </c>
      <c r="O35" s="428"/>
      <c r="P35" s="428"/>
      <c r="Q35" s="428"/>
      <c r="R35" s="291"/>
      <c r="S35" s="428" t="s">
        <v>341</v>
      </c>
      <c r="T35" s="428"/>
      <c r="U35" s="291"/>
      <c r="V35" s="293" t="s">
        <v>342</v>
      </c>
      <c r="W35" s="293" t="s">
        <v>336</v>
      </c>
      <c r="X35" s="291"/>
    </row>
    <row r="36" spans="1:24" ht="12">
      <c r="A36" s="454" t="s">
        <v>23</v>
      </c>
      <c r="B36" s="454"/>
      <c r="C36" s="454"/>
      <c r="D36" s="454" t="s">
        <v>343</v>
      </c>
      <c r="E36" s="454"/>
      <c r="F36" s="454"/>
      <c r="G36" s="294" t="s">
        <v>344</v>
      </c>
      <c r="H36" s="454" t="s">
        <v>345</v>
      </c>
      <c r="I36" s="454"/>
      <c r="J36" s="452">
        <v>118745</v>
      </c>
      <c r="K36" s="452"/>
      <c r="L36" s="452"/>
      <c r="M36" s="452"/>
      <c r="N36" s="452">
        <v>118745</v>
      </c>
      <c r="O36" s="452"/>
      <c r="P36" s="453">
        <v>0</v>
      </c>
      <c r="Q36" s="453"/>
      <c r="R36" s="453"/>
      <c r="S36" s="452">
        <v>118745</v>
      </c>
      <c r="T36" s="452"/>
      <c r="U36" s="453">
        <v>0</v>
      </c>
      <c r="V36" s="453"/>
      <c r="W36" s="295">
        <v>100</v>
      </c>
      <c r="X36" s="291"/>
    </row>
    <row r="37" spans="1:24" ht="12">
      <c r="A37" s="454" t="s">
        <v>24</v>
      </c>
      <c r="B37" s="454"/>
      <c r="C37" s="454"/>
      <c r="D37" s="454" t="s">
        <v>343</v>
      </c>
      <c r="E37" s="454"/>
      <c r="F37" s="454"/>
      <c r="G37" s="294" t="s">
        <v>344</v>
      </c>
      <c r="H37" s="454" t="s">
        <v>345</v>
      </c>
      <c r="I37" s="454"/>
      <c r="J37" s="452">
        <v>44110</v>
      </c>
      <c r="K37" s="452"/>
      <c r="L37" s="452"/>
      <c r="M37" s="452"/>
      <c r="N37" s="452">
        <v>44110</v>
      </c>
      <c r="O37" s="452"/>
      <c r="P37" s="453">
        <v>0</v>
      </c>
      <c r="Q37" s="453"/>
      <c r="R37" s="453"/>
      <c r="S37" s="452">
        <v>44110</v>
      </c>
      <c r="T37" s="452"/>
      <c r="U37" s="453">
        <v>0</v>
      </c>
      <c r="V37" s="453"/>
      <c r="W37" s="295">
        <v>100</v>
      </c>
      <c r="X37" s="291"/>
    </row>
    <row r="38" spans="1:24" ht="12">
      <c r="A38" s="454" t="s">
        <v>25</v>
      </c>
      <c r="B38" s="454"/>
      <c r="C38" s="454"/>
      <c r="D38" s="454" t="s">
        <v>343</v>
      </c>
      <c r="E38" s="454"/>
      <c r="F38" s="454"/>
      <c r="G38" s="294" t="s">
        <v>344</v>
      </c>
      <c r="H38" s="454" t="s">
        <v>345</v>
      </c>
      <c r="I38" s="454"/>
      <c r="J38" s="452">
        <v>70971</v>
      </c>
      <c r="K38" s="452"/>
      <c r="L38" s="452"/>
      <c r="M38" s="452"/>
      <c r="N38" s="452">
        <v>70971</v>
      </c>
      <c r="O38" s="452"/>
      <c r="P38" s="453">
        <v>0</v>
      </c>
      <c r="Q38" s="453"/>
      <c r="R38" s="453"/>
      <c r="S38" s="452">
        <v>70971</v>
      </c>
      <c r="T38" s="452"/>
      <c r="U38" s="453">
        <v>0</v>
      </c>
      <c r="V38" s="453"/>
      <c r="W38" s="295">
        <v>100</v>
      </c>
      <c r="X38" s="291"/>
    </row>
    <row r="39" spans="1:24" ht="12">
      <c r="A39" s="454" t="s">
        <v>26</v>
      </c>
      <c r="B39" s="454"/>
      <c r="C39" s="454"/>
      <c r="D39" s="454" t="s">
        <v>343</v>
      </c>
      <c r="E39" s="454"/>
      <c r="F39" s="454"/>
      <c r="G39" s="294" t="s">
        <v>344</v>
      </c>
      <c r="H39" s="454" t="s">
        <v>345</v>
      </c>
      <c r="I39" s="454"/>
      <c r="J39" s="452">
        <v>3502</v>
      </c>
      <c r="K39" s="452"/>
      <c r="L39" s="452"/>
      <c r="M39" s="452"/>
      <c r="N39" s="452">
        <v>3502</v>
      </c>
      <c r="O39" s="452"/>
      <c r="P39" s="453">
        <v>0</v>
      </c>
      <c r="Q39" s="453"/>
      <c r="R39" s="453"/>
      <c r="S39" s="452">
        <v>3502</v>
      </c>
      <c r="T39" s="452"/>
      <c r="U39" s="453">
        <v>0</v>
      </c>
      <c r="V39" s="453"/>
      <c r="W39" s="295">
        <v>100</v>
      </c>
      <c r="X39" s="291"/>
    </row>
    <row r="40" spans="1:24" ht="12">
      <c r="A40" s="454" t="s">
        <v>27</v>
      </c>
      <c r="B40" s="454"/>
      <c r="C40" s="454"/>
      <c r="D40" s="454" t="s">
        <v>343</v>
      </c>
      <c r="E40" s="454"/>
      <c r="F40" s="454"/>
      <c r="G40" s="294" t="s">
        <v>344</v>
      </c>
      <c r="H40" s="454" t="s">
        <v>345</v>
      </c>
      <c r="I40" s="454"/>
      <c r="J40" s="452">
        <v>218307.5</v>
      </c>
      <c r="K40" s="452"/>
      <c r="L40" s="452"/>
      <c r="M40" s="452"/>
      <c r="N40" s="452">
        <v>218307.5</v>
      </c>
      <c r="O40" s="452"/>
      <c r="P40" s="453">
        <v>0</v>
      </c>
      <c r="Q40" s="453"/>
      <c r="R40" s="453"/>
      <c r="S40" s="452">
        <v>218307.5</v>
      </c>
      <c r="T40" s="452"/>
      <c r="U40" s="453">
        <v>0</v>
      </c>
      <c r="V40" s="453"/>
      <c r="W40" s="295">
        <v>100</v>
      </c>
      <c r="X40" s="291"/>
    </row>
    <row r="41" spans="1:24" ht="12">
      <c r="A41" s="454" t="s">
        <v>165</v>
      </c>
      <c r="B41" s="454"/>
      <c r="C41" s="454"/>
      <c r="D41" s="454" t="s">
        <v>343</v>
      </c>
      <c r="E41" s="454"/>
      <c r="F41" s="454"/>
      <c r="G41" s="294" t="s">
        <v>344</v>
      </c>
      <c r="H41" s="454" t="s">
        <v>345</v>
      </c>
      <c r="I41" s="454"/>
      <c r="J41" s="452">
        <v>98412</v>
      </c>
      <c r="K41" s="452"/>
      <c r="L41" s="452"/>
      <c r="M41" s="452"/>
      <c r="N41" s="452">
        <v>98412</v>
      </c>
      <c r="O41" s="452"/>
      <c r="P41" s="453">
        <v>0</v>
      </c>
      <c r="Q41" s="453"/>
      <c r="R41" s="453"/>
      <c r="S41" s="452">
        <v>98412</v>
      </c>
      <c r="T41" s="452"/>
      <c r="U41" s="453">
        <v>0</v>
      </c>
      <c r="V41" s="453"/>
      <c r="W41" s="295">
        <v>100</v>
      </c>
      <c r="X41" s="291"/>
    </row>
    <row r="42" spans="1:24" ht="12">
      <c r="A42" s="454" t="s">
        <v>37</v>
      </c>
      <c r="B42" s="454"/>
      <c r="C42" s="454"/>
      <c r="D42" s="454" t="s">
        <v>343</v>
      </c>
      <c r="E42" s="454"/>
      <c r="F42" s="454"/>
      <c r="G42" s="294" t="s">
        <v>344</v>
      </c>
      <c r="H42" s="454" t="s">
        <v>345</v>
      </c>
      <c r="I42" s="454"/>
      <c r="J42" s="452">
        <v>12575</v>
      </c>
      <c r="K42" s="452"/>
      <c r="L42" s="452"/>
      <c r="M42" s="452"/>
      <c r="N42" s="452">
        <v>12575</v>
      </c>
      <c r="O42" s="452"/>
      <c r="P42" s="453">
        <v>0</v>
      </c>
      <c r="Q42" s="453"/>
      <c r="R42" s="453"/>
      <c r="S42" s="452">
        <v>12575</v>
      </c>
      <c r="T42" s="452"/>
      <c r="U42" s="453">
        <v>0</v>
      </c>
      <c r="V42" s="453"/>
      <c r="W42" s="295">
        <v>100</v>
      </c>
      <c r="X42" s="291"/>
    </row>
    <row r="43" spans="1:24" ht="12">
      <c r="A43" s="454" t="s">
        <v>28</v>
      </c>
      <c r="B43" s="454"/>
      <c r="C43" s="454"/>
      <c r="D43" s="454" t="s">
        <v>343</v>
      </c>
      <c r="E43" s="454"/>
      <c r="F43" s="454"/>
      <c r="G43" s="294" t="s">
        <v>344</v>
      </c>
      <c r="H43" s="454" t="s">
        <v>345</v>
      </c>
      <c r="I43" s="454"/>
      <c r="J43" s="452">
        <v>4285</v>
      </c>
      <c r="K43" s="452"/>
      <c r="L43" s="452"/>
      <c r="M43" s="452"/>
      <c r="N43" s="452">
        <v>4285</v>
      </c>
      <c r="O43" s="452"/>
      <c r="P43" s="453">
        <v>0</v>
      </c>
      <c r="Q43" s="453"/>
      <c r="R43" s="453"/>
      <c r="S43" s="452">
        <v>4285</v>
      </c>
      <c r="T43" s="452"/>
      <c r="U43" s="453">
        <v>0</v>
      </c>
      <c r="V43" s="453"/>
      <c r="W43" s="295">
        <v>100</v>
      </c>
      <c r="X43" s="291"/>
    </row>
    <row r="44" spans="1:24" ht="12">
      <c r="A44" s="454" t="s">
        <v>29</v>
      </c>
      <c r="B44" s="454"/>
      <c r="C44" s="454"/>
      <c r="D44" s="454" t="s">
        <v>343</v>
      </c>
      <c r="E44" s="454"/>
      <c r="F44" s="454"/>
      <c r="G44" s="294" t="s">
        <v>344</v>
      </c>
      <c r="H44" s="454" t="s">
        <v>345</v>
      </c>
      <c r="I44" s="454"/>
      <c r="J44" s="452">
        <v>202480</v>
      </c>
      <c r="K44" s="452"/>
      <c r="L44" s="452"/>
      <c r="M44" s="452"/>
      <c r="N44" s="452">
        <v>202480</v>
      </c>
      <c r="O44" s="452"/>
      <c r="P44" s="453">
        <v>0</v>
      </c>
      <c r="Q44" s="453"/>
      <c r="R44" s="453"/>
      <c r="S44" s="452">
        <v>202480</v>
      </c>
      <c r="T44" s="452"/>
      <c r="U44" s="453">
        <v>0</v>
      </c>
      <c r="V44" s="453"/>
      <c r="W44" s="295">
        <v>100</v>
      </c>
      <c r="X44" s="291"/>
    </row>
    <row r="45" spans="1:24" ht="12">
      <c r="A45" s="454" t="s">
        <v>30</v>
      </c>
      <c r="B45" s="454"/>
      <c r="C45" s="454"/>
      <c r="D45" s="454" t="s">
        <v>343</v>
      </c>
      <c r="E45" s="454"/>
      <c r="F45" s="454"/>
      <c r="G45" s="294" t="s">
        <v>344</v>
      </c>
      <c r="H45" s="454" t="s">
        <v>345</v>
      </c>
      <c r="I45" s="454"/>
      <c r="J45" s="452">
        <v>54272</v>
      </c>
      <c r="K45" s="452"/>
      <c r="L45" s="452"/>
      <c r="M45" s="452"/>
      <c r="N45" s="452">
        <v>54272</v>
      </c>
      <c r="O45" s="452"/>
      <c r="P45" s="453">
        <v>0</v>
      </c>
      <c r="Q45" s="453"/>
      <c r="R45" s="453"/>
      <c r="S45" s="452">
        <v>54272</v>
      </c>
      <c r="T45" s="452"/>
      <c r="U45" s="453">
        <v>0</v>
      </c>
      <c r="V45" s="453"/>
      <c r="W45" s="295">
        <v>100</v>
      </c>
      <c r="X45" s="291"/>
    </row>
    <row r="46" spans="1:24" ht="12">
      <c r="A46" s="454" t="s">
        <v>31</v>
      </c>
      <c r="B46" s="454"/>
      <c r="C46" s="454"/>
      <c r="D46" s="454" t="s">
        <v>343</v>
      </c>
      <c r="E46" s="454"/>
      <c r="F46" s="454"/>
      <c r="G46" s="294" t="s">
        <v>344</v>
      </c>
      <c r="H46" s="454" t="s">
        <v>345</v>
      </c>
      <c r="I46" s="454"/>
      <c r="J46" s="452">
        <v>19040</v>
      </c>
      <c r="K46" s="452"/>
      <c r="L46" s="452"/>
      <c r="M46" s="452"/>
      <c r="N46" s="452">
        <v>19040</v>
      </c>
      <c r="O46" s="452"/>
      <c r="P46" s="453">
        <v>0</v>
      </c>
      <c r="Q46" s="453"/>
      <c r="R46" s="453"/>
      <c r="S46" s="452">
        <v>19040</v>
      </c>
      <c r="T46" s="452"/>
      <c r="U46" s="453">
        <v>0</v>
      </c>
      <c r="V46" s="453"/>
      <c r="W46" s="295">
        <v>100</v>
      </c>
      <c r="X46" s="291"/>
    </row>
    <row r="47" spans="1:24" ht="12">
      <c r="A47" s="454" t="s">
        <v>32</v>
      </c>
      <c r="B47" s="454"/>
      <c r="C47" s="454"/>
      <c r="D47" s="454" t="s">
        <v>343</v>
      </c>
      <c r="E47" s="454"/>
      <c r="F47" s="454"/>
      <c r="G47" s="294" t="s">
        <v>344</v>
      </c>
      <c r="H47" s="454" t="s">
        <v>345</v>
      </c>
      <c r="I47" s="454"/>
      <c r="J47" s="452">
        <v>5460</v>
      </c>
      <c r="K47" s="452"/>
      <c r="L47" s="452"/>
      <c r="M47" s="452"/>
      <c r="N47" s="452">
        <v>5460</v>
      </c>
      <c r="O47" s="452"/>
      <c r="P47" s="453">
        <v>0</v>
      </c>
      <c r="Q47" s="453"/>
      <c r="R47" s="453"/>
      <c r="S47" s="452">
        <v>5460</v>
      </c>
      <c r="T47" s="452"/>
      <c r="U47" s="453">
        <v>0</v>
      </c>
      <c r="V47" s="453"/>
      <c r="W47" s="295">
        <v>100</v>
      </c>
      <c r="X47" s="291"/>
    </row>
    <row r="48" spans="1:24" ht="12">
      <c r="A48" s="454" t="s">
        <v>33</v>
      </c>
      <c r="B48" s="454"/>
      <c r="C48" s="454"/>
      <c r="D48" s="454" t="s">
        <v>343</v>
      </c>
      <c r="E48" s="454"/>
      <c r="F48" s="454"/>
      <c r="G48" s="294" t="s">
        <v>344</v>
      </c>
      <c r="H48" s="454" t="s">
        <v>345</v>
      </c>
      <c r="I48" s="454"/>
      <c r="J48" s="452">
        <v>160794.13</v>
      </c>
      <c r="K48" s="452"/>
      <c r="L48" s="452"/>
      <c r="M48" s="452"/>
      <c r="N48" s="452">
        <v>160794.13</v>
      </c>
      <c r="O48" s="452"/>
      <c r="P48" s="453">
        <v>0</v>
      </c>
      <c r="Q48" s="453"/>
      <c r="R48" s="453"/>
      <c r="S48" s="452">
        <v>160794.13</v>
      </c>
      <c r="T48" s="452"/>
      <c r="U48" s="453">
        <v>0</v>
      </c>
      <c r="V48" s="453"/>
      <c r="W48" s="295">
        <v>100</v>
      </c>
      <c r="X48" s="291"/>
    </row>
    <row r="49" spans="1:24" ht="10.5">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1"/>
    </row>
    <row r="50" spans="1:24" s="96" customFormat="1" ht="11.25">
      <c r="A50" s="291"/>
      <c r="B50" s="291"/>
      <c r="C50" s="291"/>
      <c r="D50" s="291"/>
      <c r="E50" s="291"/>
      <c r="F50" s="291"/>
      <c r="G50" s="291"/>
      <c r="H50" s="291"/>
      <c r="I50" s="291"/>
      <c r="J50" s="451">
        <v>1012953.63</v>
      </c>
      <c r="K50" s="451"/>
      <c r="L50" s="451"/>
      <c r="M50" s="451"/>
      <c r="N50" s="451">
        <v>1012953.63</v>
      </c>
      <c r="O50" s="451"/>
      <c r="P50" s="451">
        <v>0</v>
      </c>
      <c r="Q50" s="451"/>
      <c r="R50" s="451"/>
      <c r="S50" s="451">
        <v>1012953.63</v>
      </c>
      <c r="T50" s="451"/>
      <c r="U50" s="451">
        <v>0</v>
      </c>
      <c r="V50" s="451"/>
      <c r="W50" s="291"/>
      <c r="X50" s="291"/>
    </row>
    <row r="51" spans="1:24" ht="12" customHeight="1">
      <c r="A51" s="291"/>
      <c r="B51" s="430" t="s">
        <v>331</v>
      </c>
      <c r="C51" s="430"/>
      <c r="D51" s="455" t="s">
        <v>187</v>
      </c>
      <c r="E51" s="455"/>
      <c r="F51" s="455"/>
      <c r="G51" s="455"/>
      <c r="H51" s="455"/>
      <c r="I51" s="455"/>
      <c r="J51" s="455"/>
      <c r="K51" s="455"/>
      <c r="L51" s="455"/>
      <c r="M51" s="455"/>
      <c r="N51" s="291"/>
      <c r="O51" s="291"/>
      <c r="P51" s="291"/>
      <c r="Q51" s="291"/>
      <c r="R51" s="291"/>
      <c r="S51" s="291"/>
      <c r="T51" s="291"/>
      <c r="U51" s="291"/>
      <c r="V51" s="291"/>
      <c r="W51" s="291"/>
      <c r="X51" s="291"/>
    </row>
    <row r="52" spans="1:24" s="89" customFormat="1" ht="12">
      <c r="A52" s="430" t="s">
        <v>332</v>
      </c>
      <c r="B52" s="430"/>
      <c r="C52" s="291"/>
      <c r="D52" s="291"/>
      <c r="E52" s="456" t="s">
        <v>333</v>
      </c>
      <c r="F52" s="456"/>
      <c r="G52" s="456"/>
      <c r="H52" s="456"/>
      <c r="I52" s="456"/>
      <c r="J52" s="449" t="s">
        <v>3</v>
      </c>
      <c r="K52" s="449"/>
      <c r="L52" s="449"/>
      <c r="M52" s="449"/>
      <c r="N52" s="449" t="s">
        <v>334</v>
      </c>
      <c r="O52" s="449"/>
      <c r="P52" s="428" t="s">
        <v>335</v>
      </c>
      <c r="Q52" s="428"/>
      <c r="R52" s="291"/>
      <c r="S52" s="449" t="s">
        <v>336</v>
      </c>
      <c r="T52" s="449"/>
      <c r="U52" s="291"/>
      <c r="V52" s="292" t="s">
        <v>337</v>
      </c>
      <c r="W52" s="292" t="s">
        <v>338</v>
      </c>
      <c r="X52" s="291"/>
    </row>
    <row r="53" spans="1:24" ht="12">
      <c r="A53" s="430"/>
      <c r="B53" s="430"/>
      <c r="C53" s="291"/>
      <c r="D53" s="291"/>
      <c r="E53" s="430" t="s">
        <v>339</v>
      </c>
      <c r="F53" s="430"/>
      <c r="G53" s="430"/>
      <c r="H53" s="430"/>
      <c r="I53" s="430"/>
      <c r="J53" s="428" t="s">
        <v>340</v>
      </c>
      <c r="K53" s="428"/>
      <c r="L53" s="428"/>
      <c r="M53" s="428"/>
      <c r="N53" s="428" t="s">
        <v>341</v>
      </c>
      <c r="O53" s="428"/>
      <c r="P53" s="428"/>
      <c r="Q53" s="428"/>
      <c r="R53" s="291"/>
      <c r="S53" s="428" t="s">
        <v>341</v>
      </c>
      <c r="T53" s="428"/>
      <c r="U53" s="291"/>
      <c r="V53" s="293" t="s">
        <v>342</v>
      </c>
      <c r="W53" s="293" t="s">
        <v>336</v>
      </c>
      <c r="X53" s="291"/>
    </row>
    <row r="54" spans="1:24" ht="12">
      <c r="A54" s="454" t="s">
        <v>23</v>
      </c>
      <c r="B54" s="454"/>
      <c r="C54" s="454"/>
      <c r="D54" s="454" t="s">
        <v>343</v>
      </c>
      <c r="E54" s="454"/>
      <c r="F54" s="454"/>
      <c r="G54" s="294" t="s">
        <v>344</v>
      </c>
      <c r="H54" s="454" t="s">
        <v>345</v>
      </c>
      <c r="I54" s="454"/>
      <c r="J54" s="452">
        <v>24915</v>
      </c>
      <c r="K54" s="452"/>
      <c r="L54" s="452"/>
      <c r="M54" s="452"/>
      <c r="N54" s="452">
        <v>24915</v>
      </c>
      <c r="O54" s="452"/>
      <c r="P54" s="453">
        <v>0</v>
      </c>
      <c r="Q54" s="453"/>
      <c r="R54" s="453"/>
      <c r="S54" s="452">
        <v>24915</v>
      </c>
      <c r="T54" s="452"/>
      <c r="U54" s="453">
        <v>0</v>
      </c>
      <c r="V54" s="453"/>
      <c r="W54" s="295">
        <v>100</v>
      </c>
      <c r="X54" s="291"/>
    </row>
    <row r="55" spans="1:24" ht="12">
      <c r="A55" s="454" t="s">
        <v>24</v>
      </c>
      <c r="B55" s="454"/>
      <c r="C55" s="454"/>
      <c r="D55" s="454" t="s">
        <v>343</v>
      </c>
      <c r="E55" s="454"/>
      <c r="F55" s="454"/>
      <c r="G55" s="294" t="s">
        <v>344</v>
      </c>
      <c r="H55" s="454" t="s">
        <v>345</v>
      </c>
      <c r="I55" s="454"/>
      <c r="J55" s="452">
        <v>14216.42</v>
      </c>
      <c r="K55" s="452"/>
      <c r="L55" s="452"/>
      <c r="M55" s="452"/>
      <c r="N55" s="452">
        <v>14216.42</v>
      </c>
      <c r="O55" s="452"/>
      <c r="P55" s="453">
        <v>0</v>
      </c>
      <c r="Q55" s="453"/>
      <c r="R55" s="453"/>
      <c r="S55" s="452">
        <v>14216.42</v>
      </c>
      <c r="T55" s="452"/>
      <c r="U55" s="453">
        <v>0</v>
      </c>
      <c r="V55" s="453"/>
      <c r="W55" s="295">
        <v>100</v>
      </c>
      <c r="X55" s="291"/>
    </row>
    <row r="56" spans="1:24" ht="12">
      <c r="A56" s="454" t="s">
        <v>25</v>
      </c>
      <c r="B56" s="454"/>
      <c r="C56" s="454"/>
      <c r="D56" s="454" t="s">
        <v>343</v>
      </c>
      <c r="E56" s="454"/>
      <c r="F56" s="454"/>
      <c r="G56" s="294" t="s">
        <v>344</v>
      </c>
      <c r="H56" s="454" t="s">
        <v>345</v>
      </c>
      <c r="I56" s="454"/>
      <c r="J56" s="452">
        <v>5762</v>
      </c>
      <c r="K56" s="452"/>
      <c r="L56" s="452"/>
      <c r="M56" s="452"/>
      <c r="N56" s="452">
        <v>5762</v>
      </c>
      <c r="O56" s="452"/>
      <c r="P56" s="453">
        <v>0</v>
      </c>
      <c r="Q56" s="453"/>
      <c r="R56" s="453"/>
      <c r="S56" s="452">
        <v>5762</v>
      </c>
      <c r="T56" s="452"/>
      <c r="U56" s="453">
        <v>0</v>
      </c>
      <c r="V56" s="453"/>
      <c r="W56" s="295">
        <v>100</v>
      </c>
      <c r="X56" s="291"/>
    </row>
    <row r="57" spans="1:24" ht="12">
      <c r="A57" s="454" t="s">
        <v>26</v>
      </c>
      <c r="B57" s="454"/>
      <c r="C57" s="454"/>
      <c r="D57" s="454" t="s">
        <v>343</v>
      </c>
      <c r="E57" s="454"/>
      <c r="F57" s="454"/>
      <c r="G57" s="294" t="s">
        <v>344</v>
      </c>
      <c r="H57" s="454" t="s">
        <v>345</v>
      </c>
      <c r="I57" s="454"/>
      <c r="J57" s="452">
        <v>719</v>
      </c>
      <c r="K57" s="452"/>
      <c r="L57" s="452"/>
      <c r="M57" s="452"/>
      <c r="N57" s="452">
        <v>719</v>
      </c>
      <c r="O57" s="452"/>
      <c r="P57" s="453">
        <v>0</v>
      </c>
      <c r="Q57" s="453"/>
      <c r="R57" s="453"/>
      <c r="S57" s="452">
        <v>719</v>
      </c>
      <c r="T57" s="452"/>
      <c r="U57" s="453">
        <v>0</v>
      </c>
      <c r="V57" s="453"/>
      <c r="W57" s="295">
        <v>100</v>
      </c>
      <c r="X57" s="291"/>
    </row>
    <row r="58" spans="1:24" ht="12">
      <c r="A58" s="454" t="s">
        <v>27</v>
      </c>
      <c r="B58" s="454"/>
      <c r="C58" s="454"/>
      <c r="D58" s="454" t="s">
        <v>343</v>
      </c>
      <c r="E58" s="454"/>
      <c r="F58" s="454"/>
      <c r="G58" s="294" t="s">
        <v>344</v>
      </c>
      <c r="H58" s="454" t="s">
        <v>345</v>
      </c>
      <c r="I58" s="454"/>
      <c r="J58" s="452">
        <v>27931</v>
      </c>
      <c r="K58" s="452"/>
      <c r="L58" s="452"/>
      <c r="M58" s="452"/>
      <c r="N58" s="452">
        <v>27931</v>
      </c>
      <c r="O58" s="452"/>
      <c r="P58" s="453">
        <v>0</v>
      </c>
      <c r="Q58" s="453"/>
      <c r="R58" s="453"/>
      <c r="S58" s="452">
        <v>27931</v>
      </c>
      <c r="T58" s="452"/>
      <c r="U58" s="453">
        <v>0</v>
      </c>
      <c r="V58" s="453"/>
      <c r="W58" s="295">
        <v>100</v>
      </c>
      <c r="X58" s="291"/>
    </row>
    <row r="59" spans="1:24" ht="12">
      <c r="A59" s="454" t="s">
        <v>165</v>
      </c>
      <c r="B59" s="454"/>
      <c r="C59" s="454"/>
      <c r="D59" s="454" t="s">
        <v>343</v>
      </c>
      <c r="E59" s="454"/>
      <c r="F59" s="454"/>
      <c r="G59" s="294" t="s">
        <v>344</v>
      </c>
      <c r="H59" s="454" t="s">
        <v>345</v>
      </c>
      <c r="I59" s="454"/>
      <c r="J59" s="452">
        <v>24781</v>
      </c>
      <c r="K59" s="452"/>
      <c r="L59" s="452"/>
      <c r="M59" s="452"/>
      <c r="N59" s="452">
        <v>24781</v>
      </c>
      <c r="O59" s="452"/>
      <c r="P59" s="453">
        <v>0</v>
      </c>
      <c r="Q59" s="453"/>
      <c r="R59" s="453"/>
      <c r="S59" s="452">
        <v>24781</v>
      </c>
      <c r="T59" s="452"/>
      <c r="U59" s="453">
        <v>0</v>
      </c>
      <c r="V59" s="453"/>
      <c r="W59" s="295">
        <v>100</v>
      </c>
      <c r="X59" s="291"/>
    </row>
    <row r="60" spans="1:24" ht="12">
      <c r="A60" s="454" t="s">
        <v>37</v>
      </c>
      <c r="B60" s="454"/>
      <c r="C60" s="454"/>
      <c r="D60" s="454" t="s">
        <v>343</v>
      </c>
      <c r="E60" s="454"/>
      <c r="F60" s="454"/>
      <c r="G60" s="294" t="s">
        <v>344</v>
      </c>
      <c r="H60" s="454" t="s">
        <v>345</v>
      </c>
      <c r="I60" s="454"/>
      <c r="J60" s="452">
        <v>1291</v>
      </c>
      <c r="K60" s="452"/>
      <c r="L60" s="452"/>
      <c r="M60" s="452"/>
      <c r="N60" s="452">
        <v>1291</v>
      </c>
      <c r="O60" s="452"/>
      <c r="P60" s="453">
        <v>0</v>
      </c>
      <c r="Q60" s="453"/>
      <c r="R60" s="453"/>
      <c r="S60" s="452">
        <v>1291</v>
      </c>
      <c r="T60" s="452"/>
      <c r="U60" s="453">
        <v>0</v>
      </c>
      <c r="V60" s="453"/>
      <c r="W60" s="295">
        <v>100</v>
      </c>
      <c r="X60" s="291"/>
    </row>
    <row r="61" spans="1:24" ht="12">
      <c r="A61" s="454" t="s">
        <v>28</v>
      </c>
      <c r="B61" s="454"/>
      <c r="C61" s="454"/>
      <c r="D61" s="454" t="s">
        <v>343</v>
      </c>
      <c r="E61" s="454"/>
      <c r="F61" s="454"/>
      <c r="G61" s="294" t="s">
        <v>344</v>
      </c>
      <c r="H61" s="454" t="s">
        <v>345</v>
      </c>
      <c r="I61" s="454"/>
      <c r="J61" s="452">
        <v>4576.02</v>
      </c>
      <c r="K61" s="452"/>
      <c r="L61" s="452"/>
      <c r="M61" s="452"/>
      <c r="N61" s="452">
        <v>4576.02</v>
      </c>
      <c r="O61" s="452"/>
      <c r="P61" s="453">
        <v>0</v>
      </c>
      <c r="Q61" s="453"/>
      <c r="R61" s="453"/>
      <c r="S61" s="452">
        <v>4576.02</v>
      </c>
      <c r="T61" s="452"/>
      <c r="U61" s="453">
        <v>0</v>
      </c>
      <c r="V61" s="453"/>
      <c r="W61" s="295">
        <v>100</v>
      </c>
      <c r="X61" s="291"/>
    </row>
    <row r="62" spans="1:24" ht="12">
      <c r="A62" s="454" t="s">
        <v>29</v>
      </c>
      <c r="B62" s="454"/>
      <c r="C62" s="454"/>
      <c r="D62" s="454" t="s">
        <v>343</v>
      </c>
      <c r="E62" s="454"/>
      <c r="F62" s="454"/>
      <c r="G62" s="294" t="s">
        <v>344</v>
      </c>
      <c r="H62" s="454" t="s">
        <v>345</v>
      </c>
      <c r="I62" s="454"/>
      <c r="J62" s="452">
        <v>77022.3</v>
      </c>
      <c r="K62" s="452"/>
      <c r="L62" s="452"/>
      <c r="M62" s="452"/>
      <c r="N62" s="452">
        <v>77022.3</v>
      </c>
      <c r="O62" s="452"/>
      <c r="P62" s="453">
        <v>0</v>
      </c>
      <c r="Q62" s="453"/>
      <c r="R62" s="453"/>
      <c r="S62" s="452">
        <v>77022.3</v>
      </c>
      <c r="T62" s="452"/>
      <c r="U62" s="453">
        <v>0</v>
      </c>
      <c r="V62" s="453"/>
      <c r="W62" s="295">
        <v>100</v>
      </c>
      <c r="X62" s="291"/>
    </row>
    <row r="63" spans="1:24" ht="12">
      <c r="A63" s="454" t="s">
        <v>30</v>
      </c>
      <c r="B63" s="454"/>
      <c r="C63" s="454"/>
      <c r="D63" s="454" t="s">
        <v>343</v>
      </c>
      <c r="E63" s="454"/>
      <c r="F63" s="454"/>
      <c r="G63" s="294" t="s">
        <v>344</v>
      </c>
      <c r="H63" s="454" t="s">
        <v>345</v>
      </c>
      <c r="I63" s="454"/>
      <c r="J63" s="452">
        <v>9387</v>
      </c>
      <c r="K63" s="452"/>
      <c r="L63" s="452"/>
      <c r="M63" s="452"/>
      <c r="N63" s="452">
        <v>9387</v>
      </c>
      <c r="O63" s="452"/>
      <c r="P63" s="453">
        <v>0</v>
      </c>
      <c r="Q63" s="453"/>
      <c r="R63" s="453"/>
      <c r="S63" s="452">
        <v>9387</v>
      </c>
      <c r="T63" s="452"/>
      <c r="U63" s="453">
        <v>0</v>
      </c>
      <c r="V63" s="453"/>
      <c r="W63" s="295">
        <v>100</v>
      </c>
      <c r="X63" s="291"/>
    </row>
    <row r="64" spans="1:24" ht="12">
      <c r="A64" s="454" t="s">
        <v>31</v>
      </c>
      <c r="B64" s="454"/>
      <c r="C64" s="454"/>
      <c r="D64" s="454" t="s">
        <v>343</v>
      </c>
      <c r="E64" s="454"/>
      <c r="F64" s="454"/>
      <c r="G64" s="294" t="s">
        <v>344</v>
      </c>
      <c r="H64" s="454" t="s">
        <v>345</v>
      </c>
      <c r="I64" s="454"/>
      <c r="J64" s="452">
        <v>18568</v>
      </c>
      <c r="K64" s="452"/>
      <c r="L64" s="452"/>
      <c r="M64" s="452"/>
      <c r="N64" s="452">
        <v>18568</v>
      </c>
      <c r="O64" s="452"/>
      <c r="P64" s="453">
        <v>0</v>
      </c>
      <c r="Q64" s="453"/>
      <c r="R64" s="453"/>
      <c r="S64" s="452">
        <v>18568</v>
      </c>
      <c r="T64" s="452"/>
      <c r="U64" s="453">
        <v>0</v>
      </c>
      <c r="V64" s="453"/>
      <c r="W64" s="295">
        <v>100</v>
      </c>
      <c r="X64" s="291"/>
    </row>
    <row r="65" spans="1:24" ht="12">
      <c r="A65" s="454" t="s">
        <v>32</v>
      </c>
      <c r="B65" s="454"/>
      <c r="C65" s="454"/>
      <c r="D65" s="454" t="s">
        <v>343</v>
      </c>
      <c r="E65" s="454"/>
      <c r="F65" s="454"/>
      <c r="G65" s="294" t="s">
        <v>344</v>
      </c>
      <c r="H65" s="454" t="s">
        <v>345</v>
      </c>
      <c r="I65" s="454"/>
      <c r="J65" s="452">
        <v>12915</v>
      </c>
      <c r="K65" s="452"/>
      <c r="L65" s="452"/>
      <c r="M65" s="452"/>
      <c r="N65" s="452">
        <v>12915</v>
      </c>
      <c r="O65" s="452"/>
      <c r="P65" s="453">
        <v>0</v>
      </c>
      <c r="Q65" s="453"/>
      <c r="R65" s="453"/>
      <c r="S65" s="452">
        <v>12915</v>
      </c>
      <c r="T65" s="452"/>
      <c r="U65" s="453">
        <v>0</v>
      </c>
      <c r="V65" s="453"/>
      <c r="W65" s="295">
        <v>100</v>
      </c>
      <c r="X65" s="291"/>
    </row>
    <row r="66" spans="1:24" ht="12">
      <c r="A66" s="454" t="s">
        <v>33</v>
      </c>
      <c r="B66" s="454"/>
      <c r="C66" s="454"/>
      <c r="D66" s="454" t="s">
        <v>343</v>
      </c>
      <c r="E66" s="454"/>
      <c r="F66" s="454"/>
      <c r="G66" s="294" t="s">
        <v>344</v>
      </c>
      <c r="H66" s="454" t="s">
        <v>345</v>
      </c>
      <c r="I66" s="454"/>
      <c r="J66" s="452">
        <v>29119.08</v>
      </c>
      <c r="K66" s="452"/>
      <c r="L66" s="452"/>
      <c r="M66" s="452"/>
      <c r="N66" s="452">
        <v>29119.08</v>
      </c>
      <c r="O66" s="452"/>
      <c r="P66" s="453">
        <v>0</v>
      </c>
      <c r="Q66" s="453"/>
      <c r="R66" s="453"/>
      <c r="S66" s="452">
        <v>29119.08</v>
      </c>
      <c r="T66" s="452"/>
      <c r="U66" s="453">
        <v>0</v>
      </c>
      <c r="V66" s="453"/>
      <c r="W66" s="295">
        <v>100</v>
      </c>
      <c r="X66" s="291"/>
    </row>
    <row r="67" spans="1:24" ht="10.5">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1"/>
    </row>
    <row r="68" spans="1:24" ht="12" thickBot="1">
      <c r="A68" s="291"/>
      <c r="B68" s="291"/>
      <c r="C68" s="291"/>
      <c r="D68" s="291"/>
      <c r="E68" s="291"/>
      <c r="F68" s="291"/>
      <c r="G68" s="291"/>
      <c r="H68" s="291"/>
      <c r="I68" s="291"/>
      <c r="J68" s="451">
        <v>251202.82</v>
      </c>
      <c r="K68" s="451"/>
      <c r="L68" s="451"/>
      <c r="M68" s="451"/>
      <c r="N68" s="451">
        <v>251202.82</v>
      </c>
      <c r="O68" s="451"/>
      <c r="P68" s="451">
        <v>0</v>
      </c>
      <c r="Q68" s="451"/>
      <c r="R68" s="451"/>
      <c r="S68" s="451">
        <v>251202.82</v>
      </c>
      <c r="T68" s="451"/>
      <c r="U68" s="451">
        <v>0</v>
      </c>
      <c r="V68" s="451"/>
      <c r="W68" s="291"/>
      <c r="X68" s="291"/>
    </row>
    <row r="69" spans="1:24" s="96" customFormat="1" ht="11.25" thickTop="1">
      <c r="A69" s="297"/>
      <c r="B69" s="297"/>
      <c r="C69" s="297"/>
      <c r="D69" s="297"/>
      <c r="E69" s="297"/>
      <c r="F69" s="297"/>
      <c r="G69" s="297"/>
      <c r="H69" s="297"/>
      <c r="I69" s="297"/>
      <c r="J69" s="297"/>
      <c r="K69" s="297"/>
      <c r="L69" s="297"/>
      <c r="M69" s="297"/>
      <c r="N69" s="297"/>
      <c r="O69" s="297"/>
      <c r="P69" s="297"/>
      <c r="Q69" s="297"/>
      <c r="R69" s="297"/>
      <c r="S69" s="297"/>
      <c r="T69" s="297"/>
      <c r="U69" s="297"/>
      <c r="V69" s="297"/>
      <c r="W69" s="297"/>
      <c r="X69" s="291"/>
    </row>
    <row r="70" spans="1:24" ht="9.75" customHeight="1">
      <c r="A70" s="449" t="s">
        <v>349</v>
      </c>
      <c r="B70" s="449"/>
      <c r="C70" s="449"/>
      <c r="D70" s="449"/>
      <c r="E70" s="449"/>
      <c r="F70" s="449"/>
      <c r="G70" s="449"/>
      <c r="H70" s="449"/>
      <c r="I70" s="291"/>
      <c r="J70" s="450">
        <v>1406649.81</v>
      </c>
      <c r="K70" s="450"/>
      <c r="L70" s="450"/>
      <c r="M70" s="450"/>
      <c r="N70" s="450">
        <v>1406649.81</v>
      </c>
      <c r="O70" s="450"/>
      <c r="P70" s="451">
        <v>0</v>
      </c>
      <c r="Q70" s="451"/>
      <c r="R70" s="451"/>
      <c r="S70" s="450">
        <v>1406649.81</v>
      </c>
      <c r="T70" s="450"/>
      <c r="U70" s="450">
        <v>0</v>
      </c>
      <c r="V70" s="450"/>
      <c r="W70" s="291"/>
      <c r="X70" s="291"/>
    </row>
    <row r="71" spans="1:24" s="89" customFormat="1" ht="12">
      <c r="A71" s="430" t="s">
        <v>329</v>
      </c>
      <c r="B71" s="430"/>
      <c r="C71" s="455" t="s">
        <v>350</v>
      </c>
      <c r="D71" s="455"/>
      <c r="E71" s="455"/>
      <c r="F71" s="455"/>
      <c r="G71" s="455"/>
      <c r="H71" s="455"/>
      <c r="I71" s="455"/>
      <c r="J71" s="455"/>
      <c r="K71" s="455"/>
      <c r="L71" s="291"/>
      <c r="M71" s="291"/>
      <c r="N71" s="291"/>
      <c r="O71" s="291"/>
      <c r="P71" s="291"/>
      <c r="Q71" s="291"/>
      <c r="R71" s="291"/>
      <c r="S71" s="291"/>
      <c r="T71" s="291"/>
      <c r="U71" s="291"/>
      <c r="V71" s="291"/>
      <c r="W71" s="291"/>
      <c r="X71" s="291"/>
    </row>
    <row r="72" spans="1:24" ht="10.5">
      <c r="A72" s="430"/>
      <c r="B72" s="430"/>
      <c r="C72" s="291"/>
      <c r="D72" s="291"/>
      <c r="E72" s="291"/>
      <c r="F72" s="291"/>
      <c r="G72" s="291"/>
      <c r="H72" s="291"/>
      <c r="I72" s="291"/>
      <c r="J72" s="291"/>
      <c r="K72" s="291"/>
      <c r="L72" s="291"/>
      <c r="M72" s="291"/>
      <c r="N72" s="291"/>
      <c r="O72" s="291"/>
      <c r="P72" s="291"/>
      <c r="Q72" s="291"/>
      <c r="R72" s="291"/>
      <c r="S72" s="291"/>
      <c r="T72" s="291"/>
      <c r="U72" s="291"/>
      <c r="V72" s="291"/>
      <c r="W72" s="291"/>
      <c r="X72" s="291"/>
    </row>
    <row r="73" spans="1:24" ht="12">
      <c r="A73" s="291"/>
      <c r="B73" s="430" t="s">
        <v>331</v>
      </c>
      <c r="C73" s="430"/>
      <c r="D73" s="455" t="s">
        <v>44</v>
      </c>
      <c r="E73" s="455"/>
      <c r="F73" s="455"/>
      <c r="G73" s="455"/>
      <c r="H73" s="455"/>
      <c r="I73" s="455"/>
      <c r="J73" s="455"/>
      <c r="K73" s="455"/>
      <c r="L73" s="455"/>
      <c r="M73" s="455"/>
      <c r="N73" s="291"/>
      <c r="O73" s="291"/>
      <c r="P73" s="291"/>
      <c r="Q73" s="291"/>
      <c r="R73" s="291"/>
      <c r="S73" s="291"/>
      <c r="T73" s="291"/>
      <c r="U73" s="291"/>
      <c r="V73" s="291"/>
      <c r="W73" s="291"/>
      <c r="X73" s="291"/>
    </row>
    <row r="74" spans="1:24" ht="12">
      <c r="A74" s="430" t="s">
        <v>332</v>
      </c>
      <c r="B74" s="430"/>
      <c r="C74" s="291"/>
      <c r="D74" s="291"/>
      <c r="E74" s="456" t="s">
        <v>333</v>
      </c>
      <c r="F74" s="456"/>
      <c r="G74" s="456"/>
      <c r="H74" s="456"/>
      <c r="I74" s="456"/>
      <c r="J74" s="449" t="s">
        <v>3</v>
      </c>
      <c r="K74" s="449"/>
      <c r="L74" s="449"/>
      <c r="M74" s="449"/>
      <c r="N74" s="449" t="s">
        <v>334</v>
      </c>
      <c r="O74" s="449"/>
      <c r="P74" s="428" t="s">
        <v>335</v>
      </c>
      <c r="Q74" s="428"/>
      <c r="R74" s="291"/>
      <c r="S74" s="449" t="s">
        <v>336</v>
      </c>
      <c r="T74" s="449"/>
      <c r="U74" s="291"/>
      <c r="V74" s="292" t="s">
        <v>337</v>
      </c>
      <c r="W74" s="292" t="s">
        <v>338</v>
      </c>
      <c r="X74" s="291"/>
    </row>
    <row r="75" spans="1:24" ht="12">
      <c r="A75" s="430"/>
      <c r="B75" s="430"/>
      <c r="C75" s="291"/>
      <c r="D75" s="291"/>
      <c r="E75" s="430" t="s">
        <v>339</v>
      </c>
      <c r="F75" s="430"/>
      <c r="G75" s="430"/>
      <c r="H75" s="430"/>
      <c r="I75" s="430"/>
      <c r="J75" s="428" t="s">
        <v>340</v>
      </c>
      <c r="K75" s="428"/>
      <c r="L75" s="428"/>
      <c r="M75" s="428"/>
      <c r="N75" s="428" t="s">
        <v>341</v>
      </c>
      <c r="O75" s="428"/>
      <c r="P75" s="428"/>
      <c r="Q75" s="428"/>
      <c r="R75" s="291"/>
      <c r="S75" s="428" t="s">
        <v>341</v>
      </c>
      <c r="T75" s="428"/>
      <c r="U75" s="291"/>
      <c r="V75" s="293" t="s">
        <v>342</v>
      </c>
      <c r="W75" s="293" t="s">
        <v>336</v>
      </c>
      <c r="X75" s="291"/>
    </row>
    <row r="76" spans="1:24" ht="12">
      <c r="A76" s="454" t="s">
        <v>34</v>
      </c>
      <c r="B76" s="454"/>
      <c r="C76" s="454"/>
      <c r="D76" s="454" t="s">
        <v>343</v>
      </c>
      <c r="E76" s="454"/>
      <c r="F76" s="454"/>
      <c r="G76" s="294" t="s">
        <v>344</v>
      </c>
      <c r="H76" s="454" t="s">
        <v>345</v>
      </c>
      <c r="I76" s="454"/>
      <c r="J76" s="452">
        <v>68239</v>
      </c>
      <c r="K76" s="452"/>
      <c r="L76" s="452"/>
      <c r="M76" s="452"/>
      <c r="N76" s="452">
        <v>68239</v>
      </c>
      <c r="O76" s="452"/>
      <c r="P76" s="453">
        <v>0</v>
      </c>
      <c r="Q76" s="453"/>
      <c r="R76" s="453"/>
      <c r="S76" s="452">
        <v>68239</v>
      </c>
      <c r="T76" s="452"/>
      <c r="U76" s="453">
        <v>0</v>
      </c>
      <c r="V76" s="453"/>
      <c r="W76" s="295">
        <v>100</v>
      </c>
      <c r="X76" s="291"/>
    </row>
    <row r="77" spans="1:24" ht="12">
      <c r="A77" s="454" t="s">
        <v>35</v>
      </c>
      <c r="B77" s="454"/>
      <c r="C77" s="454"/>
      <c r="D77" s="454" t="s">
        <v>343</v>
      </c>
      <c r="E77" s="454"/>
      <c r="F77" s="454"/>
      <c r="G77" s="294" t="s">
        <v>344</v>
      </c>
      <c r="H77" s="454" t="s">
        <v>345</v>
      </c>
      <c r="I77" s="454"/>
      <c r="J77" s="452">
        <v>49548.63</v>
      </c>
      <c r="K77" s="452"/>
      <c r="L77" s="452"/>
      <c r="M77" s="452"/>
      <c r="N77" s="452">
        <v>49548.63</v>
      </c>
      <c r="O77" s="452"/>
      <c r="P77" s="453">
        <v>0</v>
      </c>
      <c r="Q77" s="453"/>
      <c r="R77" s="453"/>
      <c r="S77" s="452">
        <v>49548.63</v>
      </c>
      <c r="T77" s="452"/>
      <c r="U77" s="453">
        <v>0</v>
      </c>
      <c r="V77" s="453"/>
      <c r="W77" s="295">
        <v>100</v>
      </c>
      <c r="X77" s="291"/>
    </row>
    <row r="78" spans="1:24" ht="12">
      <c r="A78" s="454" t="s">
        <v>29</v>
      </c>
      <c r="B78" s="454"/>
      <c r="C78" s="454"/>
      <c r="D78" s="454" t="s">
        <v>343</v>
      </c>
      <c r="E78" s="454"/>
      <c r="F78" s="454"/>
      <c r="G78" s="294" t="s">
        <v>344</v>
      </c>
      <c r="H78" s="454" t="s">
        <v>345</v>
      </c>
      <c r="I78" s="454"/>
      <c r="J78" s="452">
        <v>67895.57</v>
      </c>
      <c r="K78" s="452"/>
      <c r="L78" s="452"/>
      <c r="M78" s="452"/>
      <c r="N78" s="452">
        <v>67895.57</v>
      </c>
      <c r="O78" s="452"/>
      <c r="P78" s="453">
        <v>0</v>
      </c>
      <c r="Q78" s="453"/>
      <c r="R78" s="453"/>
      <c r="S78" s="452">
        <v>67895.57</v>
      </c>
      <c r="T78" s="452"/>
      <c r="U78" s="453">
        <v>0</v>
      </c>
      <c r="V78" s="453"/>
      <c r="W78" s="295">
        <v>100</v>
      </c>
      <c r="X78" s="291"/>
    </row>
    <row r="79" spans="1:24" ht="12">
      <c r="A79" s="454" t="s">
        <v>30</v>
      </c>
      <c r="B79" s="454"/>
      <c r="C79" s="454"/>
      <c r="D79" s="454" t="s">
        <v>343</v>
      </c>
      <c r="E79" s="454"/>
      <c r="F79" s="454"/>
      <c r="G79" s="294" t="s">
        <v>344</v>
      </c>
      <c r="H79" s="454" t="s">
        <v>345</v>
      </c>
      <c r="I79" s="454"/>
      <c r="J79" s="452">
        <v>29552</v>
      </c>
      <c r="K79" s="452"/>
      <c r="L79" s="452"/>
      <c r="M79" s="452"/>
      <c r="N79" s="452">
        <v>29552</v>
      </c>
      <c r="O79" s="452"/>
      <c r="P79" s="453">
        <v>0</v>
      </c>
      <c r="Q79" s="453"/>
      <c r="R79" s="453"/>
      <c r="S79" s="452">
        <v>29552</v>
      </c>
      <c r="T79" s="452"/>
      <c r="U79" s="453">
        <v>0</v>
      </c>
      <c r="V79" s="453"/>
      <c r="W79" s="295">
        <v>100</v>
      </c>
      <c r="X79" s="291"/>
    </row>
    <row r="80" spans="1:24" ht="12">
      <c r="A80" s="454" t="s">
        <v>36</v>
      </c>
      <c r="B80" s="454"/>
      <c r="C80" s="454"/>
      <c r="D80" s="454" t="s">
        <v>343</v>
      </c>
      <c r="E80" s="454"/>
      <c r="F80" s="454"/>
      <c r="G80" s="294" t="s">
        <v>344</v>
      </c>
      <c r="H80" s="454" t="s">
        <v>345</v>
      </c>
      <c r="I80" s="454"/>
      <c r="J80" s="452">
        <v>6742</v>
      </c>
      <c r="K80" s="452"/>
      <c r="L80" s="452"/>
      <c r="M80" s="452"/>
      <c r="N80" s="452">
        <v>6742</v>
      </c>
      <c r="O80" s="452"/>
      <c r="P80" s="453">
        <v>0</v>
      </c>
      <c r="Q80" s="453"/>
      <c r="R80" s="453"/>
      <c r="S80" s="452">
        <v>6742</v>
      </c>
      <c r="T80" s="452"/>
      <c r="U80" s="453">
        <v>0</v>
      </c>
      <c r="V80" s="453"/>
      <c r="W80" s="295">
        <v>100</v>
      </c>
      <c r="X80" s="291"/>
    </row>
    <row r="81" spans="1:24" s="96" customFormat="1" ht="10.5">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1"/>
    </row>
    <row r="82" spans="1:24" ht="9" customHeight="1">
      <c r="A82" s="291"/>
      <c r="B82" s="291"/>
      <c r="C82" s="291"/>
      <c r="D82" s="291"/>
      <c r="E82" s="291"/>
      <c r="F82" s="291"/>
      <c r="G82" s="291"/>
      <c r="H82" s="291"/>
      <c r="I82" s="291"/>
      <c r="J82" s="451">
        <v>221977.2</v>
      </c>
      <c r="K82" s="451"/>
      <c r="L82" s="451"/>
      <c r="M82" s="451"/>
      <c r="N82" s="451">
        <v>221977.2</v>
      </c>
      <c r="O82" s="451"/>
      <c r="P82" s="451">
        <v>0</v>
      </c>
      <c r="Q82" s="451"/>
      <c r="R82" s="451"/>
      <c r="S82" s="451">
        <v>221977.2</v>
      </c>
      <c r="T82" s="451"/>
      <c r="U82" s="451">
        <v>0</v>
      </c>
      <c r="V82" s="451"/>
      <c r="W82" s="291"/>
      <c r="X82" s="291"/>
    </row>
    <row r="83" spans="1:24" s="89" customFormat="1" ht="12">
      <c r="A83" s="291"/>
      <c r="B83" s="430" t="s">
        <v>331</v>
      </c>
      <c r="C83" s="430"/>
      <c r="D83" s="455" t="s">
        <v>348</v>
      </c>
      <c r="E83" s="455"/>
      <c r="F83" s="455"/>
      <c r="G83" s="455"/>
      <c r="H83" s="455"/>
      <c r="I83" s="455"/>
      <c r="J83" s="455"/>
      <c r="K83" s="455"/>
      <c r="L83" s="455"/>
      <c r="M83" s="455"/>
      <c r="N83" s="291"/>
      <c r="O83" s="291"/>
      <c r="P83" s="291"/>
      <c r="Q83" s="291"/>
      <c r="R83" s="291"/>
      <c r="S83" s="291"/>
      <c r="T83" s="291"/>
      <c r="U83" s="291"/>
      <c r="V83" s="291"/>
      <c r="W83" s="291"/>
      <c r="X83" s="291"/>
    </row>
    <row r="84" spans="1:24" ht="12">
      <c r="A84" s="430" t="s">
        <v>332</v>
      </c>
      <c r="B84" s="430"/>
      <c r="C84" s="291"/>
      <c r="D84" s="291"/>
      <c r="E84" s="456" t="s">
        <v>333</v>
      </c>
      <c r="F84" s="456"/>
      <c r="G84" s="456"/>
      <c r="H84" s="456"/>
      <c r="I84" s="456"/>
      <c r="J84" s="449" t="s">
        <v>3</v>
      </c>
      <c r="K84" s="449"/>
      <c r="L84" s="449"/>
      <c r="M84" s="449"/>
      <c r="N84" s="449" t="s">
        <v>334</v>
      </c>
      <c r="O84" s="449"/>
      <c r="P84" s="428" t="s">
        <v>335</v>
      </c>
      <c r="Q84" s="428"/>
      <c r="R84" s="291"/>
      <c r="S84" s="449" t="s">
        <v>336</v>
      </c>
      <c r="T84" s="449"/>
      <c r="U84" s="291"/>
      <c r="V84" s="292" t="s">
        <v>337</v>
      </c>
      <c r="W84" s="292" t="s">
        <v>338</v>
      </c>
      <c r="X84" s="291"/>
    </row>
    <row r="85" spans="1:24" ht="12">
      <c r="A85" s="430"/>
      <c r="B85" s="430"/>
      <c r="C85" s="291"/>
      <c r="D85" s="291"/>
      <c r="E85" s="430" t="s">
        <v>339</v>
      </c>
      <c r="F85" s="430"/>
      <c r="G85" s="430"/>
      <c r="H85" s="430"/>
      <c r="I85" s="430"/>
      <c r="J85" s="428" t="s">
        <v>340</v>
      </c>
      <c r="K85" s="428"/>
      <c r="L85" s="428"/>
      <c r="M85" s="428"/>
      <c r="N85" s="428" t="s">
        <v>341</v>
      </c>
      <c r="O85" s="428"/>
      <c r="P85" s="428"/>
      <c r="Q85" s="428"/>
      <c r="R85" s="291"/>
      <c r="S85" s="428" t="s">
        <v>341</v>
      </c>
      <c r="T85" s="428"/>
      <c r="U85" s="291"/>
      <c r="V85" s="293" t="s">
        <v>342</v>
      </c>
      <c r="W85" s="293" t="s">
        <v>336</v>
      </c>
      <c r="X85" s="291"/>
    </row>
    <row r="86" spans="1:24" ht="12">
      <c r="A86" s="454" t="s">
        <v>34</v>
      </c>
      <c r="B86" s="454"/>
      <c r="C86" s="454"/>
      <c r="D86" s="454" t="s">
        <v>343</v>
      </c>
      <c r="E86" s="454"/>
      <c r="F86" s="454"/>
      <c r="G86" s="294" t="s">
        <v>344</v>
      </c>
      <c r="H86" s="454" t="s">
        <v>345</v>
      </c>
      <c r="I86" s="454"/>
      <c r="J86" s="452">
        <v>512845</v>
      </c>
      <c r="K86" s="452"/>
      <c r="L86" s="452"/>
      <c r="M86" s="452"/>
      <c r="N86" s="452">
        <v>512845</v>
      </c>
      <c r="O86" s="452"/>
      <c r="P86" s="453">
        <v>0</v>
      </c>
      <c r="Q86" s="453"/>
      <c r="R86" s="453"/>
      <c r="S86" s="452">
        <v>512845</v>
      </c>
      <c r="T86" s="452"/>
      <c r="U86" s="453">
        <v>0</v>
      </c>
      <c r="V86" s="453"/>
      <c r="W86" s="295">
        <v>100</v>
      </c>
      <c r="X86" s="291"/>
    </row>
    <row r="87" spans="1:24" ht="12">
      <c r="A87" s="454" t="s">
        <v>35</v>
      </c>
      <c r="B87" s="454"/>
      <c r="C87" s="454"/>
      <c r="D87" s="454" t="s">
        <v>343</v>
      </c>
      <c r="E87" s="454"/>
      <c r="F87" s="454"/>
      <c r="G87" s="294" t="s">
        <v>344</v>
      </c>
      <c r="H87" s="454" t="s">
        <v>345</v>
      </c>
      <c r="I87" s="454"/>
      <c r="J87" s="452">
        <v>342815</v>
      </c>
      <c r="K87" s="452"/>
      <c r="L87" s="452"/>
      <c r="M87" s="452"/>
      <c r="N87" s="452">
        <v>342815</v>
      </c>
      <c r="O87" s="452"/>
      <c r="P87" s="453">
        <v>0</v>
      </c>
      <c r="Q87" s="453"/>
      <c r="R87" s="453"/>
      <c r="S87" s="452">
        <v>342815</v>
      </c>
      <c r="T87" s="452"/>
      <c r="U87" s="453">
        <v>0</v>
      </c>
      <c r="V87" s="453"/>
      <c r="W87" s="295">
        <v>100</v>
      </c>
      <c r="X87" s="291"/>
    </row>
    <row r="88" spans="1:24" ht="12">
      <c r="A88" s="454" t="s">
        <v>29</v>
      </c>
      <c r="B88" s="454"/>
      <c r="C88" s="454"/>
      <c r="D88" s="454" t="s">
        <v>343</v>
      </c>
      <c r="E88" s="454"/>
      <c r="F88" s="454"/>
      <c r="G88" s="294" t="s">
        <v>344</v>
      </c>
      <c r="H88" s="454" t="s">
        <v>345</v>
      </c>
      <c r="I88" s="454"/>
      <c r="J88" s="452">
        <v>658238</v>
      </c>
      <c r="K88" s="452"/>
      <c r="L88" s="452"/>
      <c r="M88" s="452"/>
      <c r="N88" s="452">
        <v>658238</v>
      </c>
      <c r="O88" s="452"/>
      <c r="P88" s="453">
        <v>0</v>
      </c>
      <c r="Q88" s="453"/>
      <c r="R88" s="453"/>
      <c r="S88" s="452">
        <v>658238</v>
      </c>
      <c r="T88" s="452"/>
      <c r="U88" s="453">
        <v>0</v>
      </c>
      <c r="V88" s="453"/>
      <c r="W88" s="295">
        <v>100</v>
      </c>
      <c r="X88" s="291"/>
    </row>
    <row r="89" spans="1:24" ht="12">
      <c r="A89" s="454" t="s">
        <v>30</v>
      </c>
      <c r="B89" s="454"/>
      <c r="C89" s="454"/>
      <c r="D89" s="454" t="s">
        <v>343</v>
      </c>
      <c r="E89" s="454"/>
      <c r="F89" s="454"/>
      <c r="G89" s="294" t="s">
        <v>344</v>
      </c>
      <c r="H89" s="454" t="s">
        <v>345</v>
      </c>
      <c r="I89" s="454"/>
      <c r="J89" s="452">
        <v>311195</v>
      </c>
      <c r="K89" s="452"/>
      <c r="L89" s="452"/>
      <c r="M89" s="452"/>
      <c r="N89" s="452">
        <v>311195</v>
      </c>
      <c r="O89" s="452"/>
      <c r="P89" s="453">
        <v>0</v>
      </c>
      <c r="Q89" s="453"/>
      <c r="R89" s="453"/>
      <c r="S89" s="452">
        <v>311195</v>
      </c>
      <c r="T89" s="452"/>
      <c r="U89" s="453">
        <v>0</v>
      </c>
      <c r="V89" s="453"/>
      <c r="W89" s="295">
        <v>100</v>
      </c>
      <c r="X89" s="291"/>
    </row>
    <row r="90" spans="1:24" ht="12">
      <c r="A90" s="454" t="s">
        <v>36</v>
      </c>
      <c r="B90" s="454"/>
      <c r="C90" s="454"/>
      <c r="D90" s="454" t="s">
        <v>343</v>
      </c>
      <c r="E90" s="454"/>
      <c r="F90" s="454"/>
      <c r="G90" s="294" t="s">
        <v>344</v>
      </c>
      <c r="H90" s="454" t="s">
        <v>345</v>
      </c>
      <c r="I90" s="454"/>
      <c r="J90" s="452">
        <v>51805</v>
      </c>
      <c r="K90" s="452"/>
      <c r="L90" s="452"/>
      <c r="M90" s="452"/>
      <c r="N90" s="452">
        <v>51805</v>
      </c>
      <c r="O90" s="452"/>
      <c r="P90" s="453">
        <v>0</v>
      </c>
      <c r="Q90" s="453"/>
      <c r="R90" s="453"/>
      <c r="S90" s="452">
        <v>51805</v>
      </c>
      <c r="T90" s="452"/>
      <c r="U90" s="453">
        <v>0</v>
      </c>
      <c r="V90" s="453"/>
      <c r="W90" s="295">
        <v>100</v>
      </c>
      <c r="X90" s="291"/>
    </row>
    <row r="91" spans="1:24" ht="10.5">
      <c r="A91" s="296"/>
      <c r="B91" s="296"/>
      <c r="C91" s="296"/>
      <c r="D91" s="296"/>
      <c r="E91" s="296"/>
      <c r="F91" s="296"/>
      <c r="G91" s="296"/>
      <c r="H91" s="296"/>
      <c r="I91" s="296"/>
      <c r="J91" s="296"/>
      <c r="K91" s="296"/>
      <c r="L91" s="296"/>
      <c r="M91" s="296"/>
      <c r="N91" s="296"/>
      <c r="O91" s="296"/>
      <c r="P91" s="296"/>
      <c r="Q91" s="296"/>
      <c r="R91" s="296"/>
      <c r="S91" s="296"/>
      <c r="T91" s="296"/>
      <c r="U91" s="296"/>
      <c r="V91" s="296"/>
      <c r="W91" s="296"/>
      <c r="X91" s="291"/>
    </row>
    <row r="92" spans="1:24" s="96" customFormat="1" ht="11.25">
      <c r="A92" s="291"/>
      <c r="B92" s="291"/>
      <c r="C92" s="291"/>
      <c r="D92" s="291"/>
      <c r="E92" s="291"/>
      <c r="F92" s="291"/>
      <c r="G92" s="291"/>
      <c r="H92" s="291"/>
      <c r="I92" s="291"/>
      <c r="J92" s="451">
        <v>1876898</v>
      </c>
      <c r="K92" s="451"/>
      <c r="L92" s="451"/>
      <c r="M92" s="451"/>
      <c r="N92" s="451">
        <v>1876898</v>
      </c>
      <c r="O92" s="451"/>
      <c r="P92" s="451">
        <v>0</v>
      </c>
      <c r="Q92" s="451"/>
      <c r="R92" s="451"/>
      <c r="S92" s="451">
        <v>1876898</v>
      </c>
      <c r="T92" s="451"/>
      <c r="U92" s="451">
        <v>0</v>
      </c>
      <c r="V92" s="451"/>
      <c r="W92" s="291"/>
      <c r="X92" s="291"/>
    </row>
    <row r="93" spans="1:24" ht="12" customHeight="1">
      <c r="A93" s="291"/>
      <c r="B93" s="430" t="s">
        <v>331</v>
      </c>
      <c r="C93" s="430"/>
      <c r="D93" s="455" t="s">
        <v>187</v>
      </c>
      <c r="E93" s="455"/>
      <c r="F93" s="455"/>
      <c r="G93" s="455"/>
      <c r="H93" s="455"/>
      <c r="I93" s="455"/>
      <c r="J93" s="455"/>
      <c r="K93" s="455"/>
      <c r="L93" s="455"/>
      <c r="M93" s="455"/>
      <c r="N93" s="291"/>
      <c r="O93" s="291"/>
      <c r="P93" s="291"/>
      <c r="Q93" s="291"/>
      <c r="R93" s="291"/>
      <c r="S93" s="291"/>
      <c r="T93" s="291"/>
      <c r="U93" s="291"/>
      <c r="V93" s="291"/>
      <c r="W93" s="291"/>
      <c r="X93" s="291"/>
    </row>
    <row r="94" spans="1:24" s="89" customFormat="1" ht="12">
      <c r="A94" s="430" t="s">
        <v>332</v>
      </c>
      <c r="B94" s="430"/>
      <c r="C94" s="291"/>
      <c r="D94" s="291"/>
      <c r="E94" s="456" t="s">
        <v>333</v>
      </c>
      <c r="F94" s="456"/>
      <c r="G94" s="456"/>
      <c r="H94" s="456"/>
      <c r="I94" s="456"/>
      <c r="J94" s="449" t="s">
        <v>3</v>
      </c>
      <c r="K94" s="449"/>
      <c r="L94" s="449"/>
      <c r="M94" s="449"/>
      <c r="N94" s="449" t="s">
        <v>334</v>
      </c>
      <c r="O94" s="449"/>
      <c r="P94" s="428" t="s">
        <v>335</v>
      </c>
      <c r="Q94" s="428"/>
      <c r="R94" s="291"/>
      <c r="S94" s="449" t="s">
        <v>336</v>
      </c>
      <c r="T94" s="449"/>
      <c r="U94" s="291"/>
      <c r="V94" s="292" t="s">
        <v>337</v>
      </c>
      <c r="W94" s="292" t="s">
        <v>338</v>
      </c>
      <c r="X94" s="291"/>
    </row>
    <row r="95" spans="1:24" ht="12">
      <c r="A95" s="430"/>
      <c r="B95" s="430"/>
      <c r="C95" s="291"/>
      <c r="D95" s="291"/>
      <c r="E95" s="430" t="s">
        <v>339</v>
      </c>
      <c r="F95" s="430"/>
      <c r="G95" s="430"/>
      <c r="H95" s="430"/>
      <c r="I95" s="430"/>
      <c r="J95" s="428" t="s">
        <v>340</v>
      </c>
      <c r="K95" s="428"/>
      <c r="L95" s="428"/>
      <c r="M95" s="428"/>
      <c r="N95" s="428" t="s">
        <v>341</v>
      </c>
      <c r="O95" s="428"/>
      <c r="P95" s="428"/>
      <c r="Q95" s="428"/>
      <c r="R95" s="291"/>
      <c r="S95" s="428" t="s">
        <v>341</v>
      </c>
      <c r="T95" s="428"/>
      <c r="U95" s="291"/>
      <c r="V95" s="293" t="s">
        <v>342</v>
      </c>
      <c r="W95" s="293" t="s">
        <v>336</v>
      </c>
      <c r="X95" s="291"/>
    </row>
    <row r="96" spans="1:24" ht="12">
      <c r="A96" s="454" t="s">
        <v>34</v>
      </c>
      <c r="B96" s="454"/>
      <c r="C96" s="454"/>
      <c r="D96" s="454" t="s">
        <v>343</v>
      </c>
      <c r="E96" s="454"/>
      <c r="F96" s="454"/>
      <c r="G96" s="294" t="s">
        <v>344</v>
      </c>
      <c r="H96" s="454" t="s">
        <v>345</v>
      </c>
      <c r="I96" s="454"/>
      <c r="J96" s="452">
        <v>101493</v>
      </c>
      <c r="K96" s="452"/>
      <c r="L96" s="452"/>
      <c r="M96" s="452"/>
      <c r="N96" s="452">
        <v>101493</v>
      </c>
      <c r="O96" s="452"/>
      <c r="P96" s="453">
        <v>0</v>
      </c>
      <c r="Q96" s="453"/>
      <c r="R96" s="453"/>
      <c r="S96" s="452">
        <v>101493</v>
      </c>
      <c r="T96" s="452"/>
      <c r="U96" s="453">
        <v>0</v>
      </c>
      <c r="V96" s="453"/>
      <c r="W96" s="295">
        <v>100</v>
      </c>
      <c r="X96" s="291"/>
    </row>
    <row r="97" spans="1:24" ht="12">
      <c r="A97" s="454" t="s">
        <v>35</v>
      </c>
      <c r="B97" s="454"/>
      <c r="C97" s="454"/>
      <c r="D97" s="454" t="s">
        <v>343</v>
      </c>
      <c r="E97" s="454"/>
      <c r="F97" s="454"/>
      <c r="G97" s="294" t="s">
        <v>344</v>
      </c>
      <c r="H97" s="454" t="s">
        <v>345</v>
      </c>
      <c r="I97" s="454"/>
      <c r="J97" s="452">
        <v>63259.09</v>
      </c>
      <c r="K97" s="452"/>
      <c r="L97" s="452"/>
      <c r="M97" s="452"/>
      <c r="N97" s="452">
        <v>63259.09</v>
      </c>
      <c r="O97" s="452"/>
      <c r="P97" s="453">
        <v>0</v>
      </c>
      <c r="Q97" s="453"/>
      <c r="R97" s="453"/>
      <c r="S97" s="452">
        <v>63259.09</v>
      </c>
      <c r="T97" s="452"/>
      <c r="U97" s="453">
        <v>0</v>
      </c>
      <c r="V97" s="453"/>
      <c r="W97" s="295">
        <v>100</v>
      </c>
      <c r="X97" s="291"/>
    </row>
    <row r="98" spans="1:24" ht="12">
      <c r="A98" s="454" t="s">
        <v>29</v>
      </c>
      <c r="B98" s="454"/>
      <c r="C98" s="454"/>
      <c r="D98" s="454" t="s">
        <v>343</v>
      </c>
      <c r="E98" s="454"/>
      <c r="F98" s="454"/>
      <c r="G98" s="294" t="s">
        <v>344</v>
      </c>
      <c r="H98" s="454" t="s">
        <v>345</v>
      </c>
      <c r="I98" s="454"/>
      <c r="J98" s="452">
        <v>192082.69</v>
      </c>
      <c r="K98" s="452"/>
      <c r="L98" s="452"/>
      <c r="M98" s="452"/>
      <c r="N98" s="452">
        <v>192082.69</v>
      </c>
      <c r="O98" s="452"/>
      <c r="P98" s="453">
        <v>0</v>
      </c>
      <c r="Q98" s="453"/>
      <c r="R98" s="453"/>
      <c r="S98" s="452">
        <v>192082.69</v>
      </c>
      <c r="T98" s="452"/>
      <c r="U98" s="453">
        <v>0</v>
      </c>
      <c r="V98" s="453"/>
      <c r="W98" s="295">
        <v>100</v>
      </c>
      <c r="X98" s="291"/>
    </row>
    <row r="99" spans="1:24" ht="12">
      <c r="A99" s="454" t="s">
        <v>30</v>
      </c>
      <c r="B99" s="454"/>
      <c r="C99" s="454"/>
      <c r="D99" s="454" t="s">
        <v>343</v>
      </c>
      <c r="E99" s="454"/>
      <c r="F99" s="454"/>
      <c r="G99" s="294" t="s">
        <v>344</v>
      </c>
      <c r="H99" s="454" t="s">
        <v>345</v>
      </c>
      <c r="I99" s="454"/>
      <c r="J99" s="452">
        <v>38029.16</v>
      </c>
      <c r="K99" s="452"/>
      <c r="L99" s="452"/>
      <c r="M99" s="452"/>
      <c r="N99" s="452">
        <v>38029.16</v>
      </c>
      <c r="O99" s="452"/>
      <c r="P99" s="453">
        <v>0</v>
      </c>
      <c r="Q99" s="453"/>
      <c r="R99" s="453"/>
      <c r="S99" s="452">
        <v>38029.16</v>
      </c>
      <c r="T99" s="452"/>
      <c r="U99" s="453">
        <v>0</v>
      </c>
      <c r="V99" s="453"/>
      <c r="W99" s="295">
        <v>100</v>
      </c>
      <c r="X99" s="291"/>
    </row>
    <row r="100" spans="1:24" ht="12">
      <c r="A100" s="454" t="s">
        <v>36</v>
      </c>
      <c r="B100" s="454"/>
      <c r="C100" s="454"/>
      <c r="D100" s="454" t="s">
        <v>343</v>
      </c>
      <c r="E100" s="454"/>
      <c r="F100" s="454"/>
      <c r="G100" s="294" t="s">
        <v>344</v>
      </c>
      <c r="H100" s="454" t="s">
        <v>345</v>
      </c>
      <c r="I100" s="454"/>
      <c r="J100" s="452">
        <v>19692</v>
      </c>
      <c r="K100" s="452"/>
      <c r="L100" s="452"/>
      <c r="M100" s="452"/>
      <c r="N100" s="452">
        <v>19692</v>
      </c>
      <c r="O100" s="452"/>
      <c r="P100" s="453">
        <v>0</v>
      </c>
      <c r="Q100" s="453"/>
      <c r="R100" s="453"/>
      <c r="S100" s="452">
        <v>19692</v>
      </c>
      <c r="T100" s="452"/>
      <c r="U100" s="453">
        <v>0</v>
      </c>
      <c r="V100" s="453"/>
      <c r="W100" s="295">
        <v>100</v>
      </c>
      <c r="X100" s="291"/>
    </row>
    <row r="101" spans="1:24" ht="10.5">
      <c r="A101" s="296"/>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1"/>
    </row>
    <row r="102" spans="1:24" ht="12" thickBot="1">
      <c r="A102" s="291"/>
      <c r="B102" s="291"/>
      <c r="C102" s="291"/>
      <c r="D102" s="291"/>
      <c r="E102" s="291"/>
      <c r="F102" s="291"/>
      <c r="G102" s="291"/>
      <c r="H102" s="291"/>
      <c r="I102" s="291"/>
      <c r="J102" s="451">
        <v>414555.94</v>
      </c>
      <c r="K102" s="451"/>
      <c r="L102" s="451"/>
      <c r="M102" s="451"/>
      <c r="N102" s="451">
        <v>414555.94</v>
      </c>
      <c r="O102" s="451"/>
      <c r="P102" s="451">
        <v>0</v>
      </c>
      <c r="Q102" s="451"/>
      <c r="R102" s="451"/>
      <c r="S102" s="451">
        <v>414555.94</v>
      </c>
      <c r="T102" s="451"/>
      <c r="U102" s="451">
        <v>0</v>
      </c>
      <c r="V102" s="451"/>
      <c r="W102" s="291"/>
      <c r="X102" s="291"/>
    </row>
    <row r="103" spans="1:24" ht="11.25" thickTop="1">
      <c r="A103" s="297"/>
      <c r="B103" s="297"/>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1"/>
    </row>
    <row r="104" spans="1:24" ht="12" customHeight="1">
      <c r="A104" s="449" t="s">
        <v>351</v>
      </c>
      <c r="B104" s="449"/>
      <c r="C104" s="449"/>
      <c r="D104" s="449"/>
      <c r="E104" s="449"/>
      <c r="F104" s="449"/>
      <c r="G104" s="449"/>
      <c r="H104" s="449"/>
      <c r="I104" s="291"/>
      <c r="J104" s="450">
        <v>2513431.14</v>
      </c>
      <c r="K104" s="450"/>
      <c r="L104" s="450"/>
      <c r="M104" s="450"/>
      <c r="N104" s="450">
        <v>2513431.14</v>
      </c>
      <c r="O104" s="450"/>
      <c r="P104" s="451">
        <v>0</v>
      </c>
      <c r="Q104" s="451"/>
      <c r="R104" s="451"/>
      <c r="S104" s="450">
        <v>2513431.14</v>
      </c>
      <c r="T104" s="450"/>
      <c r="U104" s="450">
        <v>0</v>
      </c>
      <c r="V104" s="450"/>
      <c r="W104" s="291"/>
      <c r="X104" s="291"/>
    </row>
    <row r="105" spans="1:24" s="89" customFormat="1" ht="12">
      <c r="A105" s="430" t="s">
        <v>329</v>
      </c>
      <c r="B105" s="430"/>
      <c r="C105" s="455" t="s">
        <v>352</v>
      </c>
      <c r="D105" s="455"/>
      <c r="E105" s="455"/>
      <c r="F105" s="455"/>
      <c r="G105" s="455"/>
      <c r="H105" s="455"/>
      <c r="I105" s="455"/>
      <c r="J105" s="455"/>
      <c r="K105" s="455"/>
      <c r="L105" s="291"/>
      <c r="M105" s="291"/>
      <c r="N105" s="291"/>
      <c r="O105" s="291"/>
      <c r="P105" s="291"/>
      <c r="Q105" s="291"/>
      <c r="R105" s="291"/>
      <c r="S105" s="291"/>
      <c r="T105" s="291"/>
      <c r="U105" s="291"/>
      <c r="V105" s="291"/>
      <c r="W105" s="291"/>
      <c r="X105" s="291"/>
    </row>
    <row r="106" spans="1:24" ht="10.5">
      <c r="A106" s="430"/>
      <c r="B106" s="430"/>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row>
    <row r="107" spans="1:24" ht="12">
      <c r="A107" s="291"/>
      <c r="B107" s="430" t="s">
        <v>331</v>
      </c>
      <c r="C107" s="430"/>
      <c r="D107" s="455" t="s">
        <v>44</v>
      </c>
      <c r="E107" s="455"/>
      <c r="F107" s="455"/>
      <c r="G107" s="455"/>
      <c r="H107" s="455"/>
      <c r="I107" s="455"/>
      <c r="J107" s="455"/>
      <c r="K107" s="455"/>
      <c r="L107" s="455"/>
      <c r="M107" s="455"/>
      <c r="N107" s="291"/>
      <c r="O107" s="291"/>
      <c r="P107" s="291"/>
      <c r="Q107" s="291"/>
      <c r="R107" s="291"/>
      <c r="S107" s="291"/>
      <c r="T107" s="291"/>
      <c r="U107" s="291"/>
      <c r="V107" s="291"/>
      <c r="W107" s="291"/>
      <c r="X107" s="291"/>
    </row>
    <row r="108" spans="1:24" ht="12">
      <c r="A108" s="430" t="s">
        <v>332</v>
      </c>
      <c r="B108" s="430"/>
      <c r="C108" s="291"/>
      <c r="D108" s="291"/>
      <c r="E108" s="456" t="s">
        <v>333</v>
      </c>
      <c r="F108" s="456"/>
      <c r="G108" s="456"/>
      <c r="H108" s="456"/>
      <c r="I108" s="456"/>
      <c r="J108" s="449" t="s">
        <v>3</v>
      </c>
      <c r="K108" s="449"/>
      <c r="L108" s="449"/>
      <c r="M108" s="449"/>
      <c r="N108" s="449" t="s">
        <v>334</v>
      </c>
      <c r="O108" s="449"/>
      <c r="P108" s="428" t="s">
        <v>335</v>
      </c>
      <c r="Q108" s="428"/>
      <c r="R108" s="291"/>
      <c r="S108" s="449" t="s">
        <v>336</v>
      </c>
      <c r="T108" s="449"/>
      <c r="U108" s="291"/>
      <c r="V108" s="292" t="s">
        <v>337</v>
      </c>
      <c r="W108" s="292" t="s">
        <v>338</v>
      </c>
      <c r="X108" s="291"/>
    </row>
    <row r="109" spans="1:24" ht="12">
      <c r="A109" s="430"/>
      <c r="B109" s="430"/>
      <c r="C109" s="291"/>
      <c r="D109" s="291"/>
      <c r="E109" s="430" t="s">
        <v>339</v>
      </c>
      <c r="F109" s="430"/>
      <c r="G109" s="430"/>
      <c r="H109" s="430"/>
      <c r="I109" s="430"/>
      <c r="J109" s="428" t="s">
        <v>340</v>
      </c>
      <c r="K109" s="428"/>
      <c r="L109" s="428"/>
      <c r="M109" s="428"/>
      <c r="N109" s="428" t="s">
        <v>341</v>
      </c>
      <c r="O109" s="428"/>
      <c r="P109" s="428"/>
      <c r="Q109" s="428"/>
      <c r="R109" s="291"/>
      <c r="S109" s="428" t="s">
        <v>341</v>
      </c>
      <c r="T109" s="428"/>
      <c r="U109" s="291"/>
      <c r="V109" s="293" t="s">
        <v>342</v>
      </c>
      <c r="W109" s="293" t="s">
        <v>336</v>
      </c>
      <c r="X109" s="291"/>
    </row>
    <row r="110" spans="1:24" ht="12">
      <c r="A110" s="454" t="s">
        <v>196</v>
      </c>
      <c r="B110" s="454"/>
      <c r="C110" s="454"/>
      <c r="D110" s="454" t="s">
        <v>353</v>
      </c>
      <c r="E110" s="454"/>
      <c r="F110" s="454"/>
      <c r="G110" s="294" t="s">
        <v>344</v>
      </c>
      <c r="H110" s="454" t="s">
        <v>354</v>
      </c>
      <c r="I110" s="454"/>
      <c r="J110" s="452">
        <v>103204.96</v>
      </c>
      <c r="K110" s="452"/>
      <c r="L110" s="452"/>
      <c r="M110" s="452"/>
      <c r="N110" s="452">
        <v>103204.96</v>
      </c>
      <c r="O110" s="452"/>
      <c r="P110" s="453">
        <v>0</v>
      </c>
      <c r="Q110" s="453"/>
      <c r="R110" s="453"/>
      <c r="S110" s="452">
        <v>103204.96</v>
      </c>
      <c r="T110" s="452"/>
      <c r="U110" s="453">
        <v>0</v>
      </c>
      <c r="V110" s="453"/>
      <c r="W110" s="295">
        <v>100</v>
      </c>
      <c r="X110" s="291"/>
    </row>
    <row r="111" spans="1:24" ht="10.5">
      <c r="A111" s="296"/>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1"/>
    </row>
    <row r="112" spans="1:24" ht="12" thickBot="1">
      <c r="A112" s="291"/>
      <c r="B112" s="291"/>
      <c r="C112" s="291"/>
      <c r="D112" s="291"/>
      <c r="E112" s="291"/>
      <c r="F112" s="291"/>
      <c r="G112" s="291"/>
      <c r="H112" s="291"/>
      <c r="I112" s="291"/>
      <c r="J112" s="451">
        <v>103204.96</v>
      </c>
      <c r="K112" s="451"/>
      <c r="L112" s="451"/>
      <c r="M112" s="451"/>
      <c r="N112" s="451">
        <v>103204.96</v>
      </c>
      <c r="O112" s="451"/>
      <c r="P112" s="451">
        <v>0</v>
      </c>
      <c r="Q112" s="451"/>
      <c r="R112" s="451"/>
      <c r="S112" s="451">
        <v>103204.96</v>
      </c>
      <c r="T112" s="451"/>
      <c r="U112" s="451">
        <v>0</v>
      </c>
      <c r="V112" s="451"/>
      <c r="W112" s="291"/>
      <c r="X112" s="291"/>
    </row>
    <row r="113" spans="1:24" ht="11.25" thickTop="1">
      <c r="A113" s="297"/>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1"/>
    </row>
    <row r="114" spans="1:24" ht="12">
      <c r="A114" s="449" t="s">
        <v>355</v>
      </c>
      <c r="B114" s="449"/>
      <c r="C114" s="449"/>
      <c r="D114" s="449"/>
      <c r="E114" s="449"/>
      <c r="F114" s="449"/>
      <c r="G114" s="449"/>
      <c r="H114" s="449"/>
      <c r="I114" s="291"/>
      <c r="J114" s="450">
        <v>103204.96</v>
      </c>
      <c r="K114" s="450"/>
      <c r="L114" s="450"/>
      <c r="M114" s="450"/>
      <c r="N114" s="450">
        <v>103204.96</v>
      </c>
      <c r="O114" s="450"/>
      <c r="P114" s="451">
        <v>0</v>
      </c>
      <c r="Q114" s="451"/>
      <c r="R114" s="451"/>
      <c r="S114" s="450">
        <v>103204.96</v>
      </c>
      <c r="T114" s="450"/>
      <c r="U114" s="450">
        <v>0</v>
      </c>
      <c r="V114" s="450"/>
      <c r="W114" s="291"/>
      <c r="X114" s="291"/>
    </row>
    <row r="115" spans="1:24" ht="12">
      <c r="A115" s="430" t="s">
        <v>329</v>
      </c>
      <c r="B115" s="430"/>
      <c r="C115" s="455" t="s">
        <v>356</v>
      </c>
      <c r="D115" s="455"/>
      <c r="E115" s="455"/>
      <c r="F115" s="455"/>
      <c r="G115" s="455"/>
      <c r="H115" s="455"/>
      <c r="I115" s="455"/>
      <c r="J115" s="455"/>
      <c r="K115" s="455"/>
      <c r="L115" s="291"/>
      <c r="M115" s="291"/>
      <c r="N115" s="291"/>
      <c r="O115" s="291"/>
      <c r="P115" s="291"/>
      <c r="Q115" s="291"/>
      <c r="R115" s="291"/>
      <c r="S115" s="291"/>
      <c r="T115" s="291"/>
      <c r="U115" s="291"/>
      <c r="V115" s="291"/>
      <c r="W115" s="291"/>
      <c r="X115" s="291"/>
    </row>
    <row r="116" spans="1:24" ht="10.5">
      <c r="A116" s="430"/>
      <c r="B116" s="430"/>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row>
    <row r="117" spans="1:24" ht="12">
      <c r="A117" s="291"/>
      <c r="B117" s="430" t="s">
        <v>331</v>
      </c>
      <c r="C117" s="430"/>
      <c r="D117" s="455" t="s">
        <v>44</v>
      </c>
      <c r="E117" s="455"/>
      <c r="F117" s="455"/>
      <c r="G117" s="455"/>
      <c r="H117" s="455"/>
      <c r="I117" s="455"/>
      <c r="J117" s="455"/>
      <c r="K117" s="455"/>
      <c r="L117" s="455"/>
      <c r="M117" s="455"/>
      <c r="N117" s="291"/>
      <c r="O117" s="291"/>
      <c r="P117" s="291"/>
      <c r="Q117" s="291"/>
      <c r="R117" s="291"/>
      <c r="S117" s="291"/>
      <c r="T117" s="291"/>
      <c r="U117" s="291"/>
      <c r="V117" s="291"/>
      <c r="W117" s="291"/>
      <c r="X117" s="291"/>
    </row>
    <row r="118" spans="1:24" ht="12">
      <c r="A118" s="430" t="s">
        <v>332</v>
      </c>
      <c r="B118" s="430"/>
      <c r="C118" s="291"/>
      <c r="D118" s="291"/>
      <c r="E118" s="456" t="s">
        <v>333</v>
      </c>
      <c r="F118" s="456"/>
      <c r="G118" s="456"/>
      <c r="H118" s="456"/>
      <c r="I118" s="456"/>
      <c r="J118" s="449" t="s">
        <v>3</v>
      </c>
      <c r="K118" s="449"/>
      <c r="L118" s="449"/>
      <c r="M118" s="449"/>
      <c r="N118" s="449" t="s">
        <v>334</v>
      </c>
      <c r="O118" s="449"/>
      <c r="P118" s="428" t="s">
        <v>335</v>
      </c>
      <c r="Q118" s="428"/>
      <c r="R118" s="291"/>
      <c r="S118" s="449" t="s">
        <v>336</v>
      </c>
      <c r="T118" s="449"/>
      <c r="U118" s="291"/>
      <c r="V118" s="292" t="s">
        <v>337</v>
      </c>
      <c r="W118" s="292" t="s">
        <v>338</v>
      </c>
      <c r="X118" s="291"/>
    </row>
    <row r="119" spans="1:24" ht="12">
      <c r="A119" s="430"/>
      <c r="B119" s="430"/>
      <c r="C119" s="291"/>
      <c r="D119" s="291"/>
      <c r="E119" s="430" t="s">
        <v>339</v>
      </c>
      <c r="F119" s="430"/>
      <c r="G119" s="430"/>
      <c r="H119" s="430"/>
      <c r="I119" s="430"/>
      <c r="J119" s="428" t="s">
        <v>340</v>
      </c>
      <c r="K119" s="428"/>
      <c r="L119" s="428"/>
      <c r="M119" s="428"/>
      <c r="N119" s="428" t="s">
        <v>341</v>
      </c>
      <c r="O119" s="428"/>
      <c r="P119" s="428"/>
      <c r="Q119" s="428"/>
      <c r="R119" s="291"/>
      <c r="S119" s="428" t="s">
        <v>341</v>
      </c>
      <c r="T119" s="428"/>
      <c r="U119" s="291"/>
      <c r="V119" s="293" t="s">
        <v>342</v>
      </c>
      <c r="W119" s="293" t="s">
        <v>336</v>
      </c>
      <c r="X119" s="291"/>
    </row>
    <row r="120" spans="1:24" ht="12">
      <c r="A120" s="454" t="s">
        <v>23</v>
      </c>
      <c r="B120" s="454"/>
      <c r="C120" s="454"/>
      <c r="D120" s="454" t="s">
        <v>353</v>
      </c>
      <c r="E120" s="454"/>
      <c r="F120" s="454"/>
      <c r="G120" s="294" t="s">
        <v>344</v>
      </c>
      <c r="H120" s="454" t="s">
        <v>354</v>
      </c>
      <c r="I120" s="454"/>
      <c r="J120" s="452">
        <v>59106</v>
      </c>
      <c r="K120" s="452"/>
      <c r="L120" s="452"/>
      <c r="M120" s="452"/>
      <c r="N120" s="452">
        <v>59106</v>
      </c>
      <c r="O120" s="452"/>
      <c r="P120" s="453">
        <v>0</v>
      </c>
      <c r="Q120" s="453"/>
      <c r="R120" s="453"/>
      <c r="S120" s="452">
        <v>59106</v>
      </c>
      <c r="T120" s="452"/>
      <c r="U120" s="453">
        <v>0</v>
      </c>
      <c r="V120" s="453"/>
      <c r="W120" s="295">
        <v>100</v>
      </c>
      <c r="X120" s="291"/>
    </row>
    <row r="121" spans="1:24" ht="12">
      <c r="A121" s="454" t="s">
        <v>24</v>
      </c>
      <c r="B121" s="454"/>
      <c r="C121" s="454"/>
      <c r="D121" s="454" t="s">
        <v>353</v>
      </c>
      <c r="E121" s="454"/>
      <c r="F121" s="454"/>
      <c r="G121" s="294" t="s">
        <v>344</v>
      </c>
      <c r="H121" s="454" t="s">
        <v>354</v>
      </c>
      <c r="I121" s="454"/>
      <c r="J121" s="452">
        <v>19758.56</v>
      </c>
      <c r="K121" s="452"/>
      <c r="L121" s="452"/>
      <c r="M121" s="452"/>
      <c r="N121" s="452">
        <v>19758.56</v>
      </c>
      <c r="O121" s="452"/>
      <c r="P121" s="453">
        <v>0</v>
      </c>
      <c r="Q121" s="453"/>
      <c r="R121" s="453"/>
      <c r="S121" s="452">
        <v>19758.56</v>
      </c>
      <c r="T121" s="452"/>
      <c r="U121" s="453">
        <v>0</v>
      </c>
      <c r="V121" s="453"/>
      <c r="W121" s="295">
        <v>100</v>
      </c>
      <c r="X121" s="291"/>
    </row>
    <row r="122" spans="1:24" ht="12">
      <c r="A122" s="454" t="s">
        <v>25</v>
      </c>
      <c r="B122" s="454"/>
      <c r="C122" s="454"/>
      <c r="D122" s="454" t="s">
        <v>353</v>
      </c>
      <c r="E122" s="454"/>
      <c r="F122" s="454"/>
      <c r="G122" s="294" t="s">
        <v>344</v>
      </c>
      <c r="H122" s="454" t="s">
        <v>354</v>
      </c>
      <c r="I122" s="454"/>
      <c r="J122" s="452">
        <v>17432</v>
      </c>
      <c r="K122" s="452"/>
      <c r="L122" s="452"/>
      <c r="M122" s="452"/>
      <c r="N122" s="452">
        <v>17432</v>
      </c>
      <c r="O122" s="452"/>
      <c r="P122" s="453">
        <v>0</v>
      </c>
      <c r="Q122" s="453"/>
      <c r="R122" s="453"/>
      <c r="S122" s="452">
        <v>17432</v>
      </c>
      <c r="T122" s="452"/>
      <c r="U122" s="453">
        <v>0</v>
      </c>
      <c r="V122" s="453"/>
      <c r="W122" s="295">
        <v>100</v>
      </c>
      <c r="X122" s="291"/>
    </row>
    <row r="123" spans="1:24" ht="12">
      <c r="A123" s="454" t="s">
        <v>26</v>
      </c>
      <c r="B123" s="454"/>
      <c r="C123" s="454"/>
      <c r="D123" s="454" t="s">
        <v>353</v>
      </c>
      <c r="E123" s="454"/>
      <c r="F123" s="454"/>
      <c r="G123" s="294" t="s">
        <v>344</v>
      </c>
      <c r="H123" s="454" t="s">
        <v>354</v>
      </c>
      <c r="I123" s="454"/>
      <c r="J123" s="452">
        <v>5610</v>
      </c>
      <c r="K123" s="452"/>
      <c r="L123" s="452"/>
      <c r="M123" s="452"/>
      <c r="N123" s="452">
        <v>5610</v>
      </c>
      <c r="O123" s="452"/>
      <c r="P123" s="453">
        <v>0</v>
      </c>
      <c r="Q123" s="453"/>
      <c r="R123" s="453"/>
      <c r="S123" s="452">
        <v>5610</v>
      </c>
      <c r="T123" s="452"/>
      <c r="U123" s="453">
        <v>0</v>
      </c>
      <c r="V123" s="453"/>
      <c r="W123" s="295">
        <v>100</v>
      </c>
      <c r="X123" s="291"/>
    </row>
    <row r="124" spans="1:24" ht="12">
      <c r="A124" s="454" t="s">
        <v>27</v>
      </c>
      <c r="B124" s="454"/>
      <c r="C124" s="454"/>
      <c r="D124" s="454" t="s">
        <v>353</v>
      </c>
      <c r="E124" s="454"/>
      <c r="F124" s="454"/>
      <c r="G124" s="294" t="s">
        <v>344</v>
      </c>
      <c r="H124" s="454" t="s">
        <v>354</v>
      </c>
      <c r="I124" s="454"/>
      <c r="J124" s="452">
        <v>103976</v>
      </c>
      <c r="K124" s="452"/>
      <c r="L124" s="452"/>
      <c r="M124" s="452"/>
      <c r="N124" s="452">
        <v>103976</v>
      </c>
      <c r="O124" s="452"/>
      <c r="P124" s="453">
        <v>0</v>
      </c>
      <c r="Q124" s="453"/>
      <c r="R124" s="453"/>
      <c r="S124" s="452">
        <v>103976</v>
      </c>
      <c r="T124" s="452"/>
      <c r="U124" s="453">
        <v>0</v>
      </c>
      <c r="V124" s="453"/>
      <c r="W124" s="295">
        <v>100</v>
      </c>
      <c r="X124" s="291"/>
    </row>
    <row r="125" spans="1:24" ht="12">
      <c r="A125" s="454" t="s">
        <v>165</v>
      </c>
      <c r="B125" s="454"/>
      <c r="C125" s="454"/>
      <c r="D125" s="454" t="s">
        <v>353</v>
      </c>
      <c r="E125" s="454"/>
      <c r="F125" s="454"/>
      <c r="G125" s="294" t="s">
        <v>344</v>
      </c>
      <c r="H125" s="454" t="s">
        <v>354</v>
      </c>
      <c r="I125" s="454"/>
      <c r="J125" s="452">
        <v>46775</v>
      </c>
      <c r="K125" s="452"/>
      <c r="L125" s="452"/>
      <c r="M125" s="452"/>
      <c r="N125" s="452">
        <v>46775</v>
      </c>
      <c r="O125" s="452"/>
      <c r="P125" s="453">
        <v>0</v>
      </c>
      <c r="Q125" s="453"/>
      <c r="R125" s="453"/>
      <c r="S125" s="452">
        <v>46775</v>
      </c>
      <c r="T125" s="452"/>
      <c r="U125" s="453">
        <v>0</v>
      </c>
      <c r="V125" s="453"/>
      <c r="W125" s="295">
        <v>100</v>
      </c>
      <c r="X125" s="291"/>
    </row>
    <row r="126" spans="1:24" ht="12">
      <c r="A126" s="454" t="s">
        <v>37</v>
      </c>
      <c r="B126" s="454"/>
      <c r="C126" s="454"/>
      <c r="D126" s="454" t="s">
        <v>353</v>
      </c>
      <c r="E126" s="454"/>
      <c r="F126" s="454"/>
      <c r="G126" s="294" t="s">
        <v>344</v>
      </c>
      <c r="H126" s="454" t="s">
        <v>354</v>
      </c>
      <c r="I126" s="454"/>
      <c r="J126" s="452">
        <v>10577.67</v>
      </c>
      <c r="K126" s="452"/>
      <c r="L126" s="452"/>
      <c r="M126" s="452"/>
      <c r="N126" s="452">
        <v>10577.67</v>
      </c>
      <c r="O126" s="452"/>
      <c r="P126" s="453">
        <v>0</v>
      </c>
      <c r="Q126" s="453"/>
      <c r="R126" s="453"/>
      <c r="S126" s="452">
        <v>10577.67</v>
      </c>
      <c r="T126" s="452"/>
      <c r="U126" s="453">
        <v>0</v>
      </c>
      <c r="V126" s="453"/>
      <c r="W126" s="295">
        <v>100</v>
      </c>
      <c r="X126" s="291"/>
    </row>
    <row r="127" spans="1:24" ht="12">
      <c r="A127" s="454" t="s">
        <v>28</v>
      </c>
      <c r="B127" s="454"/>
      <c r="C127" s="454"/>
      <c r="D127" s="454" t="s">
        <v>353</v>
      </c>
      <c r="E127" s="454"/>
      <c r="F127" s="454"/>
      <c r="G127" s="294" t="s">
        <v>344</v>
      </c>
      <c r="H127" s="454" t="s">
        <v>354</v>
      </c>
      <c r="I127" s="454"/>
      <c r="J127" s="452">
        <v>7591.36</v>
      </c>
      <c r="K127" s="452"/>
      <c r="L127" s="452"/>
      <c r="M127" s="452"/>
      <c r="N127" s="452">
        <v>7591.36</v>
      </c>
      <c r="O127" s="452"/>
      <c r="P127" s="453">
        <v>0</v>
      </c>
      <c r="Q127" s="453"/>
      <c r="R127" s="453"/>
      <c r="S127" s="452">
        <v>7591.36</v>
      </c>
      <c r="T127" s="452"/>
      <c r="U127" s="453">
        <v>0</v>
      </c>
      <c r="V127" s="453"/>
      <c r="W127" s="295">
        <v>100</v>
      </c>
      <c r="X127" s="291"/>
    </row>
    <row r="128" spans="1:24" ht="12">
      <c r="A128" s="454" t="s">
        <v>29</v>
      </c>
      <c r="B128" s="454"/>
      <c r="C128" s="454"/>
      <c r="D128" s="454" t="s">
        <v>353</v>
      </c>
      <c r="E128" s="454"/>
      <c r="F128" s="454"/>
      <c r="G128" s="294" t="s">
        <v>344</v>
      </c>
      <c r="H128" s="454" t="s">
        <v>354</v>
      </c>
      <c r="I128" s="454"/>
      <c r="J128" s="452">
        <v>72601.61</v>
      </c>
      <c r="K128" s="452"/>
      <c r="L128" s="452"/>
      <c r="M128" s="452"/>
      <c r="N128" s="452">
        <v>72601.61</v>
      </c>
      <c r="O128" s="452"/>
      <c r="P128" s="453">
        <v>0</v>
      </c>
      <c r="Q128" s="453"/>
      <c r="R128" s="453"/>
      <c r="S128" s="452">
        <v>72601.61</v>
      </c>
      <c r="T128" s="452"/>
      <c r="U128" s="453">
        <v>0</v>
      </c>
      <c r="V128" s="453"/>
      <c r="W128" s="295">
        <v>100</v>
      </c>
      <c r="X128" s="291"/>
    </row>
    <row r="129" spans="1:24" ht="12">
      <c r="A129" s="454" t="s">
        <v>30</v>
      </c>
      <c r="B129" s="454"/>
      <c r="C129" s="454"/>
      <c r="D129" s="454" t="s">
        <v>353</v>
      </c>
      <c r="E129" s="454"/>
      <c r="F129" s="454"/>
      <c r="G129" s="294" t="s">
        <v>344</v>
      </c>
      <c r="H129" s="454" t="s">
        <v>354</v>
      </c>
      <c r="I129" s="454"/>
      <c r="J129" s="452">
        <v>16431</v>
      </c>
      <c r="K129" s="452"/>
      <c r="L129" s="452"/>
      <c r="M129" s="452"/>
      <c r="N129" s="452">
        <v>16431</v>
      </c>
      <c r="O129" s="452"/>
      <c r="P129" s="453">
        <v>0</v>
      </c>
      <c r="Q129" s="453"/>
      <c r="R129" s="453"/>
      <c r="S129" s="452">
        <v>16431</v>
      </c>
      <c r="T129" s="452"/>
      <c r="U129" s="453">
        <v>0</v>
      </c>
      <c r="V129" s="453"/>
      <c r="W129" s="295">
        <v>100</v>
      </c>
      <c r="X129" s="291"/>
    </row>
    <row r="130" spans="1:24" ht="12">
      <c r="A130" s="454" t="s">
        <v>31</v>
      </c>
      <c r="B130" s="454"/>
      <c r="C130" s="454"/>
      <c r="D130" s="454" t="s">
        <v>353</v>
      </c>
      <c r="E130" s="454"/>
      <c r="F130" s="454"/>
      <c r="G130" s="294" t="s">
        <v>344</v>
      </c>
      <c r="H130" s="454" t="s">
        <v>354</v>
      </c>
      <c r="I130" s="454"/>
      <c r="J130" s="452">
        <v>58616</v>
      </c>
      <c r="K130" s="452"/>
      <c r="L130" s="452"/>
      <c r="M130" s="452"/>
      <c r="N130" s="452">
        <v>58616</v>
      </c>
      <c r="O130" s="452"/>
      <c r="P130" s="453">
        <v>0</v>
      </c>
      <c r="Q130" s="453"/>
      <c r="R130" s="453"/>
      <c r="S130" s="452">
        <v>58616</v>
      </c>
      <c r="T130" s="452"/>
      <c r="U130" s="453">
        <v>0</v>
      </c>
      <c r="V130" s="453"/>
      <c r="W130" s="295">
        <v>100</v>
      </c>
      <c r="X130" s="291"/>
    </row>
    <row r="131" spans="1:24" ht="12">
      <c r="A131" s="454" t="s">
        <v>32</v>
      </c>
      <c r="B131" s="454"/>
      <c r="C131" s="454"/>
      <c r="D131" s="454" t="s">
        <v>353</v>
      </c>
      <c r="E131" s="454"/>
      <c r="F131" s="454"/>
      <c r="G131" s="294" t="s">
        <v>344</v>
      </c>
      <c r="H131" s="454" t="s">
        <v>354</v>
      </c>
      <c r="I131" s="454"/>
      <c r="J131" s="452">
        <v>31132</v>
      </c>
      <c r="K131" s="452"/>
      <c r="L131" s="452"/>
      <c r="M131" s="452"/>
      <c r="N131" s="452">
        <v>31132</v>
      </c>
      <c r="O131" s="452"/>
      <c r="P131" s="453">
        <v>0</v>
      </c>
      <c r="Q131" s="453"/>
      <c r="R131" s="453"/>
      <c r="S131" s="452">
        <v>31132</v>
      </c>
      <c r="T131" s="452"/>
      <c r="U131" s="453">
        <v>0</v>
      </c>
      <c r="V131" s="453"/>
      <c r="W131" s="295">
        <v>100</v>
      </c>
      <c r="X131" s="291"/>
    </row>
    <row r="132" spans="1:24" ht="12">
      <c r="A132" s="454" t="s">
        <v>33</v>
      </c>
      <c r="B132" s="454"/>
      <c r="C132" s="454"/>
      <c r="D132" s="454" t="s">
        <v>353</v>
      </c>
      <c r="E132" s="454"/>
      <c r="F132" s="454"/>
      <c r="G132" s="294" t="s">
        <v>344</v>
      </c>
      <c r="H132" s="454" t="s">
        <v>354</v>
      </c>
      <c r="I132" s="454"/>
      <c r="J132" s="452">
        <v>86267</v>
      </c>
      <c r="K132" s="452"/>
      <c r="L132" s="452"/>
      <c r="M132" s="452"/>
      <c r="N132" s="452">
        <v>86267</v>
      </c>
      <c r="O132" s="452"/>
      <c r="P132" s="453">
        <v>0</v>
      </c>
      <c r="Q132" s="453"/>
      <c r="R132" s="453"/>
      <c r="S132" s="452">
        <v>86267</v>
      </c>
      <c r="T132" s="452"/>
      <c r="U132" s="453">
        <v>0</v>
      </c>
      <c r="V132" s="453"/>
      <c r="W132" s="295">
        <v>100</v>
      </c>
      <c r="X132" s="291"/>
    </row>
    <row r="133" spans="1:24" ht="10.5">
      <c r="A133" s="296"/>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1"/>
    </row>
    <row r="134" spans="1:24" ht="11.25">
      <c r="A134" s="291"/>
      <c r="B134" s="291"/>
      <c r="C134" s="291"/>
      <c r="D134" s="291"/>
      <c r="E134" s="291"/>
      <c r="F134" s="291"/>
      <c r="G134" s="291"/>
      <c r="H134" s="291"/>
      <c r="I134" s="291"/>
      <c r="J134" s="451">
        <v>535874.2</v>
      </c>
      <c r="K134" s="451"/>
      <c r="L134" s="451"/>
      <c r="M134" s="451"/>
      <c r="N134" s="451">
        <v>535874.2</v>
      </c>
      <c r="O134" s="451"/>
      <c r="P134" s="451">
        <v>0</v>
      </c>
      <c r="Q134" s="451"/>
      <c r="R134" s="451"/>
      <c r="S134" s="451">
        <v>535874.2</v>
      </c>
      <c r="T134" s="451"/>
      <c r="U134" s="451">
        <v>0</v>
      </c>
      <c r="V134" s="451"/>
      <c r="W134" s="291"/>
      <c r="X134" s="291"/>
    </row>
    <row r="135" spans="1:24" ht="12">
      <c r="A135" s="291"/>
      <c r="B135" s="430" t="s">
        <v>331</v>
      </c>
      <c r="C135" s="430"/>
      <c r="D135" s="455" t="s">
        <v>348</v>
      </c>
      <c r="E135" s="455"/>
      <c r="F135" s="455"/>
      <c r="G135" s="455"/>
      <c r="H135" s="455"/>
      <c r="I135" s="455"/>
      <c r="J135" s="455"/>
      <c r="K135" s="455"/>
      <c r="L135" s="455"/>
      <c r="M135" s="455"/>
      <c r="N135" s="291"/>
      <c r="O135" s="291"/>
      <c r="P135" s="291"/>
      <c r="Q135" s="291"/>
      <c r="R135" s="291"/>
      <c r="S135" s="291"/>
      <c r="T135" s="291"/>
      <c r="U135" s="291"/>
      <c r="V135" s="291"/>
      <c r="W135" s="291"/>
      <c r="X135" s="291"/>
    </row>
    <row r="136" spans="1:24" ht="12">
      <c r="A136" s="430" t="s">
        <v>332</v>
      </c>
      <c r="B136" s="430"/>
      <c r="C136" s="291"/>
      <c r="D136" s="291"/>
      <c r="E136" s="456" t="s">
        <v>333</v>
      </c>
      <c r="F136" s="456"/>
      <c r="G136" s="456"/>
      <c r="H136" s="456"/>
      <c r="I136" s="456"/>
      <c r="J136" s="449" t="s">
        <v>3</v>
      </c>
      <c r="K136" s="449"/>
      <c r="L136" s="449"/>
      <c r="M136" s="449"/>
      <c r="N136" s="449" t="s">
        <v>334</v>
      </c>
      <c r="O136" s="449"/>
      <c r="P136" s="428" t="s">
        <v>335</v>
      </c>
      <c r="Q136" s="428"/>
      <c r="R136" s="291"/>
      <c r="S136" s="449" t="s">
        <v>336</v>
      </c>
      <c r="T136" s="449"/>
      <c r="U136" s="291"/>
      <c r="V136" s="292" t="s">
        <v>337</v>
      </c>
      <c r="W136" s="292" t="s">
        <v>338</v>
      </c>
      <c r="X136" s="291"/>
    </row>
    <row r="137" spans="1:24" ht="12">
      <c r="A137" s="430"/>
      <c r="B137" s="430"/>
      <c r="C137" s="291"/>
      <c r="D137" s="291"/>
      <c r="E137" s="430" t="s">
        <v>339</v>
      </c>
      <c r="F137" s="430"/>
      <c r="G137" s="430"/>
      <c r="H137" s="430"/>
      <c r="I137" s="430"/>
      <c r="J137" s="428" t="s">
        <v>340</v>
      </c>
      <c r="K137" s="428"/>
      <c r="L137" s="428"/>
      <c r="M137" s="428"/>
      <c r="N137" s="428" t="s">
        <v>341</v>
      </c>
      <c r="O137" s="428"/>
      <c r="P137" s="428"/>
      <c r="Q137" s="428"/>
      <c r="R137" s="291"/>
      <c r="S137" s="428" t="s">
        <v>341</v>
      </c>
      <c r="T137" s="428"/>
      <c r="U137" s="291"/>
      <c r="V137" s="293" t="s">
        <v>342</v>
      </c>
      <c r="W137" s="293" t="s">
        <v>336</v>
      </c>
      <c r="X137" s="291"/>
    </row>
    <row r="138" spans="1:24" ht="12">
      <c r="A138" s="454" t="s">
        <v>23</v>
      </c>
      <c r="B138" s="454"/>
      <c r="C138" s="454"/>
      <c r="D138" s="454" t="s">
        <v>353</v>
      </c>
      <c r="E138" s="454"/>
      <c r="F138" s="454"/>
      <c r="G138" s="294" t="s">
        <v>344</v>
      </c>
      <c r="H138" s="454" t="s">
        <v>354</v>
      </c>
      <c r="I138" s="454"/>
      <c r="J138" s="452">
        <v>894435</v>
      </c>
      <c r="K138" s="452"/>
      <c r="L138" s="452"/>
      <c r="M138" s="452"/>
      <c r="N138" s="452">
        <v>894435</v>
      </c>
      <c r="O138" s="452"/>
      <c r="P138" s="453">
        <v>0</v>
      </c>
      <c r="Q138" s="453"/>
      <c r="R138" s="453"/>
      <c r="S138" s="452">
        <v>894435</v>
      </c>
      <c r="T138" s="452"/>
      <c r="U138" s="453">
        <v>0</v>
      </c>
      <c r="V138" s="453"/>
      <c r="W138" s="295">
        <v>100</v>
      </c>
      <c r="X138" s="291"/>
    </row>
    <row r="139" spans="1:24" ht="12">
      <c r="A139" s="454" t="s">
        <v>24</v>
      </c>
      <c r="B139" s="454"/>
      <c r="C139" s="454"/>
      <c r="D139" s="454" t="s">
        <v>353</v>
      </c>
      <c r="E139" s="454"/>
      <c r="F139" s="454"/>
      <c r="G139" s="294" t="s">
        <v>344</v>
      </c>
      <c r="H139" s="454" t="s">
        <v>354</v>
      </c>
      <c r="I139" s="454"/>
      <c r="J139" s="452">
        <v>205199</v>
      </c>
      <c r="K139" s="452"/>
      <c r="L139" s="452"/>
      <c r="M139" s="452"/>
      <c r="N139" s="452">
        <v>205199</v>
      </c>
      <c r="O139" s="452"/>
      <c r="P139" s="453">
        <v>0</v>
      </c>
      <c r="Q139" s="453"/>
      <c r="R139" s="453"/>
      <c r="S139" s="452">
        <v>205199</v>
      </c>
      <c r="T139" s="452"/>
      <c r="U139" s="453">
        <v>0</v>
      </c>
      <c r="V139" s="453"/>
      <c r="W139" s="295">
        <v>100</v>
      </c>
      <c r="X139" s="291"/>
    </row>
    <row r="140" spans="1:24" ht="12">
      <c r="A140" s="454" t="s">
        <v>25</v>
      </c>
      <c r="B140" s="454"/>
      <c r="C140" s="454"/>
      <c r="D140" s="454" t="s">
        <v>353</v>
      </c>
      <c r="E140" s="454"/>
      <c r="F140" s="454"/>
      <c r="G140" s="294" t="s">
        <v>344</v>
      </c>
      <c r="H140" s="454" t="s">
        <v>354</v>
      </c>
      <c r="I140" s="454"/>
      <c r="J140" s="452">
        <v>203428</v>
      </c>
      <c r="K140" s="452"/>
      <c r="L140" s="452"/>
      <c r="M140" s="452"/>
      <c r="N140" s="452">
        <v>203428</v>
      </c>
      <c r="O140" s="452"/>
      <c r="P140" s="453">
        <v>0</v>
      </c>
      <c r="Q140" s="453"/>
      <c r="R140" s="453"/>
      <c r="S140" s="452">
        <v>203428</v>
      </c>
      <c r="T140" s="452"/>
      <c r="U140" s="453">
        <v>0</v>
      </c>
      <c r="V140" s="453"/>
      <c r="W140" s="295">
        <v>100</v>
      </c>
      <c r="X140" s="291"/>
    </row>
    <row r="141" spans="1:24" ht="12">
      <c r="A141" s="454" t="s">
        <v>26</v>
      </c>
      <c r="B141" s="454"/>
      <c r="C141" s="454"/>
      <c r="D141" s="454" t="s">
        <v>353</v>
      </c>
      <c r="E141" s="454"/>
      <c r="F141" s="454"/>
      <c r="G141" s="294" t="s">
        <v>344</v>
      </c>
      <c r="H141" s="454" t="s">
        <v>354</v>
      </c>
      <c r="I141" s="454"/>
      <c r="J141" s="452">
        <v>42149</v>
      </c>
      <c r="K141" s="452"/>
      <c r="L141" s="452"/>
      <c r="M141" s="452"/>
      <c r="N141" s="452">
        <v>42149</v>
      </c>
      <c r="O141" s="452"/>
      <c r="P141" s="453">
        <v>0</v>
      </c>
      <c r="Q141" s="453"/>
      <c r="R141" s="453"/>
      <c r="S141" s="452">
        <v>42149</v>
      </c>
      <c r="T141" s="452"/>
      <c r="U141" s="453">
        <v>0</v>
      </c>
      <c r="V141" s="453"/>
      <c r="W141" s="295">
        <v>100</v>
      </c>
      <c r="X141" s="291"/>
    </row>
    <row r="142" spans="1:24" ht="12">
      <c r="A142" s="454" t="s">
        <v>27</v>
      </c>
      <c r="B142" s="454"/>
      <c r="C142" s="454"/>
      <c r="D142" s="454" t="s">
        <v>353</v>
      </c>
      <c r="E142" s="454"/>
      <c r="F142" s="454"/>
      <c r="G142" s="294" t="s">
        <v>344</v>
      </c>
      <c r="H142" s="454" t="s">
        <v>354</v>
      </c>
      <c r="I142" s="454"/>
      <c r="J142" s="452">
        <v>768288.5</v>
      </c>
      <c r="K142" s="452"/>
      <c r="L142" s="452"/>
      <c r="M142" s="452"/>
      <c r="N142" s="452">
        <v>768288.5</v>
      </c>
      <c r="O142" s="452"/>
      <c r="P142" s="453">
        <v>0</v>
      </c>
      <c r="Q142" s="453"/>
      <c r="R142" s="453"/>
      <c r="S142" s="452">
        <v>768288.5</v>
      </c>
      <c r="T142" s="452"/>
      <c r="U142" s="453">
        <v>0</v>
      </c>
      <c r="V142" s="453"/>
      <c r="W142" s="295">
        <v>100</v>
      </c>
      <c r="X142" s="291"/>
    </row>
    <row r="143" spans="1:24" ht="12">
      <c r="A143" s="454" t="s">
        <v>165</v>
      </c>
      <c r="B143" s="454"/>
      <c r="C143" s="454"/>
      <c r="D143" s="454" t="s">
        <v>353</v>
      </c>
      <c r="E143" s="454"/>
      <c r="F143" s="454"/>
      <c r="G143" s="294" t="s">
        <v>344</v>
      </c>
      <c r="H143" s="454" t="s">
        <v>354</v>
      </c>
      <c r="I143" s="454"/>
      <c r="J143" s="452">
        <v>439069</v>
      </c>
      <c r="K143" s="452"/>
      <c r="L143" s="452"/>
      <c r="M143" s="452"/>
      <c r="N143" s="452">
        <v>439069</v>
      </c>
      <c r="O143" s="452"/>
      <c r="P143" s="453">
        <v>0</v>
      </c>
      <c r="Q143" s="453"/>
      <c r="R143" s="453"/>
      <c r="S143" s="452">
        <v>439069</v>
      </c>
      <c r="T143" s="452"/>
      <c r="U143" s="453">
        <v>0</v>
      </c>
      <c r="V143" s="453"/>
      <c r="W143" s="295">
        <v>100</v>
      </c>
      <c r="X143" s="291"/>
    </row>
    <row r="144" spans="1:24" ht="12">
      <c r="A144" s="454" t="s">
        <v>37</v>
      </c>
      <c r="B144" s="454"/>
      <c r="C144" s="454"/>
      <c r="D144" s="454" t="s">
        <v>353</v>
      </c>
      <c r="E144" s="454"/>
      <c r="F144" s="454"/>
      <c r="G144" s="294" t="s">
        <v>344</v>
      </c>
      <c r="H144" s="454" t="s">
        <v>354</v>
      </c>
      <c r="I144" s="454"/>
      <c r="J144" s="452">
        <v>81150</v>
      </c>
      <c r="K144" s="452"/>
      <c r="L144" s="452"/>
      <c r="M144" s="452"/>
      <c r="N144" s="452">
        <v>81150</v>
      </c>
      <c r="O144" s="452"/>
      <c r="P144" s="453">
        <v>0</v>
      </c>
      <c r="Q144" s="453"/>
      <c r="R144" s="453"/>
      <c r="S144" s="452">
        <v>81150</v>
      </c>
      <c r="T144" s="452"/>
      <c r="U144" s="453">
        <v>0</v>
      </c>
      <c r="V144" s="453"/>
      <c r="W144" s="295">
        <v>100</v>
      </c>
      <c r="X144" s="291"/>
    </row>
    <row r="145" spans="1:24" ht="12">
      <c r="A145" s="454" t="s">
        <v>28</v>
      </c>
      <c r="B145" s="454"/>
      <c r="C145" s="454"/>
      <c r="D145" s="454" t="s">
        <v>353</v>
      </c>
      <c r="E145" s="454"/>
      <c r="F145" s="454"/>
      <c r="G145" s="294" t="s">
        <v>344</v>
      </c>
      <c r="H145" s="454" t="s">
        <v>354</v>
      </c>
      <c r="I145" s="454"/>
      <c r="J145" s="452">
        <v>79814</v>
      </c>
      <c r="K145" s="452"/>
      <c r="L145" s="452"/>
      <c r="M145" s="452"/>
      <c r="N145" s="452">
        <v>79814</v>
      </c>
      <c r="O145" s="452"/>
      <c r="P145" s="453">
        <v>0</v>
      </c>
      <c r="Q145" s="453"/>
      <c r="R145" s="453"/>
      <c r="S145" s="452">
        <v>79814</v>
      </c>
      <c r="T145" s="452"/>
      <c r="U145" s="453">
        <v>0</v>
      </c>
      <c r="V145" s="453"/>
      <c r="W145" s="295">
        <v>100</v>
      </c>
      <c r="X145" s="291"/>
    </row>
    <row r="146" spans="1:24" ht="12">
      <c r="A146" s="454" t="s">
        <v>29</v>
      </c>
      <c r="B146" s="454"/>
      <c r="C146" s="454"/>
      <c r="D146" s="454" t="s">
        <v>353</v>
      </c>
      <c r="E146" s="454"/>
      <c r="F146" s="454"/>
      <c r="G146" s="294" t="s">
        <v>344</v>
      </c>
      <c r="H146" s="454" t="s">
        <v>354</v>
      </c>
      <c r="I146" s="454"/>
      <c r="J146" s="452">
        <v>798653</v>
      </c>
      <c r="K146" s="452"/>
      <c r="L146" s="452"/>
      <c r="M146" s="452"/>
      <c r="N146" s="452">
        <v>798653</v>
      </c>
      <c r="O146" s="452"/>
      <c r="P146" s="453">
        <v>0</v>
      </c>
      <c r="Q146" s="453"/>
      <c r="R146" s="453"/>
      <c r="S146" s="452">
        <v>798653</v>
      </c>
      <c r="T146" s="452"/>
      <c r="U146" s="453">
        <v>0</v>
      </c>
      <c r="V146" s="453"/>
      <c r="W146" s="295">
        <v>100</v>
      </c>
      <c r="X146" s="291"/>
    </row>
    <row r="147" spans="1:24" ht="12">
      <c r="A147" s="454" t="s">
        <v>30</v>
      </c>
      <c r="B147" s="454"/>
      <c r="C147" s="454"/>
      <c r="D147" s="454" t="s">
        <v>353</v>
      </c>
      <c r="E147" s="454"/>
      <c r="F147" s="454"/>
      <c r="G147" s="294" t="s">
        <v>344</v>
      </c>
      <c r="H147" s="454" t="s">
        <v>354</v>
      </c>
      <c r="I147" s="454"/>
      <c r="J147" s="452">
        <v>240109</v>
      </c>
      <c r="K147" s="452"/>
      <c r="L147" s="452"/>
      <c r="M147" s="452"/>
      <c r="N147" s="452">
        <v>240109</v>
      </c>
      <c r="O147" s="452"/>
      <c r="P147" s="453">
        <v>0</v>
      </c>
      <c r="Q147" s="453"/>
      <c r="R147" s="453"/>
      <c r="S147" s="452">
        <v>240109</v>
      </c>
      <c r="T147" s="452"/>
      <c r="U147" s="453">
        <v>0</v>
      </c>
      <c r="V147" s="453"/>
      <c r="W147" s="295">
        <v>100</v>
      </c>
      <c r="X147" s="291"/>
    </row>
    <row r="148" spans="1:24" ht="12">
      <c r="A148" s="454" t="s">
        <v>31</v>
      </c>
      <c r="B148" s="454"/>
      <c r="C148" s="454"/>
      <c r="D148" s="454" t="s">
        <v>353</v>
      </c>
      <c r="E148" s="454"/>
      <c r="F148" s="454"/>
      <c r="G148" s="294" t="s">
        <v>344</v>
      </c>
      <c r="H148" s="454" t="s">
        <v>354</v>
      </c>
      <c r="I148" s="454"/>
      <c r="J148" s="452">
        <v>706933</v>
      </c>
      <c r="K148" s="452"/>
      <c r="L148" s="452"/>
      <c r="M148" s="452"/>
      <c r="N148" s="452">
        <v>706933</v>
      </c>
      <c r="O148" s="452"/>
      <c r="P148" s="453">
        <v>0</v>
      </c>
      <c r="Q148" s="453"/>
      <c r="R148" s="453"/>
      <c r="S148" s="452">
        <v>706933</v>
      </c>
      <c r="T148" s="452"/>
      <c r="U148" s="453">
        <v>0</v>
      </c>
      <c r="V148" s="453"/>
      <c r="W148" s="295">
        <v>100</v>
      </c>
      <c r="X148" s="291"/>
    </row>
    <row r="149" spans="1:24" ht="12">
      <c r="A149" s="454" t="s">
        <v>32</v>
      </c>
      <c r="B149" s="454"/>
      <c r="C149" s="454"/>
      <c r="D149" s="454" t="s">
        <v>353</v>
      </c>
      <c r="E149" s="454"/>
      <c r="F149" s="454"/>
      <c r="G149" s="294" t="s">
        <v>344</v>
      </c>
      <c r="H149" s="454" t="s">
        <v>354</v>
      </c>
      <c r="I149" s="454"/>
      <c r="J149" s="452">
        <v>315489</v>
      </c>
      <c r="K149" s="452"/>
      <c r="L149" s="452"/>
      <c r="M149" s="452"/>
      <c r="N149" s="452">
        <v>315489</v>
      </c>
      <c r="O149" s="452"/>
      <c r="P149" s="453">
        <v>0</v>
      </c>
      <c r="Q149" s="453"/>
      <c r="R149" s="453"/>
      <c r="S149" s="452">
        <v>315489</v>
      </c>
      <c r="T149" s="452"/>
      <c r="U149" s="453">
        <v>0</v>
      </c>
      <c r="V149" s="453"/>
      <c r="W149" s="295">
        <v>100</v>
      </c>
      <c r="X149" s="291"/>
    </row>
    <row r="150" spans="1:24" ht="12">
      <c r="A150" s="454" t="s">
        <v>33</v>
      </c>
      <c r="B150" s="454"/>
      <c r="C150" s="454"/>
      <c r="D150" s="454" t="s">
        <v>353</v>
      </c>
      <c r="E150" s="454"/>
      <c r="F150" s="454"/>
      <c r="G150" s="294" t="s">
        <v>344</v>
      </c>
      <c r="H150" s="454" t="s">
        <v>354</v>
      </c>
      <c r="I150" s="454"/>
      <c r="J150" s="452">
        <v>799027.08</v>
      </c>
      <c r="K150" s="452"/>
      <c r="L150" s="452"/>
      <c r="M150" s="452"/>
      <c r="N150" s="452">
        <v>799027.08</v>
      </c>
      <c r="O150" s="452"/>
      <c r="P150" s="453">
        <v>0</v>
      </c>
      <c r="Q150" s="453"/>
      <c r="R150" s="453"/>
      <c r="S150" s="452">
        <v>799027.08</v>
      </c>
      <c r="T150" s="452"/>
      <c r="U150" s="453">
        <v>0</v>
      </c>
      <c r="V150" s="453"/>
      <c r="W150" s="295">
        <v>100</v>
      </c>
      <c r="X150" s="291"/>
    </row>
    <row r="151" spans="1:24" ht="10.5">
      <c r="A151" s="296"/>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1"/>
    </row>
    <row r="152" spans="1:24" ht="11.25">
      <c r="A152" s="291"/>
      <c r="B152" s="291"/>
      <c r="C152" s="291"/>
      <c r="D152" s="291"/>
      <c r="E152" s="291"/>
      <c r="F152" s="291"/>
      <c r="G152" s="291"/>
      <c r="H152" s="291"/>
      <c r="I152" s="291"/>
      <c r="J152" s="451">
        <v>5573743.58</v>
      </c>
      <c r="K152" s="451"/>
      <c r="L152" s="451"/>
      <c r="M152" s="451"/>
      <c r="N152" s="451">
        <v>5573743.58</v>
      </c>
      <c r="O152" s="451"/>
      <c r="P152" s="451">
        <v>0</v>
      </c>
      <c r="Q152" s="451"/>
      <c r="R152" s="451"/>
      <c r="S152" s="451">
        <v>5573743.58</v>
      </c>
      <c r="T152" s="451"/>
      <c r="U152" s="451">
        <v>0</v>
      </c>
      <c r="V152" s="451"/>
      <c r="W152" s="291"/>
      <c r="X152" s="291"/>
    </row>
    <row r="153" spans="1:24" ht="12">
      <c r="A153" s="291"/>
      <c r="B153" s="430" t="s">
        <v>331</v>
      </c>
      <c r="C153" s="430"/>
      <c r="D153" s="455" t="s">
        <v>187</v>
      </c>
      <c r="E153" s="455"/>
      <c r="F153" s="455"/>
      <c r="G153" s="455"/>
      <c r="H153" s="455"/>
      <c r="I153" s="455"/>
      <c r="J153" s="455"/>
      <c r="K153" s="455"/>
      <c r="L153" s="455"/>
      <c r="M153" s="455"/>
      <c r="N153" s="291"/>
      <c r="O153" s="291"/>
      <c r="P153" s="291"/>
      <c r="Q153" s="291"/>
      <c r="R153" s="291"/>
      <c r="S153" s="291"/>
      <c r="T153" s="291"/>
      <c r="U153" s="291"/>
      <c r="V153" s="291"/>
      <c r="W153" s="291"/>
      <c r="X153" s="291"/>
    </row>
    <row r="154" spans="1:24" ht="12">
      <c r="A154" s="430" t="s">
        <v>332</v>
      </c>
      <c r="B154" s="430"/>
      <c r="C154" s="291"/>
      <c r="D154" s="291"/>
      <c r="E154" s="456" t="s">
        <v>333</v>
      </c>
      <c r="F154" s="456"/>
      <c r="G154" s="456"/>
      <c r="H154" s="456"/>
      <c r="I154" s="456"/>
      <c r="J154" s="449" t="s">
        <v>3</v>
      </c>
      <c r="K154" s="449"/>
      <c r="L154" s="449"/>
      <c r="M154" s="449"/>
      <c r="N154" s="449" t="s">
        <v>334</v>
      </c>
      <c r="O154" s="449"/>
      <c r="P154" s="428" t="s">
        <v>335</v>
      </c>
      <c r="Q154" s="428"/>
      <c r="R154" s="291"/>
      <c r="S154" s="449" t="s">
        <v>336</v>
      </c>
      <c r="T154" s="449"/>
      <c r="U154" s="291"/>
      <c r="V154" s="292" t="s">
        <v>337</v>
      </c>
      <c r="W154" s="292" t="s">
        <v>338</v>
      </c>
      <c r="X154" s="291"/>
    </row>
    <row r="155" spans="1:24" ht="12">
      <c r="A155" s="430"/>
      <c r="B155" s="430"/>
      <c r="C155" s="291"/>
      <c r="D155" s="291"/>
      <c r="E155" s="430" t="s">
        <v>339</v>
      </c>
      <c r="F155" s="430"/>
      <c r="G155" s="430"/>
      <c r="H155" s="430"/>
      <c r="I155" s="430"/>
      <c r="J155" s="428" t="s">
        <v>340</v>
      </c>
      <c r="K155" s="428"/>
      <c r="L155" s="428"/>
      <c r="M155" s="428"/>
      <c r="N155" s="428" t="s">
        <v>341</v>
      </c>
      <c r="O155" s="428"/>
      <c r="P155" s="428"/>
      <c r="Q155" s="428"/>
      <c r="R155" s="291"/>
      <c r="S155" s="428" t="s">
        <v>341</v>
      </c>
      <c r="T155" s="428"/>
      <c r="U155" s="291"/>
      <c r="V155" s="293" t="s">
        <v>342</v>
      </c>
      <c r="W155" s="293" t="s">
        <v>336</v>
      </c>
      <c r="X155" s="291"/>
    </row>
    <row r="156" spans="1:24" ht="12">
      <c r="A156" s="454" t="s">
        <v>23</v>
      </c>
      <c r="B156" s="454"/>
      <c r="C156" s="454"/>
      <c r="D156" s="454" t="s">
        <v>353</v>
      </c>
      <c r="E156" s="454"/>
      <c r="F156" s="454"/>
      <c r="G156" s="294" t="s">
        <v>344</v>
      </c>
      <c r="H156" s="454" t="s">
        <v>354</v>
      </c>
      <c r="I156" s="454"/>
      <c r="J156" s="452">
        <v>130373</v>
      </c>
      <c r="K156" s="452"/>
      <c r="L156" s="452"/>
      <c r="M156" s="452"/>
      <c r="N156" s="452">
        <v>130373</v>
      </c>
      <c r="O156" s="452"/>
      <c r="P156" s="453">
        <v>0</v>
      </c>
      <c r="Q156" s="453"/>
      <c r="R156" s="453"/>
      <c r="S156" s="452">
        <v>130373</v>
      </c>
      <c r="T156" s="452"/>
      <c r="U156" s="453">
        <v>0</v>
      </c>
      <c r="V156" s="453"/>
      <c r="W156" s="295">
        <v>100</v>
      </c>
      <c r="X156" s="291"/>
    </row>
    <row r="157" spans="1:24" ht="12">
      <c r="A157" s="454" t="s">
        <v>24</v>
      </c>
      <c r="B157" s="454"/>
      <c r="C157" s="454"/>
      <c r="D157" s="454" t="s">
        <v>353</v>
      </c>
      <c r="E157" s="454"/>
      <c r="F157" s="454"/>
      <c r="G157" s="294" t="s">
        <v>344</v>
      </c>
      <c r="H157" s="454" t="s">
        <v>354</v>
      </c>
      <c r="I157" s="454"/>
      <c r="J157" s="452">
        <v>20851.89</v>
      </c>
      <c r="K157" s="452"/>
      <c r="L157" s="452"/>
      <c r="M157" s="452"/>
      <c r="N157" s="452">
        <v>20851.89</v>
      </c>
      <c r="O157" s="452"/>
      <c r="P157" s="453">
        <v>0</v>
      </c>
      <c r="Q157" s="453"/>
      <c r="R157" s="453"/>
      <c r="S157" s="452">
        <v>20851.89</v>
      </c>
      <c r="T157" s="452"/>
      <c r="U157" s="453">
        <v>0</v>
      </c>
      <c r="V157" s="453"/>
      <c r="W157" s="295">
        <v>100</v>
      </c>
      <c r="X157" s="291"/>
    </row>
    <row r="158" spans="1:24" ht="12">
      <c r="A158" s="454" t="s">
        <v>25</v>
      </c>
      <c r="B158" s="454"/>
      <c r="C158" s="454"/>
      <c r="D158" s="454" t="s">
        <v>353</v>
      </c>
      <c r="E158" s="454"/>
      <c r="F158" s="454"/>
      <c r="G158" s="294" t="s">
        <v>344</v>
      </c>
      <c r="H158" s="454" t="s">
        <v>354</v>
      </c>
      <c r="I158" s="454"/>
      <c r="J158" s="452">
        <v>22467</v>
      </c>
      <c r="K158" s="452"/>
      <c r="L158" s="452"/>
      <c r="M158" s="452"/>
      <c r="N158" s="452">
        <v>22467</v>
      </c>
      <c r="O158" s="452"/>
      <c r="P158" s="453">
        <v>0</v>
      </c>
      <c r="Q158" s="453"/>
      <c r="R158" s="453"/>
      <c r="S158" s="452">
        <v>22467</v>
      </c>
      <c r="T158" s="452"/>
      <c r="U158" s="453">
        <v>0</v>
      </c>
      <c r="V158" s="453"/>
      <c r="W158" s="295">
        <v>100</v>
      </c>
      <c r="X158" s="291"/>
    </row>
    <row r="159" spans="1:24" ht="12">
      <c r="A159" s="454" t="s">
        <v>26</v>
      </c>
      <c r="B159" s="454"/>
      <c r="C159" s="454"/>
      <c r="D159" s="454" t="s">
        <v>353</v>
      </c>
      <c r="E159" s="454"/>
      <c r="F159" s="454"/>
      <c r="G159" s="294" t="s">
        <v>344</v>
      </c>
      <c r="H159" s="454" t="s">
        <v>354</v>
      </c>
      <c r="I159" s="454"/>
      <c r="J159" s="452">
        <v>3393</v>
      </c>
      <c r="K159" s="452"/>
      <c r="L159" s="452"/>
      <c r="M159" s="452"/>
      <c r="N159" s="452">
        <v>3393</v>
      </c>
      <c r="O159" s="452"/>
      <c r="P159" s="453">
        <v>0</v>
      </c>
      <c r="Q159" s="453"/>
      <c r="R159" s="453"/>
      <c r="S159" s="452">
        <v>3393</v>
      </c>
      <c r="T159" s="452"/>
      <c r="U159" s="453">
        <v>0</v>
      </c>
      <c r="V159" s="453"/>
      <c r="W159" s="295">
        <v>100</v>
      </c>
      <c r="X159" s="291"/>
    </row>
    <row r="160" spans="1:24" ht="12">
      <c r="A160" s="454" t="s">
        <v>27</v>
      </c>
      <c r="B160" s="454"/>
      <c r="C160" s="454"/>
      <c r="D160" s="454" t="s">
        <v>353</v>
      </c>
      <c r="E160" s="454"/>
      <c r="F160" s="454"/>
      <c r="G160" s="294" t="s">
        <v>344</v>
      </c>
      <c r="H160" s="454" t="s">
        <v>354</v>
      </c>
      <c r="I160" s="454"/>
      <c r="J160" s="452">
        <v>171405</v>
      </c>
      <c r="K160" s="452"/>
      <c r="L160" s="452"/>
      <c r="M160" s="452"/>
      <c r="N160" s="452">
        <v>171405</v>
      </c>
      <c r="O160" s="452"/>
      <c r="P160" s="453">
        <v>0</v>
      </c>
      <c r="Q160" s="453"/>
      <c r="R160" s="453"/>
      <c r="S160" s="452">
        <v>171405</v>
      </c>
      <c r="T160" s="452"/>
      <c r="U160" s="453">
        <v>0</v>
      </c>
      <c r="V160" s="453"/>
      <c r="W160" s="295">
        <v>100</v>
      </c>
      <c r="X160" s="291"/>
    </row>
    <row r="161" spans="1:24" ht="12">
      <c r="A161" s="454" t="s">
        <v>165</v>
      </c>
      <c r="B161" s="454"/>
      <c r="C161" s="454"/>
      <c r="D161" s="454" t="s">
        <v>353</v>
      </c>
      <c r="E161" s="454"/>
      <c r="F161" s="454"/>
      <c r="G161" s="294" t="s">
        <v>344</v>
      </c>
      <c r="H161" s="454" t="s">
        <v>354</v>
      </c>
      <c r="I161" s="454"/>
      <c r="J161" s="452">
        <v>58109</v>
      </c>
      <c r="K161" s="452"/>
      <c r="L161" s="452"/>
      <c r="M161" s="452"/>
      <c r="N161" s="452">
        <v>58109</v>
      </c>
      <c r="O161" s="452"/>
      <c r="P161" s="453">
        <v>0</v>
      </c>
      <c r="Q161" s="453"/>
      <c r="R161" s="453"/>
      <c r="S161" s="452">
        <v>58109</v>
      </c>
      <c r="T161" s="452"/>
      <c r="U161" s="453">
        <v>0</v>
      </c>
      <c r="V161" s="453"/>
      <c r="W161" s="295">
        <v>100</v>
      </c>
      <c r="X161" s="291"/>
    </row>
    <row r="162" spans="1:24" ht="12">
      <c r="A162" s="454" t="s">
        <v>37</v>
      </c>
      <c r="B162" s="454"/>
      <c r="C162" s="454"/>
      <c r="D162" s="454" t="s">
        <v>353</v>
      </c>
      <c r="E162" s="454"/>
      <c r="F162" s="454"/>
      <c r="G162" s="294" t="s">
        <v>344</v>
      </c>
      <c r="H162" s="454" t="s">
        <v>354</v>
      </c>
      <c r="I162" s="454"/>
      <c r="J162" s="452">
        <v>7697</v>
      </c>
      <c r="K162" s="452"/>
      <c r="L162" s="452"/>
      <c r="M162" s="452"/>
      <c r="N162" s="452">
        <v>7697</v>
      </c>
      <c r="O162" s="452"/>
      <c r="P162" s="453">
        <v>0</v>
      </c>
      <c r="Q162" s="453"/>
      <c r="R162" s="453"/>
      <c r="S162" s="452">
        <v>7697</v>
      </c>
      <c r="T162" s="452"/>
      <c r="U162" s="453">
        <v>0</v>
      </c>
      <c r="V162" s="453"/>
      <c r="W162" s="295">
        <v>100</v>
      </c>
      <c r="X162" s="291"/>
    </row>
    <row r="163" spans="1:24" ht="12">
      <c r="A163" s="454" t="s">
        <v>28</v>
      </c>
      <c r="B163" s="454"/>
      <c r="C163" s="454"/>
      <c r="D163" s="454" t="s">
        <v>353</v>
      </c>
      <c r="E163" s="454"/>
      <c r="F163" s="454"/>
      <c r="G163" s="294" t="s">
        <v>344</v>
      </c>
      <c r="H163" s="454" t="s">
        <v>354</v>
      </c>
      <c r="I163" s="454"/>
      <c r="J163" s="452">
        <v>10605</v>
      </c>
      <c r="K163" s="452"/>
      <c r="L163" s="452"/>
      <c r="M163" s="452"/>
      <c r="N163" s="452">
        <v>10605</v>
      </c>
      <c r="O163" s="452"/>
      <c r="P163" s="453">
        <v>0</v>
      </c>
      <c r="Q163" s="453"/>
      <c r="R163" s="453"/>
      <c r="S163" s="452">
        <v>10605</v>
      </c>
      <c r="T163" s="452"/>
      <c r="U163" s="453">
        <v>0</v>
      </c>
      <c r="V163" s="453"/>
      <c r="W163" s="295">
        <v>100</v>
      </c>
      <c r="X163" s="291"/>
    </row>
    <row r="164" spans="1:24" ht="12">
      <c r="A164" s="454" t="s">
        <v>29</v>
      </c>
      <c r="B164" s="454"/>
      <c r="C164" s="454"/>
      <c r="D164" s="454" t="s">
        <v>353</v>
      </c>
      <c r="E164" s="454"/>
      <c r="F164" s="454"/>
      <c r="G164" s="294" t="s">
        <v>344</v>
      </c>
      <c r="H164" s="454" t="s">
        <v>354</v>
      </c>
      <c r="I164" s="454"/>
      <c r="J164" s="452">
        <v>153259.21</v>
      </c>
      <c r="K164" s="452"/>
      <c r="L164" s="452"/>
      <c r="M164" s="452"/>
      <c r="N164" s="452">
        <v>153259.21</v>
      </c>
      <c r="O164" s="452"/>
      <c r="P164" s="453">
        <v>0</v>
      </c>
      <c r="Q164" s="453"/>
      <c r="R164" s="453"/>
      <c r="S164" s="452">
        <v>153259.21</v>
      </c>
      <c r="T164" s="452"/>
      <c r="U164" s="453">
        <v>0</v>
      </c>
      <c r="V164" s="453"/>
      <c r="W164" s="295">
        <v>100</v>
      </c>
      <c r="X164" s="291"/>
    </row>
    <row r="165" spans="1:24" ht="12">
      <c r="A165" s="454" t="s">
        <v>30</v>
      </c>
      <c r="B165" s="454"/>
      <c r="C165" s="454"/>
      <c r="D165" s="454" t="s">
        <v>353</v>
      </c>
      <c r="E165" s="454"/>
      <c r="F165" s="454"/>
      <c r="G165" s="294" t="s">
        <v>344</v>
      </c>
      <c r="H165" s="454" t="s">
        <v>354</v>
      </c>
      <c r="I165" s="454"/>
      <c r="J165" s="452">
        <v>25188</v>
      </c>
      <c r="K165" s="452"/>
      <c r="L165" s="452"/>
      <c r="M165" s="452"/>
      <c r="N165" s="452">
        <v>25188</v>
      </c>
      <c r="O165" s="452"/>
      <c r="P165" s="453">
        <v>0</v>
      </c>
      <c r="Q165" s="453"/>
      <c r="R165" s="453"/>
      <c r="S165" s="452">
        <v>25188</v>
      </c>
      <c r="T165" s="452"/>
      <c r="U165" s="453">
        <v>0</v>
      </c>
      <c r="V165" s="453"/>
      <c r="W165" s="295">
        <v>100</v>
      </c>
      <c r="X165" s="291"/>
    </row>
    <row r="166" spans="1:24" ht="12">
      <c r="A166" s="454" t="s">
        <v>31</v>
      </c>
      <c r="B166" s="454"/>
      <c r="C166" s="454"/>
      <c r="D166" s="454" t="s">
        <v>353</v>
      </c>
      <c r="E166" s="454"/>
      <c r="F166" s="454"/>
      <c r="G166" s="294" t="s">
        <v>344</v>
      </c>
      <c r="H166" s="454" t="s">
        <v>354</v>
      </c>
      <c r="I166" s="454"/>
      <c r="J166" s="452">
        <v>126117</v>
      </c>
      <c r="K166" s="452"/>
      <c r="L166" s="452"/>
      <c r="M166" s="452"/>
      <c r="N166" s="452">
        <v>126117</v>
      </c>
      <c r="O166" s="452"/>
      <c r="P166" s="453">
        <v>0</v>
      </c>
      <c r="Q166" s="453"/>
      <c r="R166" s="453"/>
      <c r="S166" s="452">
        <v>126117</v>
      </c>
      <c r="T166" s="452"/>
      <c r="U166" s="453">
        <v>0</v>
      </c>
      <c r="V166" s="453"/>
      <c r="W166" s="295">
        <v>100</v>
      </c>
      <c r="X166" s="291"/>
    </row>
    <row r="167" spans="1:24" ht="12">
      <c r="A167" s="454" t="s">
        <v>32</v>
      </c>
      <c r="B167" s="454"/>
      <c r="C167" s="454"/>
      <c r="D167" s="454" t="s">
        <v>353</v>
      </c>
      <c r="E167" s="454"/>
      <c r="F167" s="454"/>
      <c r="G167" s="294" t="s">
        <v>344</v>
      </c>
      <c r="H167" s="454" t="s">
        <v>354</v>
      </c>
      <c r="I167" s="454"/>
      <c r="J167" s="452">
        <v>46359</v>
      </c>
      <c r="K167" s="452"/>
      <c r="L167" s="452"/>
      <c r="M167" s="452"/>
      <c r="N167" s="452">
        <v>46359</v>
      </c>
      <c r="O167" s="452"/>
      <c r="P167" s="453">
        <v>0</v>
      </c>
      <c r="Q167" s="453"/>
      <c r="R167" s="453"/>
      <c r="S167" s="452">
        <v>46359</v>
      </c>
      <c r="T167" s="452"/>
      <c r="U167" s="453">
        <v>0</v>
      </c>
      <c r="V167" s="453"/>
      <c r="W167" s="295">
        <v>100</v>
      </c>
      <c r="X167" s="291"/>
    </row>
    <row r="168" spans="1:24" ht="12">
      <c r="A168" s="454" t="s">
        <v>33</v>
      </c>
      <c r="B168" s="454"/>
      <c r="C168" s="454"/>
      <c r="D168" s="454" t="s">
        <v>353</v>
      </c>
      <c r="E168" s="454"/>
      <c r="F168" s="454"/>
      <c r="G168" s="294" t="s">
        <v>344</v>
      </c>
      <c r="H168" s="454" t="s">
        <v>354</v>
      </c>
      <c r="I168" s="454"/>
      <c r="J168" s="452">
        <v>91211.49</v>
      </c>
      <c r="K168" s="452"/>
      <c r="L168" s="452"/>
      <c r="M168" s="452"/>
      <c r="N168" s="452">
        <v>91211.49</v>
      </c>
      <c r="O168" s="452"/>
      <c r="P168" s="453">
        <v>0</v>
      </c>
      <c r="Q168" s="453"/>
      <c r="R168" s="453"/>
      <c r="S168" s="452">
        <v>91211.49</v>
      </c>
      <c r="T168" s="452"/>
      <c r="U168" s="453">
        <v>0</v>
      </c>
      <c r="V168" s="453"/>
      <c r="W168" s="295">
        <v>100</v>
      </c>
      <c r="X168" s="291"/>
    </row>
    <row r="169" spans="1:24" ht="10.5">
      <c r="A169" s="296"/>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1"/>
    </row>
    <row r="170" spans="1:24" ht="12" thickBot="1">
      <c r="A170" s="291"/>
      <c r="B170" s="291"/>
      <c r="C170" s="291"/>
      <c r="D170" s="291"/>
      <c r="E170" s="291"/>
      <c r="F170" s="291"/>
      <c r="G170" s="291"/>
      <c r="H170" s="291"/>
      <c r="I170" s="291"/>
      <c r="J170" s="451">
        <v>867035.59</v>
      </c>
      <c r="K170" s="451"/>
      <c r="L170" s="451"/>
      <c r="M170" s="451"/>
      <c r="N170" s="451">
        <v>867035.59</v>
      </c>
      <c r="O170" s="451"/>
      <c r="P170" s="451">
        <v>0</v>
      </c>
      <c r="Q170" s="451"/>
      <c r="R170" s="451"/>
      <c r="S170" s="451">
        <v>867035.59</v>
      </c>
      <c r="T170" s="451"/>
      <c r="U170" s="451">
        <v>0</v>
      </c>
      <c r="V170" s="451"/>
      <c r="W170" s="291"/>
      <c r="X170" s="291"/>
    </row>
    <row r="171" spans="1:24" ht="11.25" thickTop="1">
      <c r="A171" s="297"/>
      <c r="B171" s="297"/>
      <c r="C171" s="297"/>
      <c r="D171" s="297"/>
      <c r="E171" s="297"/>
      <c r="F171" s="297"/>
      <c r="G171" s="297"/>
      <c r="H171" s="297"/>
      <c r="I171" s="297"/>
      <c r="J171" s="297"/>
      <c r="K171" s="297"/>
      <c r="L171" s="297"/>
      <c r="M171" s="297"/>
      <c r="N171" s="297"/>
      <c r="O171" s="297"/>
      <c r="P171" s="297"/>
      <c r="Q171" s="297"/>
      <c r="R171" s="297"/>
      <c r="S171" s="297"/>
      <c r="T171" s="297"/>
      <c r="U171" s="297"/>
      <c r="V171" s="297"/>
      <c r="W171" s="297"/>
      <c r="X171" s="291"/>
    </row>
    <row r="172" spans="1:24" ht="12">
      <c r="A172" s="449" t="s">
        <v>357</v>
      </c>
      <c r="B172" s="449"/>
      <c r="C172" s="449"/>
      <c r="D172" s="449"/>
      <c r="E172" s="449"/>
      <c r="F172" s="449"/>
      <c r="G172" s="449"/>
      <c r="H172" s="449"/>
      <c r="I172" s="291"/>
      <c r="J172" s="450">
        <v>6976653.37</v>
      </c>
      <c r="K172" s="450"/>
      <c r="L172" s="450"/>
      <c r="M172" s="450"/>
      <c r="N172" s="450">
        <v>6976653.37</v>
      </c>
      <c r="O172" s="450"/>
      <c r="P172" s="451">
        <v>0</v>
      </c>
      <c r="Q172" s="451"/>
      <c r="R172" s="451"/>
      <c r="S172" s="450">
        <v>6976653.37</v>
      </c>
      <c r="T172" s="450"/>
      <c r="U172" s="450">
        <v>0</v>
      </c>
      <c r="V172" s="450"/>
      <c r="W172" s="291"/>
      <c r="X172" s="291"/>
    </row>
    <row r="173" spans="1:24" ht="12">
      <c r="A173" s="430" t="s">
        <v>329</v>
      </c>
      <c r="B173" s="430"/>
      <c r="C173" s="455" t="s">
        <v>358</v>
      </c>
      <c r="D173" s="455"/>
      <c r="E173" s="455"/>
      <c r="F173" s="455"/>
      <c r="G173" s="455"/>
      <c r="H173" s="455"/>
      <c r="I173" s="455"/>
      <c r="J173" s="455"/>
      <c r="K173" s="455"/>
      <c r="L173" s="291"/>
      <c r="M173" s="291"/>
      <c r="N173" s="291"/>
      <c r="O173" s="291"/>
      <c r="P173" s="291"/>
      <c r="Q173" s="291"/>
      <c r="R173" s="291"/>
      <c r="S173" s="291"/>
      <c r="T173" s="291"/>
      <c r="U173" s="291"/>
      <c r="V173" s="291"/>
      <c r="W173" s="291"/>
      <c r="X173" s="291"/>
    </row>
    <row r="174" spans="1:24" ht="10.5">
      <c r="A174" s="430"/>
      <c r="B174" s="430"/>
      <c r="C174" s="291"/>
      <c r="D174" s="291"/>
      <c r="E174" s="291"/>
      <c r="F174" s="291"/>
      <c r="G174" s="291"/>
      <c r="H174" s="291"/>
      <c r="I174" s="291"/>
      <c r="J174" s="291"/>
      <c r="K174" s="291"/>
      <c r="L174" s="291"/>
      <c r="M174" s="291"/>
      <c r="N174" s="291"/>
      <c r="O174" s="291"/>
      <c r="P174" s="291"/>
      <c r="Q174" s="291"/>
      <c r="R174" s="291"/>
      <c r="S174" s="291"/>
      <c r="T174" s="291"/>
      <c r="U174" s="291"/>
      <c r="V174" s="291"/>
      <c r="W174" s="291"/>
      <c r="X174" s="291"/>
    </row>
    <row r="175" spans="1:24" ht="12">
      <c r="A175" s="291"/>
      <c r="B175" s="430" t="s">
        <v>331</v>
      </c>
      <c r="C175" s="430"/>
      <c r="D175" s="455" t="s">
        <v>44</v>
      </c>
      <c r="E175" s="455"/>
      <c r="F175" s="455"/>
      <c r="G175" s="455"/>
      <c r="H175" s="455"/>
      <c r="I175" s="455"/>
      <c r="J175" s="455"/>
      <c r="K175" s="455"/>
      <c r="L175" s="455"/>
      <c r="M175" s="455"/>
      <c r="N175" s="291"/>
      <c r="O175" s="291"/>
      <c r="P175" s="291"/>
      <c r="Q175" s="291"/>
      <c r="R175" s="291"/>
      <c r="S175" s="291"/>
      <c r="T175" s="291"/>
      <c r="U175" s="291"/>
      <c r="V175" s="291"/>
      <c r="W175" s="291"/>
      <c r="X175" s="291"/>
    </row>
    <row r="176" spans="1:24" ht="12">
      <c r="A176" s="430" t="s">
        <v>332</v>
      </c>
      <c r="B176" s="430"/>
      <c r="C176" s="291"/>
      <c r="D176" s="291"/>
      <c r="E176" s="456" t="s">
        <v>333</v>
      </c>
      <c r="F176" s="456"/>
      <c r="G176" s="456"/>
      <c r="H176" s="456"/>
      <c r="I176" s="456"/>
      <c r="J176" s="449" t="s">
        <v>3</v>
      </c>
      <c r="K176" s="449"/>
      <c r="L176" s="449"/>
      <c r="M176" s="449"/>
      <c r="N176" s="449" t="s">
        <v>334</v>
      </c>
      <c r="O176" s="449"/>
      <c r="P176" s="428" t="s">
        <v>335</v>
      </c>
      <c r="Q176" s="428"/>
      <c r="R176" s="291"/>
      <c r="S176" s="449" t="s">
        <v>336</v>
      </c>
      <c r="T176" s="449"/>
      <c r="U176" s="291"/>
      <c r="V176" s="292" t="s">
        <v>337</v>
      </c>
      <c r="W176" s="292" t="s">
        <v>338</v>
      </c>
      <c r="X176" s="291"/>
    </row>
    <row r="177" spans="1:24" ht="12">
      <c r="A177" s="430"/>
      <c r="B177" s="430"/>
      <c r="C177" s="291"/>
      <c r="D177" s="291"/>
      <c r="E177" s="430" t="s">
        <v>339</v>
      </c>
      <c r="F177" s="430"/>
      <c r="G177" s="430"/>
      <c r="H177" s="430"/>
      <c r="I177" s="430"/>
      <c r="J177" s="428" t="s">
        <v>340</v>
      </c>
      <c r="K177" s="428"/>
      <c r="L177" s="428"/>
      <c r="M177" s="428"/>
      <c r="N177" s="428" t="s">
        <v>341</v>
      </c>
      <c r="O177" s="428"/>
      <c r="P177" s="428"/>
      <c r="Q177" s="428"/>
      <c r="R177" s="291"/>
      <c r="S177" s="428" t="s">
        <v>341</v>
      </c>
      <c r="T177" s="428"/>
      <c r="U177" s="291"/>
      <c r="V177" s="293" t="s">
        <v>342</v>
      </c>
      <c r="W177" s="293" t="s">
        <v>336</v>
      </c>
      <c r="X177" s="291"/>
    </row>
    <row r="178" spans="1:24" ht="12">
      <c r="A178" s="454" t="s">
        <v>34</v>
      </c>
      <c r="B178" s="454"/>
      <c r="C178" s="454"/>
      <c r="D178" s="454" t="s">
        <v>353</v>
      </c>
      <c r="E178" s="454"/>
      <c r="F178" s="454"/>
      <c r="G178" s="294" t="s">
        <v>344</v>
      </c>
      <c r="H178" s="454" t="s">
        <v>354</v>
      </c>
      <c r="I178" s="454"/>
      <c r="J178" s="452">
        <v>289331</v>
      </c>
      <c r="K178" s="452"/>
      <c r="L178" s="452"/>
      <c r="M178" s="452"/>
      <c r="N178" s="452">
        <v>289331</v>
      </c>
      <c r="O178" s="452"/>
      <c r="P178" s="453">
        <v>0</v>
      </c>
      <c r="Q178" s="453"/>
      <c r="R178" s="453"/>
      <c r="S178" s="452">
        <v>289331</v>
      </c>
      <c r="T178" s="452"/>
      <c r="U178" s="453">
        <v>0</v>
      </c>
      <c r="V178" s="453"/>
      <c r="W178" s="295">
        <v>100</v>
      </c>
      <c r="X178" s="291"/>
    </row>
    <row r="179" spans="1:24" ht="12">
      <c r="A179" s="454" t="s">
        <v>35</v>
      </c>
      <c r="B179" s="454"/>
      <c r="C179" s="454"/>
      <c r="D179" s="454" t="s">
        <v>353</v>
      </c>
      <c r="E179" s="454"/>
      <c r="F179" s="454"/>
      <c r="G179" s="294" t="s">
        <v>344</v>
      </c>
      <c r="H179" s="454" t="s">
        <v>354</v>
      </c>
      <c r="I179" s="454"/>
      <c r="J179" s="452">
        <v>188714.19</v>
      </c>
      <c r="K179" s="452"/>
      <c r="L179" s="452"/>
      <c r="M179" s="452"/>
      <c r="N179" s="452">
        <v>188714.19</v>
      </c>
      <c r="O179" s="452"/>
      <c r="P179" s="453">
        <v>0</v>
      </c>
      <c r="Q179" s="453"/>
      <c r="R179" s="453"/>
      <c r="S179" s="452">
        <v>188714.19</v>
      </c>
      <c r="T179" s="452"/>
      <c r="U179" s="453">
        <v>0</v>
      </c>
      <c r="V179" s="453"/>
      <c r="W179" s="295">
        <v>100</v>
      </c>
      <c r="X179" s="291"/>
    </row>
    <row r="180" spans="1:24" ht="12">
      <c r="A180" s="454" t="s">
        <v>29</v>
      </c>
      <c r="B180" s="454"/>
      <c r="C180" s="454"/>
      <c r="D180" s="454" t="s">
        <v>353</v>
      </c>
      <c r="E180" s="454"/>
      <c r="F180" s="454"/>
      <c r="G180" s="294" t="s">
        <v>344</v>
      </c>
      <c r="H180" s="454" t="s">
        <v>354</v>
      </c>
      <c r="I180" s="454"/>
      <c r="J180" s="452">
        <v>231819.73</v>
      </c>
      <c r="K180" s="452"/>
      <c r="L180" s="452"/>
      <c r="M180" s="452"/>
      <c r="N180" s="452">
        <v>231819.73</v>
      </c>
      <c r="O180" s="452"/>
      <c r="P180" s="453">
        <v>0</v>
      </c>
      <c r="Q180" s="453"/>
      <c r="R180" s="453"/>
      <c r="S180" s="452">
        <v>231819.73</v>
      </c>
      <c r="T180" s="452"/>
      <c r="U180" s="453">
        <v>0</v>
      </c>
      <c r="V180" s="453"/>
      <c r="W180" s="295">
        <v>100</v>
      </c>
      <c r="X180" s="291"/>
    </row>
    <row r="181" spans="1:24" ht="12">
      <c r="A181" s="454" t="s">
        <v>30</v>
      </c>
      <c r="B181" s="454"/>
      <c r="C181" s="454"/>
      <c r="D181" s="454" t="s">
        <v>353</v>
      </c>
      <c r="E181" s="454"/>
      <c r="F181" s="454"/>
      <c r="G181" s="294" t="s">
        <v>344</v>
      </c>
      <c r="H181" s="454" t="s">
        <v>354</v>
      </c>
      <c r="I181" s="454"/>
      <c r="J181" s="452">
        <v>85541</v>
      </c>
      <c r="K181" s="452"/>
      <c r="L181" s="452"/>
      <c r="M181" s="452"/>
      <c r="N181" s="452">
        <v>85541</v>
      </c>
      <c r="O181" s="452"/>
      <c r="P181" s="453">
        <v>0</v>
      </c>
      <c r="Q181" s="453"/>
      <c r="R181" s="453"/>
      <c r="S181" s="452">
        <v>85541</v>
      </c>
      <c r="T181" s="452"/>
      <c r="U181" s="453">
        <v>0</v>
      </c>
      <c r="V181" s="453"/>
      <c r="W181" s="295">
        <v>100</v>
      </c>
      <c r="X181" s="291"/>
    </row>
    <row r="182" spans="1:24" ht="12">
      <c r="A182" s="454" t="s">
        <v>36</v>
      </c>
      <c r="B182" s="454"/>
      <c r="C182" s="454"/>
      <c r="D182" s="454" t="s">
        <v>353</v>
      </c>
      <c r="E182" s="454"/>
      <c r="F182" s="454"/>
      <c r="G182" s="294" t="s">
        <v>344</v>
      </c>
      <c r="H182" s="454" t="s">
        <v>354</v>
      </c>
      <c r="I182" s="454"/>
      <c r="J182" s="452">
        <v>31465</v>
      </c>
      <c r="K182" s="452"/>
      <c r="L182" s="452"/>
      <c r="M182" s="452"/>
      <c r="N182" s="452">
        <v>31465</v>
      </c>
      <c r="O182" s="452"/>
      <c r="P182" s="453">
        <v>0</v>
      </c>
      <c r="Q182" s="453"/>
      <c r="R182" s="453"/>
      <c r="S182" s="452">
        <v>31465</v>
      </c>
      <c r="T182" s="452"/>
      <c r="U182" s="453">
        <v>0</v>
      </c>
      <c r="V182" s="453"/>
      <c r="W182" s="295">
        <v>100</v>
      </c>
      <c r="X182" s="291"/>
    </row>
    <row r="183" spans="1:24" ht="10.5">
      <c r="A183" s="296"/>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1"/>
    </row>
    <row r="184" spans="1:24" ht="11.25">
      <c r="A184" s="291"/>
      <c r="B184" s="291"/>
      <c r="C184" s="291"/>
      <c r="D184" s="291"/>
      <c r="E184" s="291"/>
      <c r="F184" s="291"/>
      <c r="G184" s="291"/>
      <c r="H184" s="291"/>
      <c r="I184" s="291"/>
      <c r="J184" s="451">
        <v>826870.92</v>
      </c>
      <c r="K184" s="451"/>
      <c r="L184" s="451"/>
      <c r="M184" s="451"/>
      <c r="N184" s="451">
        <v>826870.92</v>
      </c>
      <c r="O184" s="451"/>
      <c r="P184" s="451">
        <v>0</v>
      </c>
      <c r="Q184" s="451"/>
      <c r="R184" s="451"/>
      <c r="S184" s="451">
        <v>826870.92</v>
      </c>
      <c r="T184" s="451"/>
      <c r="U184" s="451">
        <v>0</v>
      </c>
      <c r="V184" s="451"/>
      <c r="W184" s="291"/>
      <c r="X184" s="291"/>
    </row>
    <row r="185" spans="1:24" ht="12">
      <c r="A185" s="291"/>
      <c r="B185" s="430" t="s">
        <v>331</v>
      </c>
      <c r="C185" s="430"/>
      <c r="D185" s="455" t="s">
        <v>348</v>
      </c>
      <c r="E185" s="455"/>
      <c r="F185" s="455"/>
      <c r="G185" s="455"/>
      <c r="H185" s="455"/>
      <c r="I185" s="455"/>
      <c r="J185" s="455"/>
      <c r="K185" s="455"/>
      <c r="L185" s="455"/>
      <c r="M185" s="455"/>
      <c r="N185" s="291"/>
      <c r="O185" s="291"/>
      <c r="P185" s="291"/>
      <c r="Q185" s="291"/>
      <c r="R185" s="291"/>
      <c r="S185" s="291"/>
      <c r="T185" s="291"/>
      <c r="U185" s="291"/>
      <c r="V185" s="291"/>
      <c r="W185" s="291"/>
      <c r="X185" s="291"/>
    </row>
    <row r="186" spans="1:24" ht="12">
      <c r="A186" s="430" t="s">
        <v>332</v>
      </c>
      <c r="B186" s="430"/>
      <c r="C186" s="291"/>
      <c r="D186" s="291"/>
      <c r="E186" s="456" t="s">
        <v>333</v>
      </c>
      <c r="F186" s="456"/>
      <c r="G186" s="456"/>
      <c r="H186" s="456"/>
      <c r="I186" s="456"/>
      <c r="J186" s="449" t="s">
        <v>3</v>
      </c>
      <c r="K186" s="449"/>
      <c r="L186" s="449"/>
      <c r="M186" s="449"/>
      <c r="N186" s="449" t="s">
        <v>334</v>
      </c>
      <c r="O186" s="449"/>
      <c r="P186" s="428" t="s">
        <v>335</v>
      </c>
      <c r="Q186" s="428"/>
      <c r="R186" s="291"/>
      <c r="S186" s="449" t="s">
        <v>336</v>
      </c>
      <c r="T186" s="449"/>
      <c r="U186" s="291"/>
      <c r="V186" s="292" t="s">
        <v>337</v>
      </c>
      <c r="W186" s="292" t="s">
        <v>338</v>
      </c>
      <c r="X186" s="291"/>
    </row>
    <row r="187" spans="1:24" ht="12">
      <c r="A187" s="430"/>
      <c r="B187" s="430"/>
      <c r="C187" s="291"/>
      <c r="D187" s="291"/>
      <c r="E187" s="430" t="s">
        <v>339</v>
      </c>
      <c r="F187" s="430"/>
      <c r="G187" s="430"/>
      <c r="H187" s="430"/>
      <c r="I187" s="430"/>
      <c r="J187" s="428" t="s">
        <v>340</v>
      </c>
      <c r="K187" s="428"/>
      <c r="L187" s="428"/>
      <c r="M187" s="428"/>
      <c r="N187" s="428" t="s">
        <v>341</v>
      </c>
      <c r="O187" s="428"/>
      <c r="P187" s="428"/>
      <c r="Q187" s="428"/>
      <c r="R187" s="291"/>
      <c r="S187" s="428" t="s">
        <v>341</v>
      </c>
      <c r="T187" s="428"/>
      <c r="U187" s="291"/>
      <c r="V187" s="293" t="s">
        <v>342</v>
      </c>
      <c r="W187" s="293" t="s">
        <v>336</v>
      </c>
      <c r="X187" s="291"/>
    </row>
    <row r="188" spans="1:24" ht="12">
      <c r="A188" s="454" t="s">
        <v>34</v>
      </c>
      <c r="B188" s="454"/>
      <c r="C188" s="454"/>
      <c r="D188" s="454" t="s">
        <v>353</v>
      </c>
      <c r="E188" s="454"/>
      <c r="F188" s="454"/>
      <c r="G188" s="294" t="s">
        <v>344</v>
      </c>
      <c r="H188" s="454" t="s">
        <v>354</v>
      </c>
      <c r="I188" s="454"/>
      <c r="J188" s="452">
        <v>2169473</v>
      </c>
      <c r="K188" s="452"/>
      <c r="L188" s="452"/>
      <c r="M188" s="452"/>
      <c r="N188" s="452">
        <v>2169473</v>
      </c>
      <c r="O188" s="452"/>
      <c r="P188" s="453">
        <v>0</v>
      </c>
      <c r="Q188" s="453"/>
      <c r="R188" s="453"/>
      <c r="S188" s="452">
        <v>2169473</v>
      </c>
      <c r="T188" s="452"/>
      <c r="U188" s="453">
        <v>0</v>
      </c>
      <c r="V188" s="453"/>
      <c r="W188" s="295">
        <v>100</v>
      </c>
      <c r="X188" s="291"/>
    </row>
    <row r="189" spans="1:24" ht="12">
      <c r="A189" s="454" t="s">
        <v>35</v>
      </c>
      <c r="B189" s="454"/>
      <c r="C189" s="454"/>
      <c r="D189" s="454" t="s">
        <v>353</v>
      </c>
      <c r="E189" s="454"/>
      <c r="F189" s="454"/>
      <c r="G189" s="294" t="s">
        <v>344</v>
      </c>
      <c r="H189" s="454" t="s">
        <v>354</v>
      </c>
      <c r="I189" s="454"/>
      <c r="J189" s="452">
        <v>1539018</v>
      </c>
      <c r="K189" s="452"/>
      <c r="L189" s="452"/>
      <c r="M189" s="452"/>
      <c r="N189" s="452">
        <v>1539018</v>
      </c>
      <c r="O189" s="452"/>
      <c r="P189" s="453">
        <v>0</v>
      </c>
      <c r="Q189" s="453"/>
      <c r="R189" s="453"/>
      <c r="S189" s="452">
        <v>1539018</v>
      </c>
      <c r="T189" s="452"/>
      <c r="U189" s="453">
        <v>0</v>
      </c>
      <c r="V189" s="453"/>
      <c r="W189" s="295">
        <v>100</v>
      </c>
      <c r="X189" s="291"/>
    </row>
    <row r="190" spans="1:24" ht="12">
      <c r="A190" s="454" t="s">
        <v>29</v>
      </c>
      <c r="B190" s="454"/>
      <c r="C190" s="454"/>
      <c r="D190" s="454" t="s">
        <v>353</v>
      </c>
      <c r="E190" s="454"/>
      <c r="F190" s="454"/>
      <c r="G190" s="294" t="s">
        <v>344</v>
      </c>
      <c r="H190" s="454" t="s">
        <v>354</v>
      </c>
      <c r="I190" s="454"/>
      <c r="J190" s="452">
        <v>2575179</v>
      </c>
      <c r="K190" s="452"/>
      <c r="L190" s="452"/>
      <c r="M190" s="452"/>
      <c r="N190" s="452">
        <v>2575179</v>
      </c>
      <c r="O190" s="452"/>
      <c r="P190" s="453">
        <v>0</v>
      </c>
      <c r="Q190" s="453"/>
      <c r="R190" s="453"/>
      <c r="S190" s="452">
        <v>2575179</v>
      </c>
      <c r="T190" s="452"/>
      <c r="U190" s="453">
        <v>0</v>
      </c>
      <c r="V190" s="453"/>
      <c r="W190" s="295">
        <v>100</v>
      </c>
      <c r="X190" s="291"/>
    </row>
    <row r="191" spans="1:24" ht="12">
      <c r="A191" s="454" t="s">
        <v>30</v>
      </c>
      <c r="B191" s="454"/>
      <c r="C191" s="454"/>
      <c r="D191" s="454" t="s">
        <v>353</v>
      </c>
      <c r="E191" s="454"/>
      <c r="F191" s="454"/>
      <c r="G191" s="294" t="s">
        <v>344</v>
      </c>
      <c r="H191" s="454" t="s">
        <v>354</v>
      </c>
      <c r="I191" s="454"/>
      <c r="J191" s="452">
        <v>1317468</v>
      </c>
      <c r="K191" s="452"/>
      <c r="L191" s="452"/>
      <c r="M191" s="452"/>
      <c r="N191" s="452">
        <v>1317468</v>
      </c>
      <c r="O191" s="452"/>
      <c r="P191" s="453">
        <v>0</v>
      </c>
      <c r="Q191" s="453"/>
      <c r="R191" s="453"/>
      <c r="S191" s="452">
        <v>1317468</v>
      </c>
      <c r="T191" s="452"/>
      <c r="U191" s="453">
        <v>0</v>
      </c>
      <c r="V191" s="453"/>
      <c r="W191" s="295">
        <v>100</v>
      </c>
      <c r="X191" s="291"/>
    </row>
    <row r="192" spans="1:24" ht="12">
      <c r="A192" s="454" t="s">
        <v>36</v>
      </c>
      <c r="B192" s="454"/>
      <c r="C192" s="454"/>
      <c r="D192" s="454" t="s">
        <v>353</v>
      </c>
      <c r="E192" s="454"/>
      <c r="F192" s="454"/>
      <c r="G192" s="294" t="s">
        <v>344</v>
      </c>
      <c r="H192" s="454" t="s">
        <v>354</v>
      </c>
      <c r="I192" s="454"/>
      <c r="J192" s="452">
        <v>237620</v>
      </c>
      <c r="K192" s="452"/>
      <c r="L192" s="452"/>
      <c r="M192" s="452"/>
      <c r="N192" s="452">
        <v>237620</v>
      </c>
      <c r="O192" s="452"/>
      <c r="P192" s="453">
        <v>0</v>
      </c>
      <c r="Q192" s="453"/>
      <c r="R192" s="453"/>
      <c r="S192" s="452">
        <v>237620</v>
      </c>
      <c r="T192" s="452"/>
      <c r="U192" s="453">
        <v>0</v>
      </c>
      <c r="V192" s="453"/>
      <c r="W192" s="295">
        <v>100</v>
      </c>
      <c r="X192" s="291"/>
    </row>
    <row r="193" spans="1:24" ht="10.5">
      <c r="A193" s="296"/>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1"/>
    </row>
    <row r="194" spans="1:24" ht="11.25">
      <c r="A194" s="291"/>
      <c r="B194" s="291"/>
      <c r="C194" s="291"/>
      <c r="D194" s="291"/>
      <c r="E194" s="291"/>
      <c r="F194" s="291"/>
      <c r="G194" s="291"/>
      <c r="H194" s="291"/>
      <c r="I194" s="291"/>
      <c r="J194" s="451">
        <v>7838758</v>
      </c>
      <c r="K194" s="451"/>
      <c r="L194" s="451"/>
      <c r="M194" s="451"/>
      <c r="N194" s="451">
        <v>7838758</v>
      </c>
      <c r="O194" s="451"/>
      <c r="P194" s="451">
        <v>0</v>
      </c>
      <c r="Q194" s="451"/>
      <c r="R194" s="451"/>
      <c r="S194" s="451">
        <v>7838758</v>
      </c>
      <c r="T194" s="451"/>
      <c r="U194" s="451">
        <v>0</v>
      </c>
      <c r="V194" s="451"/>
      <c r="W194" s="291"/>
      <c r="X194" s="291"/>
    </row>
    <row r="195" spans="1:24" ht="12">
      <c r="A195" s="291"/>
      <c r="B195" s="430" t="s">
        <v>331</v>
      </c>
      <c r="C195" s="430"/>
      <c r="D195" s="455" t="s">
        <v>187</v>
      </c>
      <c r="E195" s="455"/>
      <c r="F195" s="455"/>
      <c r="G195" s="455"/>
      <c r="H195" s="455"/>
      <c r="I195" s="455"/>
      <c r="J195" s="455"/>
      <c r="K195" s="455"/>
      <c r="L195" s="455"/>
      <c r="M195" s="455"/>
      <c r="N195" s="291"/>
      <c r="O195" s="291"/>
      <c r="P195" s="291"/>
      <c r="Q195" s="291"/>
      <c r="R195" s="291"/>
      <c r="S195" s="291"/>
      <c r="T195" s="291"/>
      <c r="U195" s="291"/>
      <c r="V195" s="291"/>
      <c r="W195" s="291"/>
      <c r="X195" s="291"/>
    </row>
    <row r="196" spans="1:24" ht="12">
      <c r="A196" s="430" t="s">
        <v>332</v>
      </c>
      <c r="B196" s="430"/>
      <c r="C196" s="291"/>
      <c r="D196" s="291"/>
      <c r="E196" s="456" t="s">
        <v>333</v>
      </c>
      <c r="F196" s="456"/>
      <c r="G196" s="456"/>
      <c r="H196" s="456"/>
      <c r="I196" s="456"/>
      <c r="J196" s="449" t="s">
        <v>3</v>
      </c>
      <c r="K196" s="449"/>
      <c r="L196" s="449"/>
      <c r="M196" s="449"/>
      <c r="N196" s="449" t="s">
        <v>334</v>
      </c>
      <c r="O196" s="449"/>
      <c r="P196" s="428" t="s">
        <v>335</v>
      </c>
      <c r="Q196" s="428"/>
      <c r="R196" s="291"/>
      <c r="S196" s="449" t="s">
        <v>336</v>
      </c>
      <c r="T196" s="449"/>
      <c r="U196" s="291"/>
      <c r="V196" s="292" t="s">
        <v>337</v>
      </c>
      <c r="W196" s="292" t="s">
        <v>338</v>
      </c>
      <c r="X196" s="291"/>
    </row>
    <row r="197" spans="1:24" ht="12">
      <c r="A197" s="430"/>
      <c r="B197" s="430"/>
      <c r="C197" s="291"/>
      <c r="D197" s="291"/>
      <c r="E197" s="430" t="s">
        <v>339</v>
      </c>
      <c r="F197" s="430"/>
      <c r="G197" s="430"/>
      <c r="H197" s="430"/>
      <c r="I197" s="430"/>
      <c r="J197" s="428" t="s">
        <v>340</v>
      </c>
      <c r="K197" s="428"/>
      <c r="L197" s="428"/>
      <c r="M197" s="428"/>
      <c r="N197" s="428" t="s">
        <v>341</v>
      </c>
      <c r="O197" s="428"/>
      <c r="P197" s="428"/>
      <c r="Q197" s="428"/>
      <c r="R197" s="291"/>
      <c r="S197" s="428" t="s">
        <v>341</v>
      </c>
      <c r="T197" s="428"/>
      <c r="U197" s="291"/>
      <c r="V197" s="293" t="s">
        <v>342</v>
      </c>
      <c r="W197" s="293" t="s">
        <v>336</v>
      </c>
      <c r="X197" s="291"/>
    </row>
    <row r="198" spans="1:24" ht="12">
      <c r="A198" s="454" t="s">
        <v>34</v>
      </c>
      <c r="B198" s="454"/>
      <c r="C198" s="454"/>
      <c r="D198" s="454" t="s">
        <v>353</v>
      </c>
      <c r="E198" s="454"/>
      <c r="F198" s="454"/>
      <c r="G198" s="294" t="s">
        <v>344</v>
      </c>
      <c r="H198" s="454" t="s">
        <v>354</v>
      </c>
      <c r="I198" s="454"/>
      <c r="J198" s="452">
        <v>436812.5</v>
      </c>
      <c r="K198" s="452"/>
      <c r="L198" s="452"/>
      <c r="M198" s="452"/>
      <c r="N198" s="452">
        <v>436812.5</v>
      </c>
      <c r="O198" s="452"/>
      <c r="P198" s="453">
        <v>0</v>
      </c>
      <c r="Q198" s="453"/>
      <c r="R198" s="453"/>
      <c r="S198" s="452">
        <v>436812.5</v>
      </c>
      <c r="T198" s="452"/>
      <c r="U198" s="453">
        <v>0</v>
      </c>
      <c r="V198" s="453"/>
      <c r="W198" s="295">
        <v>100</v>
      </c>
      <c r="X198" s="291"/>
    </row>
    <row r="199" spans="1:24" ht="12">
      <c r="A199" s="454" t="s">
        <v>35</v>
      </c>
      <c r="B199" s="454"/>
      <c r="C199" s="454"/>
      <c r="D199" s="454" t="s">
        <v>353</v>
      </c>
      <c r="E199" s="454"/>
      <c r="F199" s="454"/>
      <c r="G199" s="294" t="s">
        <v>344</v>
      </c>
      <c r="H199" s="454" t="s">
        <v>354</v>
      </c>
      <c r="I199" s="454"/>
      <c r="J199" s="452">
        <v>209971.83</v>
      </c>
      <c r="K199" s="452"/>
      <c r="L199" s="452"/>
      <c r="M199" s="452"/>
      <c r="N199" s="452">
        <v>209971.83</v>
      </c>
      <c r="O199" s="452"/>
      <c r="P199" s="453">
        <v>0</v>
      </c>
      <c r="Q199" s="453"/>
      <c r="R199" s="453"/>
      <c r="S199" s="452">
        <v>209971.83</v>
      </c>
      <c r="T199" s="452"/>
      <c r="U199" s="453">
        <v>0</v>
      </c>
      <c r="V199" s="453"/>
      <c r="W199" s="295">
        <v>100</v>
      </c>
      <c r="X199" s="291"/>
    </row>
    <row r="200" spans="1:24" ht="12">
      <c r="A200" s="454" t="s">
        <v>29</v>
      </c>
      <c r="B200" s="454"/>
      <c r="C200" s="454"/>
      <c r="D200" s="454" t="s">
        <v>353</v>
      </c>
      <c r="E200" s="454"/>
      <c r="F200" s="454"/>
      <c r="G200" s="294" t="s">
        <v>344</v>
      </c>
      <c r="H200" s="454" t="s">
        <v>354</v>
      </c>
      <c r="I200" s="454"/>
      <c r="J200" s="452">
        <v>463994.1</v>
      </c>
      <c r="K200" s="452"/>
      <c r="L200" s="452"/>
      <c r="M200" s="452"/>
      <c r="N200" s="452">
        <v>463994.1</v>
      </c>
      <c r="O200" s="452"/>
      <c r="P200" s="453">
        <v>0</v>
      </c>
      <c r="Q200" s="453"/>
      <c r="R200" s="453"/>
      <c r="S200" s="452">
        <v>463994.1</v>
      </c>
      <c r="T200" s="452"/>
      <c r="U200" s="453">
        <v>0</v>
      </c>
      <c r="V200" s="453"/>
      <c r="W200" s="295">
        <v>100</v>
      </c>
      <c r="X200" s="291"/>
    </row>
    <row r="201" spans="1:24" ht="12">
      <c r="A201" s="454" t="s">
        <v>30</v>
      </c>
      <c r="B201" s="454"/>
      <c r="C201" s="454"/>
      <c r="D201" s="454" t="s">
        <v>353</v>
      </c>
      <c r="E201" s="454"/>
      <c r="F201" s="454"/>
      <c r="G201" s="294" t="s">
        <v>344</v>
      </c>
      <c r="H201" s="454" t="s">
        <v>354</v>
      </c>
      <c r="I201" s="454"/>
      <c r="J201" s="452">
        <v>120177</v>
      </c>
      <c r="K201" s="452"/>
      <c r="L201" s="452"/>
      <c r="M201" s="452"/>
      <c r="N201" s="452">
        <v>120177</v>
      </c>
      <c r="O201" s="452"/>
      <c r="P201" s="453">
        <v>0</v>
      </c>
      <c r="Q201" s="453"/>
      <c r="R201" s="453"/>
      <c r="S201" s="452">
        <v>120177</v>
      </c>
      <c r="T201" s="452"/>
      <c r="U201" s="453">
        <v>0</v>
      </c>
      <c r="V201" s="453"/>
      <c r="W201" s="295">
        <v>100</v>
      </c>
      <c r="X201" s="291"/>
    </row>
    <row r="202" spans="1:24" ht="12">
      <c r="A202" s="454" t="s">
        <v>36</v>
      </c>
      <c r="B202" s="454"/>
      <c r="C202" s="454"/>
      <c r="D202" s="454" t="s">
        <v>353</v>
      </c>
      <c r="E202" s="454"/>
      <c r="F202" s="454"/>
      <c r="G202" s="294" t="s">
        <v>344</v>
      </c>
      <c r="H202" s="454" t="s">
        <v>354</v>
      </c>
      <c r="I202" s="454"/>
      <c r="J202" s="452">
        <v>48872</v>
      </c>
      <c r="K202" s="452"/>
      <c r="L202" s="452"/>
      <c r="M202" s="452"/>
      <c r="N202" s="452">
        <v>48872</v>
      </c>
      <c r="O202" s="452"/>
      <c r="P202" s="453">
        <v>0</v>
      </c>
      <c r="Q202" s="453"/>
      <c r="R202" s="453"/>
      <c r="S202" s="452">
        <v>48872</v>
      </c>
      <c r="T202" s="452"/>
      <c r="U202" s="453">
        <v>0</v>
      </c>
      <c r="V202" s="453"/>
      <c r="W202" s="295">
        <v>100</v>
      </c>
      <c r="X202" s="291"/>
    </row>
    <row r="203" spans="1:24" ht="10.5">
      <c r="A203" s="296"/>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1"/>
    </row>
    <row r="204" spans="1:24" ht="12" thickBot="1">
      <c r="A204" s="291"/>
      <c r="B204" s="291"/>
      <c r="C204" s="291"/>
      <c r="D204" s="291"/>
      <c r="E204" s="291"/>
      <c r="F204" s="291"/>
      <c r="G204" s="291"/>
      <c r="H204" s="291"/>
      <c r="I204" s="291"/>
      <c r="J204" s="451">
        <v>1279827.43</v>
      </c>
      <c r="K204" s="451"/>
      <c r="L204" s="451"/>
      <c r="M204" s="451"/>
      <c r="N204" s="451">
        <v>1279827.43</v>
      </c>
      <c r="O204" s="451"/>
      <c r="P204" s="451">
        <v>0</v>
      </c>
      <c r="Q204" s="451"/>
      <c r="R204" s="451"/>
      <c r="S204" s="451">
        <v>1279827.43</v>
      </c>
      <c r="T204" s="451"/>
      <c r="U204" s="451">
        <v>0</v>
      </c>
      <c r="V204" s="451"/>
      <c r="W204" s="291"/>
      <c r="X204" s="291"/>
    </row>
    <row r="205" spans="1:24" ht="11.25" thickTop="1">
      <c r="A205" s="297"/>
      <c r="B205" s="297"/>
      <c r="C205" s="297"/>
      <c r="D205" s="297"/>
      <c r="E205" s="297"/>
      <c r="F205" s="297"/>
      <c r="G205" s="297"/>
      <c r="H205" s="297"/>
      <c r="I205" s="297"/>
      <c r="J205" s="297"/>
      <c r="K205" s="297"/>
      <c r="L205" s="297"/>
      <c r="M205" s="297"/>
      <c r="N205" s="297"/>
      <c r="O205" s="297"/>
      <c r="P205" s="297"/>
      <c r="Q205" s="297"/>
      <c r="R205" s="297"/>
      <c r="S205" s="297"/>
      <c r="T205" s="297"/>
      <c r="U205" s="297"/>
      <c r="V205" s="297"/>
      <c r="W205" s="297"/>
      <c r="X205" s="291"/>
    </row>
    <row r="206" spans="1:24" ht="12">
      <c r="A206" s="449" t="s">
        <v>359</v>
      </c>
      <c r="B206" s="449"/>
      <c r="C206" s="449"/>
      <c r="D206" s="449"/>
      <c r="E206" s="449"/>
      <c r="F206" s="449"/>
      <c r="G206" s="449"/>
      <c r="H206" s="449"/>
      <c r="I206" s="291"/>
      <c r="J206" s="450">
        <v>9945456.35</v>
      </c>
      <c r="K206" s="450"/>
      <c r="L206" s="450"/>
      <c r="M206" s="450"/>
      <c r="N206" s="450">
        <v>9945456.35</v>
      </c>
      <c r="O206" s="450"/>
      <c r="P206" s="451">
        <v>0</v>
      </c>
      <c r="Q206" s="451"/>
      <c r="R206" s="451"/>
      <c r="S206" s="450">
        <v>9945456.35</v>
      </c>
      <c r="T206" s="450"/>
      <c r="U206" s="450">
        <v>0</v>
      </c>
      <c r="V206" s="450"/>
      <c r="W206" s="291"/>
      <c r="X206" s="291"/>
    </row>
    <row r="207" spans="1:24" ht="12">
      <c r="A207" s="430" t="s">
        <v>329</v>
      </c>
      <c r="B207" s="430"/>
      <c r="C207" s="455" t="s">
        <v>360</v>
      </c>
      <c r="D207" s="455"/>
      <c r="E207" s="455"/>
      <c r="F207" s="455"/>
      <c r="G207" s="455"/>
      <c r="H207" s="455"/>
      <c r="I207" s="455"/>
      <c r="J207" s="455"/>
      <c r="K207" s="455"/>
      <c r="L207" s="291"/>
      <c r="M207" s="291"/>
      <c r="N207" s="291"/>
      <c r="O207" s="291"/>
      <c r="P207" s="291"/>
      <c r="Q207" s="291"/>
      <c r="R207" s="291"/>
      <c r="S207" s="291"/>
      <c r="T207" s="291"/>
      <c r="U207" s="291"/>
      <c r="V207" s="291"/>
      <c r="W207" s="291"/>
      <c r="X207" s="291"/>
    </row>
    <row r="208" spans="1:24" ht="10.5">
      <c r="A208" s="430"/>
      <c r="B208" s="430"/>
      <c r="C208" s="291"/>
      <c r="D208" s="291"/>
      <c r="E208" s="291"/>
      <c r="F208" s="291"/>
      <c r="G208" s="291"/>
      <c r="H208" s="291"/>
      <c r="I208" s="291"/>
      <c r="J208" s="291"/>
      <c r="K208" s="291"/>
      <c r="L208" s="291"/>
      <c r="M208" s="291"/>
      <c r="N208" s="291"/>
      <c r="O208" s="291"/>
      <c r="P208" s="291"/>
      <c r="Q208" s="291"/>
      <c r="R208" s="291"/>
      <c r="S208" s="291"/>
      <c r="T208" s="291"/>
      <c r="U208" s="291"/>
      <c r="V208" s="291"/>
      <c r="W208" s="291"/>
      <c r="X208" s="291"/>
    </row>
    <row r="209" spans="1:24" ht="12">
      <c r="A209" s="291"/>
      <c r="B209" s="430" t="s">
        <v>331</v>
      </c>
      <c r="C209" s="430"/>
      <c r="D209" s="455" t="s">
        <v>44</v>
      </c>
      <c r="E209" s="455"/>
      <c r="F209" s="455"/>
      <c r="G209" s="455"/>
      <c r="H209" s="455"/>
      <c r="I209" s="455"/>
      <c r="J209" s="455"/>
      <c r="K209" s="455"/>
      <c r="L209" s="455"/>
      <c r="M209" s="455"/>
      <c r="N209" s="291"/>
      <c r="O209" s="291"/>
      <c r="P209" s="291"/>
      <c r="Q209" s="291"/>
      <c r="R209" s="291"/>
      <c r="S209" s="291"/>
      <c r="T209" s="291"/>
      <c r="U209" s="291"/>
      <c r="V209" s="291"/>
      <c r="W209" s="291"/>
      <c r="X209" s="291"/>
    </row>
    <row r="210" spans="1:24" ht="12">
      <c r="A210" s="430" t="s">
        <v>332</v>
      </c>
      <c r="B210" s="430"/>
      <c r="C210" s="291"/>
      <c r="D210" s="291"/>
      <c r="E210" s="456" t="s">
        <v>333</v>
      </c>
      <c r="F210" s="456"/>
      <c r="G210" s="456"/>
      <c r="H210" s="456"/>
      <c r="I210" s="456"/>
      <c r="J210" s="449" t="s">
        <v>3</v>
      </c>
      <c r="K210" s="449"/>
      <c r="L210" s="449"/>
      <c r="M210" s="449"/>
      <c r="N210" s="449" t="s">
        <v>334</v>
      </c>
      <c r="O210" s="449"/>
      <c r="P210" s="428" t="s">
        <v>335</v>
      </c>
      <c r="Q210" s="428"/>
      <c r="R210" s="291"/>
      <c r="S210" s="449" t="s">
        <v>336</v>
      </c>
      <c r="T210" s="449"/>
      <c r="U210" s="291"/>
      <c r="V210" s="292" t="s">
        <v>337</v>
      </c>
      <c r="W210" s="292" t="s">
        <v>338</v>
      </c>
      <c r="X210" s="291"/>
    </row>
    <row r="211" spans="1:24" ht="12">
      <c r="A211" s="430"/>
      <c r="B211" s="430"/>
      <c r="C211" s="291"/>
      <c r="D211" s="291"/>
      <c r="E211" s="430" t="s">
        <v>339</v>
      </c>
      <c r="F211" s="430"/>
      <c r="G211" s="430"/>
      <c r="H211" s="430"/>
      <c r="I211" s="430"/>
      <c r="J211" s="428" t="s">
        <v>340</v>
      </c>
      <c r="K211" s="428"/>
      <c r="L211" s="428"/>
      <c r="M211" s="428"/>
      <c r="N211" s="428" t="s">
        <v>341</v>
      </c>
      <c r="O211" s="428"/>
      <c r="P211" s="428"/>
      <c r="Q211" s="428"/>
      <c r="R211" s="291"/>
      <c r="S211" s="428" t="s">
        <v>341</v>
      </c>
      <c r="T211" s="428"/>
      <c r="U211" s="291"/>
      <c r="V211" s="293" t="s">
        <v>342</v>
      </c>
      <c r="W211" s="293" t="s">
        <v>336</v>
      </c>
      <c r="X211" s="291"/>
    </row>
    <row r="212" spans="1:24" ht="12">
      <c r="A212" s="454" t="s">
        <v>196</v>
      </c>
      <c r="B212" s="454"/>
      <c r="C212" s="454"/>
      <c r="D212" s="454" t="s">
        <v>361</v>
      </c>
      <c r="E212" s="454"/>
      <c r="F212" s="454"/>
      <c r="G212" s="294" t="s">
        <v>344</v>
      </c>
      <c r="H212" s="454" t="s">
        <v>362</v>
      </c>
      <c r="I212" s="454"/>
      <c r="J212" s="452">
        <v>8736.69</v>
      </c>
      <c r="K212" s="452"/>
      <c r="L212" s="452"/>
      <c r="M212" s="452"/>
      <c r="N212" s="452">
        <v>8736.69</v>
      </c>
      <c r="O212" s="452"/>
      <c r="P212" s="453">
        <v>0</v>
      </c>
      <c r="Q212" s="453"/>
      <c r="R212" s="453"/>
      <c r="S212" s="452">
        <v>8736.69</v>
      </c>
      <c r="T212" s="452"/>
      <c r="U212" s="453">
        <v>0</v>
      </c>
      <c r="V212" s="453"/>
      <c r="W212" s="295">
        <v>100</v>
      </c>
      <c r="X212" s="291"/>
    </row>
    <row r="213" spans="1:24" ht="10.5">
      <c r="A213" s="296"/>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1"/>
    </row>
    <row r="214" spans="1:24" ht="12" thickBot="1">
      <c r="A214" s="291"/>
      <c r="B214" s="291"/>
      <c r="C214" s="291"/>
      <c r="D214" s="291"/>
      <c r="E214" s="291"/>
      <c r="F214" s="291"/>
      <c r="G214" s="291"/>
      <c r="H214" s="291"/>
      <c r="I214" s="291"/>
      <c r="J214" s="451">
        <v>8736.69</v>
      </c>
      <c r="K214" s="451"/>
      <c r="L214" s="451"/>
      <c r="M214" s="451"/>
      <c r="N214" s="451">
        <v>8736.69</v>
      </c>
      <c r="O214" s="451"/>
      <c r="P214" s="451">
        <v>0</v>
      </c>
      <c r="Q214" s="451"/>
      <c r="R214" s="451"/>
      <c r="S214" s="451">
        <v>8736.69</v>
      </c>
      <c r="T214" s="451"/>
      <c r="U214" s="451">
        <v>0</v>
      </c>
      <c r="V214" s="451"/>
      <c r="W214" s="291"/>
      <c r="X214" s="291"/>
    </row>
    <row r="215" spans="1:24" ht="11.25" thickTop="1">
      <c r="A215" s="297"/>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1"/>
    </row>
    <row r="216" spans="1:24" ht="12">
      <c r="A216" s="449" t="s">
        <v>363</v>
      </c>
      <c r="B216" s="449"/>
      <c r="C216" s="449"/>
      <c r="D216" s="449"/>
      <c r="E216" s="449"/>
      <c r="F216" s="449"/>
      <c r="G216" s="449"/>
      <c r="H216" s="449"/>
      <c r="I216" s="291"/>
      <c r="J216" s="450">
        <v>8736.69</v>
      </c>
      <c r="K216" s="450"/>
      <c r="L216" s="450"/>
      <c r="M216" s="450"/>
      <c r="N216" s="450">
        <v>8736.69</v>
      </c>
      <c r="O216" s="450"/>
      <c r="P216" s="451">
        <v>0</v>
      </c>
      <c r="Q216" s="451"/>
      <c r="R216" s="451"/>
      <c r="S216" s="450">
        <v>8736.69</v>
      </c>
      <c r="T216" s="450"/>
      <c r="U216" s="450">
        <v>0</v>
      </c>
      <c r="V216" s="450"/>
      <c r="W216" s="291"/>
      <c r="X216" s="291"/>
    </row>
    <row r="217" spans="1:24" ht="12">
      <c r="A217" s="430" t="s">
        <v>329</v>
      </c>
      <c r="B217" s="430"/>
      <c r="C217" s="455" t="s">
        <v>364</v>
      </c>
      <c r="D217" s="455"/>
      <c r="E217" s="455"/>
      <c r="F217" s="455"/>
      <c r="G217" s="455"/>
      <c r="H217" s="455"/>
      <c r="I217" s="455"/>
      <c r="J217" s="455"/>
      <c r="K217" s="455"/>
      <c r="L217" s="291"/>
      <c r="M217" s="291"/>
      <c r="N217" s="291"/>
      <c r="O217" s="291"/>
      <c r="P217" s="291"/>
      <c r="Q217" s="291"/>
      <c r="R217" s="291"/>
      <c r="S217" s="291"/>
      <c r="T217" s="291"/>
      <c r="U217" s="291"/>
      <c r="V217" s="291"/>
      <c r="W217" s="291"/>
      <c r="X217" s="291"/>
    </row>
    <row r="218" spans="1:24" ht="10.5">
      <c r="A218" s="430"/>
      <c r="B218" s="430"/>
      <c r="C218" s="291"/>
      <c r="D218" s="291"/>
      <c r="E218" s="291"/>
      <c r="F218" s="291"/>
      <c r="G218" s="291"/>
      <c r="H218" s="291"/>
      <c r="I218" s="291"/>
      <c r="J218" s="291"/>
      <c r="K218" s="291"/>
      <c r="L218" s="291"/>
      <c r="M218" s="291"/>
      <c r="N218" s="291"/>
      <c r="O218" s="291"/>
      <c r="P218" s="291"/>
      <c r="Q218" s="291"/>
      <c r="R218" s="291"/>
      <c r="S218" s="291"/>
      <c r="T218" s="291"/>
      <c r="U218" s="291"/>
      <c r="V218" s="291"/>
      <c r="W218" s="291"/>
      <c r="X218" s="291"/>
    </row>
    <row r="219" spans="1:24" ht="12">
      <c r="A219" s="291"/>
      <c r="B219" s="430" t="s">
        <v>331</v>
      </c>
      <c r="C219" s="430"/>
      <c r="D219" s="455" t="s">
        <v>44</v>
      </c>
      <c r="E219" s="455"/>
      <c r="F219" s="455"/>
      <c r="G219" s="455"/>
      <c r="H219" s="455"/>
      <c r="I219" s="455"/>
      <c r="J219" s="455"/>
      <c r="K219" s="455"/>
      <c r="L219" s="455"/>
      <c r="M219" s="455"/>
      <c r="N219" s="291"/>
      <c r="O219" s="291"/>
      <c r="P219" s="291"/>
      <c r="Q219" s="291"/>
      <c r="R219" s="291"/>
      <c r="S219" s="291"/>
      <c r="T219" s="291"/>
      <c r="U219" s="291"/>
      <c r="V219" s="291"/>
      <c r="W219" s="291"/>
      <c r="X219" s="291"/>
    </row>
    <row r="220" spans="1:24" ht="12">
      <c r="A220" s="430" t="s">
        <v>332</v>
      </c>
      <c r="B220" s="430"/>
      <c r="C220" s="291"/>
      <c r="D220" s="291"/>
      <c r="E220" s="456" t="s">
        <v>333</v>
      </c>
      <c r="F220" s="456"/>
      <c r="G220" s="456"/>
      <c r="H220" s="456"/>
      <c r="I220" s="456"/>
      <c r="J220" s="449" t="s">
        <v>3</v>
      </c>
      <c r="K220" s="449"/>
      <c r="L220" s="449"/>
      <c r="M220" s="449"/>
      <c r="N220" s="449" t="s">
        <v>334</v>
      </c>
      <c r="O220" s="449"/>
      <c r="P220" s="428" t="s">
        <v>335</v>
      </c>
      <c r="Q220" s="428"/>
      <c r="R220" s="291"/>
      <c r="S220" s="449" t="s">
        <v>336</v>
      </c>
      <c r="T220" s="449"/>
      <c r="U220" s="291"/>
      <c r="V220" s="292" t="s">
        <v>337</v>
      </c>
      <c r="W220" s="292" t="s">
        <v>338</v>
      </c>
      <c r="X220" s="291"/>
    </row>
    <row r="221" spans="1:24" ht="12">
      <c r="A221" s="430"/>
      <c r="B221" s="430"/>
      <c r="C221" s="291"/>
      <c r="D221" s="291"/>
      <c r="E221" s="430" t="s">
        <v>339</v>
      </c>
      <c r="F221" s="430"/>
      <c r="G221" s="430"/>
      <c r="H221" s="430"/>
      <c r="I221" s="430"/>
      <c r="J221" s="428" t="s">
        <v>340</v>
      </c>
      <c r="K221" s="428"/>
      <c r="L221" s="428"/>
      <c r="M221" s="428"/>
      <c r="N221" s="428" t="s">
        <v>341</v>
      </c>
      <c r="O221" s="428"/>
      <c r="P221" s="428"/>
      <c r="Q221" s="428"/>
      <c r="R221" s="291"/>
      <c r="S221" s="428" t="s">
        <v>341</v>
      </c>
      <c r="T221" s="428"/>
      <c r="U221" s="291"/>
      <c r="V221" s="293" t="s">
        <v>342</v>
      </c>
      <c r="W221" s="293" t="s">
        <v>336</v>
      </c>
      <c r="X221" s="291"/>
    </row>
    <row r="222" spans="1:24" ht="12">
      <c r="A222" s="454" t="s">
        <v>23</v>
      </c>
      <c r="B222" s="454"/>
      <c r="C222" s="454"/>
      <c r="D222" s="454" t="s">
        <v>361</v>
      </c>
      <c r="E222" s="454"/>
      <c r="F222" s="454"/>
      <c r="G222" s="294" t="s">
        <v>344</v>
      </c>
      <c r="H222" s="454" t="s">
        <v>362</v>
      </c>
      <c r="I222" s="454"/>
      <c r="J222" s="452">
        <v>111311.81</v>
      </c>
      <c r="K222" s="452"/>
      <c r="L222" s="452"/>
      <c r="M222" s="452"/>
      <c r="N222" s="452">
        <v>38791.31</v>
      </c>
      <c r="O222" s="452"/>
      <c r="P222" s="453">
        <v>72520.5</v>
      </c>
      <c r="Q222" s="453"/>
      <c r="R222" s="453"/>
      <c r="S222" s="452">
        <v>38791.31</v>
      </c>
      <c r="T222" s="452"/>
      <c r="U222" s="453">
        <v>0</v>
      </c>
      <c r="V222" s="453"/>
      <c r="W222" s="295">
        <v>34.85</v>
      </c>
      <c r="X222" s="291"/>
    </row>
    <row r="223" spans="1:24" ht="12">
      <c r="A223" s="454" t="s">
        <v>24</v>
      </c>
      <c r="B223" s="454"/>
      <c r="C223" s="454"/>
      <c r="D223" s="454" t="s">
        <v>361</v>
      </c>
      <c r="E223" s="454"/>
      <c r="F223" s="454"/>
      <c r="G223" s="294" t="s">
        <v>344</v>
      </c>
      <c r="H223" s="454" t="s">
        <v>362</v>
      </c>
      <c r="I223" s="454"/>
      <c r="J223" s="452">
        <v>37584.64</v>
      </c>
      <c r="K223" s="452"/>
      <c r="L223" s="452"/>
      <c r="M223" s="452"/>
      <c r="N223" s="452">
        <v>9881.48</v>
      </c>
      <c r="O223" s="452"/>
      <c r="P223" s="453">
        <v>27703.16</v>
      </c>
      <c r="Q223" s="453"/>
      <c r="R223" s="453"/>
      <c r="S223" s="452">
        <v>9881.48</v>
      </c>
      <c r="T223" s="452"/>
      <c r="U223" s="453">
        <v>0</v>
      </c>
      <c r="V223" s="453"/>
      <c r="W223" s="295">
        <v>26.29</v>
      </c>
      <c r="X223" s="291"/>
    </row>
    <row r="224" spans="1:24" ht="12">
      <c r="A224" s="454" t="s">
        <v>25</v>
      </c>
      <c r="B224" s="454"/>
      <c r="C224" s="454"/>
      <c r="D224" s="454" t="s">
        <v>361</v>
      </c>
      <c r="E224" s="454"/>
      <c r="F224" s="454"/>
      <c r="G224" s="294" t="s">
        <v>344</v>
      </c>
      <c r="H224" s="454" t="s">
        <v>362</v>
      </c>
      <c r="I224" s="454"/>
      <c r="J224" s="452">
        <v>30679</v>
      </c>
      <c r="K224" s="452"/>
      <c r="L224" s="452"/>
      <c r="M224" s="452"/>
      <c r="N224" s="452">
        <v>6443</v>
      </c>
      <c r="O224" s="452"/>
      <c r="P224" s="453">
        <v>24236</v>
      </c>
      <c r="Q224" s="453"/>
      <c r="R224" s="453"/>
      <c r="S224" s="452">
        <v>6443</v>
      </c>
      <c r="T224" s="452"/>
      <c r="U224" s="453">
        <v>0</v>
      </c>
      <c r="V224" s="453"/>
      <c r="W224" s="295">
        <v>21</v>
      </c>
      <c r="X224" s="291"/>
    </row>
    <row r="225" spans="1:24" ht="12">
      <c r="A225" s="454" t="s">
        <v>26</v>
      </c>
      <c r="B225" s="454"/>
      <c r="C225" s="454"/>
      <c r="D225" s="454" t="s">
        <v>361</v>
      </c>
      <c r="E225" s="454"/>
      <c r="F225" s="454"/>
      <c r="G225" s="294" t="s">
        <v>344</v>
      </c>
      <c r="H225" s="454" t="s">
        <v>362</v>
      </c>
      <c r="I225" s="454"/>
      <c r="J225" s="452">
        <v>4686</v>
      </c>
      <c r="K225" s="452"/>
      <c r="L225" s="452"/>
      <c r="M225" s="452"/>
      <c r="N225" s="452">
        <v>2240</v>
      </c>
      <c r="O225" s="452"/>
      <c r="P225" s="453">
        <v>2446</v>
      </c>
      <c r="Q225" s="453"/>
      <c r="R225" s="453"/>
      <c r="S225" s="452">
        <v>2240</v>
      </c>
      <c r="T225" s="452"/>
      <c r="U225" s="453">
        <v>0</v>
      </c>
      <c r="V225" s="453"/>
      <c r="W225" s="295">
        <v>47.8</v>
      </c>
      <c r="X225" s="291"/>
    </row>
    <row r="226" spans="1:24" ht="12">
      <c r="A226" s="454" t="s">
        <v>27</v>
      </c>
      <c r="B226" s="454"/>
      <c r="C226" s="454"/>
      <c r="D226" s="454" t="s">
        <v>361</v>
      </c>
      <c r="E226" s="454"/>
      <c r="F226" s="454"/>
      <c r="G226" s="294" t="s">
        <v>344</v>
      </c>
      <c r="H226" s="454" t="s">
        <v>362</v>
      </c>
      <c r="I226" s="454"/>
      <c r="J226" s="452">
        <v>133963</v>
      </c>
      <c r="K226" s="452"/>
      <c r="L226" s="452"/>
      <c r="M226" s="452"/>
      <c r="N226" s="452">
        <v>43456</v>
      </c>
      <c r="O226" s="452"/>
      <c r="P226" s="453">
        <v>90507</v>
      </c>
      <c r="Q226" s="453"/>
      <c r="R226" s="453"/>
      <c r="S226" s="452">
        <v>43456</v>
      </c>
      <c r="T226" s="452"/>
      <c r="U226" s="453">
        <v>0</v>
      </c>
      <c r="V226" s="453"/>
      <c r="W226" s="295">
        <v>32.44</v>
      </c>
      <c r="X226" s="291"/>
    </row>
    <row r="227" spans="1:24" ht="12">
      <c r="A227" s="454" t="s">
        <v>165</v>
      </c>
      <c r="B227" s="454"/>
      <c r="C227" s="454"/>
      <c r="D227" s="454" t="s">
        <v>361</v>
      </c>
      <c r="E227" s="454"/>
      <c r="F227" s="454"/>
      <c r="G227" s="294" t="s">
        <v>344</v>
      </c>
      <c r="H227" s="454" t="s">
        <v>362</v>
      </c>
      <c r="I227" s="454"/>
      <c r="J227" s="452">
        <v>42366.77</v>
      </c>
      <c r="K227" s="452"/>
      <c r="L227" s="452"/>
      <c r="M227" s="452"/>
      <c r="N227" s="452">
        <v>26973</v>
      </c>
      <c r="O227" s="452"/>
      <c r="P227" s="453">
        <v>15393.77</v>
      </c>
      <c r="Q227" s="453"/>
      <c r="R227" s="453"/>
      <c r="S227" s="452">
        <v>26973</v>
      </c>
      <c r="T227" s="452"/>
      <c r="U227" s="453">
        <v>0</v>
      </c>
      <c r="V227" s="453"/>
      <c r="W227" s="295">
        <v>63.67</v>
      </c>
      <c r="X227" s="291"/>
    </row>
    <row r="228" spans="1:24" ht="12">
      <c r="A228" s="454" t="s">
        <v>37</v>
      </c>
      <c r="B228" s="454"/>
      <c r="C228" s="454"/>
      <c r="D228" s="454" t="s">
        <v>361</v>
      </c>
      <c r="E228" s="454"/>
      <c r="F228" s="454"/>
      <c r="G228" s="294" t="s">
        <v>344</v>
      </c>
      <c r="H228" s="454" t="s">
        <v>362</v>
      </c>
      <c r="I228" s="454"/>
      <c r="J228" s="452">
        <v>8972</v>
      </c>
      <c r="K228" s="452"/>
      <c r="L228" s="452"/>
      <c r="M228" s="452"/>
      <c r="N228" s="452">
        <v>8972</v>
      </c>
      <c r="O228" s="452"/>
      <c r="P228" s="453">
        <v>0</v>
      </c>
      <c r="Q228" s="453"/>
      <c r="R228" s="453"/>
      <c r="S228" s="452">
        <v>8972</v>
      </c>
      <c r="T228" s="452"/>
      <c r="U228" s="453">
        <v>0</v>
      </c>
      <c r="V228" s="453"/>
      <c r="W228" s="295">
        <v>100</v>
      </c>
      <c r="X228" s="291"/>
    </row>
    <row r="229" spans="1:24" ht="12">
      <c r="A229" s="454" t="s">
        <v>28</v>
      </c>
      <c r="B229" s="454"/>
      <c r="C229" s="454"/>
      <c r="D229" s="454" t="s">
        <v>361</v>
      </c>
      <c r="E229" s="454"/>
      <c r="F229" s="454"/>
      <c r="G229" s="294" t="s">
        <v>344</v>
      </c>
      <c r="H229" s="454" t="s">
        <v>362</v>
      </c>
      <c r="I229" s="454"/>
      <c r="J229" s="452">
        <v>10185.64</v>
      </c>
      <c r="K229" s="452"/>
      <c r="L229" s="452"/>
      <c r="M229" s="452"/>
      <c r="N229" s="452">
        <v>4996.55</v>
      </c>
      <c r="O229" s="452"/>
      <c r="P229" s="453">
        <v>5189.09</v>
      </c>
      <c r="Q229" s="453"/>
      <c r="R229" s="453"/>
      <c r="S229" s="452">
        <v>4996.55</v>
      </c>
      <c r="T229" s="452"/>
      <c r="U229" s="453">
        <v>0</v>
      </c>
      <c r="V229" s="453"/>
      <c r="W229" s="295">
        <v>49.05</v>
      </c>
      <c r="X229" s="291"/>
    </row>
    <row r="230" spans="1:24" ht="12">
      <c r="A230" s="454" t="s">
        <v>29</v>
      </c>
      <c r="B230" s="454"/>
      <c r="C230" s="454"/>
      <c r="D230" s="454" t="s">
        <v>361</v>
      </c>
      <c r="E230" s="454"/>
      <c r="F230" s="454"/>
      <c r="G230" s="294" t="s">
        <v>344</v>
      </c>
      <c r="H230" s="454" t="s">
        <v>362</v>
      </c>
      <c r="I230" s="454"/>
      <c r="J230" s="452">
        <v>144993.16</v>
      </c>
      <c r="K230" s="452"/>
      <c r="L230" s="452"/>
      <c r="M230" s="452"/>
      <c r="N230" s="452">
        <v>43749.82</v>
      </c>
      <c r="O230" s="452"/>
      <c r="P230" s="453">
        <v>101243.34</v>
      </c>
      <c r="Q230" s="453"/>
      <c r="R230" s="453"/>
      <c r="S230" s="452">
        <v>55416.87</v>
      </c>
      <c r="T230" s="452"/>
      <c r="U230" s="453">
        <v>-11667.05</v>
      </c>
      <c r="V230" s="453"/>
      <c r="W230" s="295">
        <v>38.22</v>
      </c>
      <c r="X230" s="291"/>
    </row>
    <row r="231" spans="1:24" ht="12">
      <c r="A231" s="454" t="s">
        <v>30</v>
      </c>
      <c r="B231" s="454"/>
      <c r="C231" s="454"/>
      <c r="D231" s="454" t="s">
        <v>361</v>
      </c>
      <c r="E231" s="454"/>
      <c r="F231" s="454"/>
      <c r="G231" s="294" t="s">
        <v>344</v>
      </c>
      <c r="H231" s="454" t="s">
        <v>362</v>
      </c>
      <c r="I231" s="454"/>
      <c r="J231" s="452">
        <v>30162</v>
      </c>
      <c r="K231" s="452"/>
      <c r="L231" s="452"/>
      <c r="M231" s="452"/>
      <c r="N231" s="452">
        <v>6500</v>
      </c>
      <c r="O231" s="452"/>
      <c r="P231" s="453">
        <v>23662</v>
      </c>
      <c r="Q231" s="453"/>
      <c r="R231" s="453"/>
      <c r="S231" s="452">
        <v>6037</v>
      </c>
      <c r="T231" s="452"/>
      <c r="U231" s="453">
        <v>463</v>
      </c>
      <c r="V231" s="453"/>
      <c r="W231" s="295">
        <v>20.02</v>
      </c>
      <c r="X231" s="291"/>
    </row>
    <row r="232" spans="1:24" ht="12">
      <c r="A232" s="454" t="s">
        <v>31</v>
      </c>
      <c r="B232" s="454"/>
      <c r="C232" s="454"/>
      <c r="D232" s="454" t="s">
        <v>361</v>
      </c>
      <c r="E232" s="454"/>
      <c r="F232" s="454"/>
      <c r="G232" s="294" t="s">
        <v>344</v>
      </c>
      <c r="H232" s="454" t="s">
        <v>362</v>
      </c>
      <c r="I232" s="454"/>
      <c r="J232" s="452">
        <v>109848</v>
      </c>
      <c r="K232" s="452"/>
      <c r="L232" s="452"/>
      <c r="M232" s="452"/>
      <c r="N232" s="452">
        <v>14152</v>
      </c>
      <c r="O232" s="452"/>
      <c r="P232" s="453">
        <v>95696</v>
      </c>
      <c r="Q232" s="453"/>
      <c r="R232" s="453"/>
      <c r="S232" s="452">
        <v>17285</v>
      </c>
      <c r="T232" s="452"/>
      <c r="U232" s="453">
        <v>-3133</v>
      </c>
      <c r="V232" s="453"/>
      <c r="W232" s="295">
        <v>15.74</v>
      </c>
      <c r="X232" s="291"/>
    </row>
    <row r="233" spans="1:24" ht="12">
      <c r="A233" s="454" t="s">
        <v>32</v>
      </c>
      <c r="B233" s="454"/>
      <c r="C233" s="454"/>
      <c r="D233" s="454" t="s">
        <v>361</v>
      </c>
      <c r="E233" s="454"/>
      <c r="F233" s="454"/>
      <c r="G233" s="294" t="s">
        <v>344</v>
      </c>
      <c r="H233" s="454" t="s">
        <v>362</v>
      </c>
      <c r="I233" s="454"/>
      <c r="J233" s="452">
        <v>28803</v>
      </c>
      <c r="K233" s="452"/>
      <c r="L233" s="452"/>
      <c r="M233" s="452"/>
      <c r="N233" s="452">
        <v>21668</v>
      </c>
      <c r="O233" s="452"/>
      <c r="P233" s="453">
        <v>7135</v>
      </c>
      <c r="Q233" s="453"/>
      <c r="R233" s="453"/>
      <c r="S233" s="452">
        <v>21668</v>
      </c>
      <c r="T233" s="452"/>
      <c r="U233" s="453">
        <v>0</v>
      </c>
      <c r="V233" s="453"/>
      <c r="W233" s="295">
        <v>75.23</v>
      </c>
      <c r="X233" s="291"/>
    </row>
    <row r="234" spans="1:24" ht="12">
      <c r="A234" s="454" t="s">
        <v>33</v>
      </c>
      <c r="B234" s="454"/>
      <c r="C234" s="454"/>
      <c r="D234" s="454" t="s">
        <v>361</v>
      </c>
      <c r="E234" s="454"/>
      <c r="F234" s="454"/>
      <c r="G234" s="294" t="s">
        <v>344</v>
      </c>
      <c r="H234" s="454" t="s">
        <v>362</v>
      </c>
      <c r="I234" s="454"/>
      <c r="J234" s="452">
        <v>103643.54</v>
      </c>
      <c r="K234" s="452"/>
      <c r="L234" s="452"/>
      <c r="M234" s="452"/>
      <c r="N234" s="452">
        <v>65606</v>
      </c>
      <c r="O234" s="452"/>
      <c r="P234" s="453">
        <v>38037.54</v>
      </c>
      <c r="Q234" s="453"/>
      <c r="R234" s="453"/>
      <c r="S234" s="452">
        <v>65606</v>
      </c>
      <c r="T234" s="452"/>
      <c r="U234" s="453">
        <v>0</v>
      </c>
      <c r="V234" s="453"/>
      <c r="W234" s="295">
        <v>63.3</v>
      </c>
      <c r="X234" s="291"/>
    </row>
    <row r="235" spans="1:24" ht="10.5">
      <c r="A235" s="296"/>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1"/>
    </row>
    <row r="236" spans="1:24" ht="11.25">
      <c r="A236" s="291"/>
      <c r="B236" s="291"/>
      <c r="C236" s="291"/>
      <c r="D236" s="291"/>
      <c r="E236" s="291"/>
      <c r="F236" s="291"/>
      <c r="G236" s="291"/>
      <c r="H236" s="291"/>
      <c r="I236" s="291"/>
      <c r="J236" s="451">
        <v>797198.56</v>
      </c>
      <c r="K236" s="451"/>
      <c r="L236" s="451"/>
      <c r="M236" s="451"/>
      <c r="N236" s="451">
        <v>293429.16</v>
      </c>
      <c r="O236" s="451"/>
      <c r="P236" s="451">
        <v>503769.4</v>
      </c>
      <c r="Q236" s="451"/>
      <c r="R236" s="451"/>
      <c r="S236" s="451">
        <v>307766.21</v>
      </c>
      <c r="T236" s="451"/>
      <c r="U236" s="451">
        <v>-14337.05</v>
      </c>
      <c r="V236" s="451"/>
      <c r="W236" s="291"/>
      <c r="X236" s="291"/>
    </row>
    <row r="237" spans="1:24" ht="12">
      <c r="A237" s="291"/>
      <c r="B237" s="430" t="s">
        <v>331</v>
      </c>
      <c r="C237" s="430"/>
      <c r="D237" s="455" t="s">
        <v>348</v>
      </c>
      <c r="E237" s="455"/>
      <c r="F237" s="455"/>
      <c r="G237" s="455"/>
      <c r="H237" s="455"/>
      <c r="I237" s="455"/>
      <c r="J237" s="455"/>
      <c r="K237" s="455"/>
      <c r="L237" s="455"/>
      <c r="M237" s="455"/>
      <c r="N237" s="291"/>
      <c r="O237" s="291"/>
      <c r="P237" s="291"/>
      <c r="Q237" s="291"/>
      <c r="R237" s="291"/>
      <c r="S237" s="291"/>
      <c r="T237" s="291"/>
      <c r="U237" s="291"/>
      <c r="V237" s="291"/>
      <c r="W237" s="291"/>
      <c r="X237" s="291"/>
    </row>
    <row r="238" spans="1:24" ht="12">
      <c r="A238" s="430" t="s">
        <v>332</v>
      </c>
      <c r="B238" s="430"/>
      <c r="C238" s="291"/>
      <c r="D238" s="291"/>
      <c r="E238" s="456" t="s">
        <v>333</v>
      </c>
      <c r="F238" s="456"/>
      <c r="G238" s="456"/>
      <c r="H238" s="456"/>
      <c r="I238" s="456"/>
      <c r="J238" s="449" t="s">
        <v>3</v>
      </c>
      <c r="K238" s="449"/>
      <c r="L238" s="449"/>
      <c r="M238" s="449"/>
      <c r="N238" s="449" t="s">
        <v>334</v>
      </c>
      <c r="O238" s="449"/>
      <c r="P238" s="428" t="s">
        <v>335</v>
      </c>
      <c r="Q238" s="428"/>
      <c r="R238" s="291"/>
      <c r="S238" s="449" t="s">
        <v>336</v>
      </c>
      <c r="T238" s="449"/>
      <c r="U238" s="291"/>
      <c r="V238" s="292" t="s">
        <v>337</v>
      </c>
      <c r="W238" s="292" t="s">
        <v>338</v>
      </c>
      <c r="X238" s="291"/>
    </row>
    <row r="239" spans="1:24" ht="12">
      <c r="A239" s="430"/>
      <c r="B239" s="430"/>
      <c r="C239" s="291"/>
      <c r="D239" s="291"/>
      <c r="E239" s="430" t="s">
        <v>339</v>
      </c>
      <c r="F239" s="430"/>
      <c r="G239" s="430"/>
      <c r="H239" s="430"/>
      <c r="I239" s="430"/>
      <c r="J239" s="428" t="s">
        <v>340</v>
      </c>
      <c r="K239" s="428"/>
      <c r="L239" s="428"/>
      <c r="M239" s="428"/>
      <c r="N239" s="428" t="s">
        <v>341</v>
      </c>
      <c r="O239" s="428"/>
      <c r="P239" s="428"/>
      <c r="Q239" s="428"/>
      <c r="R239" s="291"/>
      <c r="S239" s="428" t="s">
        <v>341</v>
      </c>
      <c r="T239" s="428"/>
      <c r="U239" s="291"/>
      <c r="V239" s="293" t="s">
        <v>342</v>
      </c>
      <c r="W239" s="293" t="s">
        <v>336</v>
      </c>
      <c r="X239" s="291"/>
    </row>
    <row r="240" spans="1:24" ht="12">
      <c r="A240" s="454" t="s">
        <v>23</v>
      </c>
      <c r="B240" s="454"/>
      <c r="C240" s="454"/>
      <c r="D240" s="454" t="s">
        <v>361</v>
      </c>
      <c r="E240" s="454"/>
      <c r="F240" s="454"/>
      <c r="G240" s="294" t="s">
        <v>344</v>
      </c>
      <c r="H240" s="454" t="s">
        <v>362</v>
      </c>
      <c r="I240" s="454"/>
      <c r="J240" s="452">
        <v>870644</v>
      </c>
      <c r="K240" s="452"/>
      <c r="L240" s="452"/>
      <c r="M240" s="452"/>
      <c r="N240" s="452">
        <v>497578</v>
      </c>
      <c r="O240" s="452"/>
      <c r="P240" s="453">
        <v>373066</v>
      </c>
      <c r="Q240" s="453"/>
      <c r="R240" s="453"/>
      <c r="S240" s="452">
        <v>528395</v>
      </c>
      <c r="T240" s="452"/>
      <c r="U240" s="453">
        <v>-30817</v>
      </c>
      <c r="V240" s="453"/>
      <c r="W240" s="295">
        <v>60.69</v>
      </c>
      <c r="X240" s="291"/>
    </row>
    <row r="241" spans="1:24" ht="12">
      <c r="A241" s="454" t="s">
        <v>24</v>
      </c>
      <c r="B241" s="454"/>
      <c r="C241" s="454"/>
      <c r="D241" s="454" t="s">
        <v>361</v>
      </c>
      <c r="E241" s="454"/>
      <c r="F241" s="454"/>
      <c r="G241" s="294" t="s">
        <v>344</v>
      </c>
      <c r="H241" s="454" t="s">
        <v>362</v>
      </c>
      <c r="I241" s="454"/>
      <c r="J241" s="452">
        <v>316259</v>
      </c>
      <c r="K241" s="452"/>
      <c r="L241" s="452"/>
      <c r="M241" s="452"/>
      <c r="N241" s="452">
        <v>115580</v>
      </c>
      <c r="O241" s="452"/>
      <c r="P241" s="453">
        <v>200679</v>
      </c>
      <c r="Q241" s="453"/>
      <c r="R241" s="453"/>
      <c r="S241" s="452">
        <v>115580</v>
      </c>
      <c r="T241" s="452"/>
      <c r="U241" s="453">
        <v>0</v>
      </c>
      <c r="V241" s="453"/>
      <c r="W241" s="295">
        <v>36.55</v>
      </c>
      <c r="X241" s="291"/>
    </row>
    <row r="242" spans="1:24" ht="12">
      <c r="A242" s="454" t="s">
        <v>25</v>
      </c>
      <c r="B242" s="454"/>
      <c r="C242" s="454"/>
      <c r="D242" s="454" t="s">
        <v>361</v>
      </c>
      <c r="E242" s="454"/>
      <c r="F242" s="454"/>
      <c r="G242" s="294" t="s">
        <v>344</v>
      </c>
      <c r="H242" s="454" t="s">
        <v>362</v>
      </c>
      <c r="I242" s="454"/>
      <c r="J242" s="452">
        <v>225451</v>
      </c>
      <c r="K242" s="452"/>
      <c r="L242" s="452"/>
      <c r="M242" s="452"/>
      <c r="N242" s="452">
        <v>157884</v>
      </c>
      <c r="O242" s="452"/>
      <c r="P242" s="453">
        <v>67567</v>
      </c>
      <c r="Q242" s="453"/>
      <c r="R242" s="453"/>
      <c r="S242" s="452">
        <v>162314</v>
      </c>
      <c r="T242" s="452"/>
      <c r="U242" s="453">
        <v>-4430</v>
      </c>
      <c r="V242" s="453"/>
      <c r="W242" s="295">
        <v>72</v>
      </c>
      <c r="X242" s="291"/>
    </row>
    <row r="243" spans="1:24" ht="12">
      <c r="A243" s="454" t="s">
        <v>26</v>
      </c>
      <c r="B243" s="454"/>
      <c r="C243" s="454"/>
      <c r="D243" s="454" t="s">
        <v>361</v>
      </c>
      <c r="E243" s="454"/>
      <c r="F243" s="454"/>
      <c r="G243" s="294" t="s">
        <v>344</v>
      </c>
      <c r="H243" s="454" t="s">
        <v>362</v>
      </c>
      <c r="I243" s="454"/>
      <c r="J243" s="452">
        <v>45420</v>
      </c>
      <c r="K243" s="452"/>
      <c r="L243" s="452"/>
      <c r="M243" s="452"/>
      <c r="N243" s="452">
        <v>29255</v>
      </c>
      <c r="O243" s="452"/>
      <c r="P243" s="453">
        <v>16165</v>
      </c>
      <c r="Q243" s="453"/>
      <c r="R243" s="453"/>
      <c r="S243" s="452">
        <v>30245</v>
      </c>
      <c r="T243" s="452"/>
      <c r="U243" s="453">
        <v>-990</v>
      </c>
      <c r="V243" s="453"/>
      <c r="W243" s="295">
        <v>66.59</v>
      </c>
      <c r="X243" s="291"/>
    </row>
    <row r="244" spans="1:24" ht="12">
      <c r="A244" s="454" t="s">
        <v>27</v>
      </c>
      <c r="B244" s="454"/>
      <c r="C244" s="454"/>
      <c r="D244" s="454" t="s">
        <v>361</v>
      </c>
      <c r="E244" s="454"/>
      <c r="F244" s="454"/>
      <c r="G244" s="294" t="s">
        <v>344</v>
      </c>
      <c r="H244" s="454" t="s">
        <v>362</v>
      </c>
      <c r="I244" s="454"/>
      <c r="J244" s="452">
        <v>1011596</v>
      </c>
      <c r="K244" s="452"/>
      <c r="L244" s="452"/>
      <c r="M244" s="452"/>
      <c r="N244" s="452">
        <v>509830</v>
      </c>
      <c r="O244" s="452"/>
      <c r="P244" s="453">
        <v>501766</v>
      </c>
      <c r="Q244" s="453"/>
      <c r="R244" s="453"/>
      <c r="S244" s="452">
        <v>509830</v>
      </c>
      <c r="T244" s="452"/>
      <c r="U244" s="453">
        <v>0</v>
      </c>
      <c r="V244" s="453"/>
      <c r="W244" s="295">
        <v>50.4</v>
      </c>
      <c r="X244" s="291"/>
    </row>
    <row r="245" spans="1:24" ht="12">
      <c r="A245" s="454" t="s">
        <v>165</v>
      </c>
      <c r="B245" s="454"/>
      <c r="C245" s="454"/>
      <c r="D245" s="454" t="s">
        <v>361</v>
      </c>
      <c r="E245" s="454"/>
      <c r="F245" s="454"/>
      <c r="G245" s="294" t="s">
        <v>344</v>
      </c>
      <c r="H245" s="454" t="s">
        <v>362</v>
      </c>
      <c r="I245" s="454"/>
      <c r="J245" s="452">
        <v>352926</v>
      </c>
      <c r="K245" s="452"/>
      <c r="L245" s="452"/>
      <c r="M245" s="452"/>
      <c r="N245" s="452">
        <v>324573</v>
      </c>
      <c r="O245" s="452"/>
      <c r="P245" s="453">
        <v>28353</v>
      </c>
      <c r="Q245" s="453"/>
      <c r="R245" s="453"/>
      <c r="S245" s="452">
        <v>324573</v>
      </c>
      <c r="T245" s="452"/>
      <c r="U245" s="453">
        <v>0</v>
      </c>
      <c r="V245" s="453"/>
      <c r="W245" s="295">
        <v>91.97</v>
      </c>
      <c r="X245" s="291"/>
    </row>
    <row r="246" spans="1:24" ht="12">
      <c r="A246" s="454" t="s">
        <v>37</v>
      </c>
      <c r="B246" s="454"/>
      <c r="C246" s="454"/>
      <c r="D246" s="454" t="s">
        <v>361</v>
      </c>
      <c r="E246" s="454"/>
      <c r="F246" s="454"/>
      <c r="G246" s="294" t="s">
        <v>344</v>
      </c>
      <c r="H246" s="454" t="s">
        <v>362</v>
      </c>
      <c r="I246" s="454"/>
      <c r="J246" s="452">
        <v>78571</v>
      </c>
      <c r="K246" s="452"/>
      <c r="L246" s="452"/>
      <c r="M246" s="452"/>
      <c r="N246" s="452">
        <v>63555</v>
      </c>
      <c r="O246" s="452"/>
      <c r="P246" s="453">
        <v>15016</v>
      </c>
      <c r="Q246" s="453"/>
      <c r="R246" s="453"/>
      <c r="S246" s="452">
        <v>65250</v>
      </c>
      <c r="T246" s="452"/>
      <c r="U246" s="453">
        <v>-1695</v>
      </c>
      <c r="V246" s="453"/>
      <c r="W246" s="295">
        <v>83.05</v>
      </c>
      <c r="X246" s="291"/>
    </row>
    <row r="247" spans="1:24" ht="12">
      <c r="A247" s="454" t="s">
        <v>28</v>
      </c>
      <c r="B247" s="454"/>
      <c r="C247" s="454"/>
      <c r="D247" s="454" t="s">
        <v>361</v>
      </c>
      <c r="E247" s="454"/>
      <c r="F247" s="454"/>
      <c r="G247" s="294" t="s">
        <v>344</v>
      </c>
      <c r="H247" s="454" t="s">
        <v>362</v>
      </c>
      <c r="I247" s="454"/>
      <c r="J247" s="452">
        <v>100990.33</v>
      </c>
      <c r="K247" s="452"/>
      <c r="L247" s="452"/>
      <c r="M247" s="452"/>
      <c r="N247" s="452">
        <v>88991</v>
      </c>
      <c r="O247" s="452"/>
      <c r="P247" s="453">
        <v>11999.33</v>
      </c>
      <c r="Q247" s="453"/>
      <c r="R247" s="453"/>
      <c r="S247" s="452">
        <v>88991</v>
      </c>
      <c r="T247" s="452"/>
      <c r="U247" s="453">
        <v>0</v>
      </c>
      <c r="V247" s="453"/>
      <c r="W247" s="295">
        <v>88.12</v>
      </c>
      <c r="X247" s="291"/>
    </row>
    <row r="248" spans="1:24" ht="12">
      <c r="A248" s="454" t="s">
        <v>29</v>
      </c>
      <c r="B248" s="454"/>
      <c r="C248" s="454"/>
      <c r="D248" s="454" t="s">
        <v>361</v>
      </c>
      <c r="E248" s="454"/>
      <c r="F248" s="454"/>
      <c r="G248" s="294" t="s">
        <v>344</v>
      </c>
      <c r="H248" s="454" t="s">
        <v>362</v>
      </c>
      <c r="I248" s="454"/>
      <c r="J248" s="452">
        <v>1091071</v>
      </c>
      <c r="K248" s="452"/>
      <c r="L248" s="452"/>
      <c r="M248" s="452"/>
      <c r="N248" s="452">
        <v>332016</v>
      </c>
      <c r="O248" s="452"/>
      <c r="P248" s="453">
        <v>759055</v>
      </c>
      <c r="Q248" s="453"/>
      <c r="R248" s="453"/>
      <c r="S248" s="452">
        <v>400861</v>
      </c>
      <c r="T248" s="452"/>
      <c r="U248" s="453">
        <v>-68845</v>
      </c>
      <c r="V248" s="453"/>
      <c r="W248" s="295">
        <v>36.74</v>
      </c>
      <c r="X248" s="291"/>
    </row>
    <row r="249" spans="1:24" ht="12">
      <c r="A249" s="454" t="s">
        <v>30</v>
      </c>
      <c r="B249" s="454"/>
      <c r="C249" s="454"/>
      <c r="D249" s="454" t="s">
        <v>361</v>
      </c>
      <c r="E249" s="454"/>
      <c r="F249" s="454"/>
      <c r="G249" s="294" t="s">
        <v>344</v>
      </c>
      <c r="H249" s="454" t="s">
        <v>362</v>
      </c>
      <c r="I249" s="454"/>
      <c r="J249" s="452">
        <v>227189</v>
      </c>
      <c r="K249" s="452"/>
      <c r="L249" s="452"/>
      <c r="M249" s="452"/>
      <c r="N249" s="452">
        <v>143912</v>
      </c>
      <c r="O249" s="452"/>
      <c r="P249" s="453">
        <v>83277</v>
      </c>
      <c r="Q249" s="453"/>
      <c r="R249" s="453"/>
      <c r="S249" s="452">
        <v>148227</v>
      </c>
      <c r="T249" s="452"/>
      <c r="U249" s="453">
        <v>-4315</v>
      </c>
      <c r="V249" s="453"/>
      <c r="W249" s="295">
        <v>65.24</v>
      </c>
      <c r="X249" s="291"/>
    </row>
    <row r="250" spans="1:24" ht="12">
      <c r="A250" s="454" t="s">
        <v>31</v>
      </c>
      <c r="B250" s="454"/>
      <c r="C250" s="454"/>
      <c r="D250" s="454" t="s">
        <v>361</v>
      </c>
      <c r="E250" s="454"/>
      <c r="F250" s="454"/>
      <c r="G250" s="294" t="s">
        <v>344</v>
      </c>
      <c r="H250" s="454" t="s">
        <v>362</v>
      </c>
      <c r="I250" s="454"/>
      <c r="J250" s="452">
        <v>831413</v>
      </c>
      <c r="K250" s="452"/>
      <c r="L250" s="452"/>
      <c r="M250" s="452"/>
      <c r="N250" s="452">
        <v>564569</v>
      </c>
      <c r="O250" s="452"/>
      <c r="P250" s="453">
        <v>266844</v>
      </c>
      <c r="Q250" s="453"/>
      <c r="R250" s="453"/>
      <c r="S250" s="452">
        <v>564569</v>
      </c>
      <c r="T250" s="452"/>
      <c r="U250" s="453">
        <v>0</v>
      </c>
      <c r="V250" s="453"/>
      <c r="W250" s="295">
        <v>67.9</v>
      </c>
      <c r="X250" s="291"/>
    </row>
    <row r="251" spans="1:24" ht="12">
      <c r="A251" s="454" t="s">
        <v>32</v>
      </c>
      <c r="B251" s="454"/>
      <c r="C251" s="454"/>
      <c r="D251" s="454" t="s">
        <v>361</v>
      </c>
      <c r="E251" s="454"/>
      <c r="F251" s="454"/>
      <c r="G251" s="294" t="s">
        <v>344</v>
      </c>
      <c r="H251" s="454" t="s">
        <v>362</v>
      </c>
      <c r="I251" s="454"/>
      <c r="J251" s="452">
        <v>312326</v>
      </c>
      <c r="K251" s="452"/>
      <c r="L251" s="452"/>
      <c r="M251" s="452"/>
      <c r="N251" s="452">
        <v>193279</v>
      </c>
      <c r="O251" s="452"/>
      <c r="P251" s="453">
        <v>119047</v>
      </c>
      <c r="Q251" s="453"/>
      <c r="R251" s="453"/>
      <c r="S251" s="452">
        <v>193279</v>
      </c>
      <c r="T251" s="452"/>
      <c r="U251" s="453">
        <v>0</v>
      </c>
      <c r="V251" s="453"/>
      <c r="W251" s="295">
        <v>61.88</v>
      </c>
      <c r="X251" s="291"/>
    </row>
    <row r="252" spans="1:24" ht="12">
      <c r="A252" s="454" t="s">
        <v>33</v>
      </c>
      <c r="B252" s="454"/>
      <c r="C252" s="454"/>
      <c r="D252" s="454" t="s">
        <v>361</v>
      </c>
      <c r="E252" s="454"/>
      <c r="F252" s="454"/>
      <c r="G252" s="294" t="s">
        <v>344</v>
      </c>
      <c r="H252" s="454" t="s">
        <v>362</v>
      </c>
      <c r="I252" s="454"/>
      <c r="J252" s="452">
        <v>810677</v>
      </c>
      <c r="K252" s="452"/>
      <c r="L252" s="452"/>
      <c r="M252" s="452"/>
      <c r="N252" s="452">
        <v>709257.43</v>
      </c>
      <c r="O252" s="452"/>
      <c r="P252" s="453">
        <v>101419.57</v>
      </c>
      <c r="Q252" s="453"/>
      <c r="R252" s="453"/>
      <c r="S252" s="452">
        <v>713697.43</v>
      </c>
      <c r="T252" s="452"/>
      <c r="U252" s="453">
        <v>-4440</v>
      </c>
      <c r="V252" s="453"/>
      <c r="W252" s="295">
        <v>88.04</v>
      </c>
      <c r="X252" s="291"/>
    </row>
    <row r="253" spans="1:24" ht="10.5">
      <c r="A253" s="296"/>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1"/>
    </row>
    <row r="254" spans="1:24" ht="11.25">
      <c r="A254" s="291"/>
      <c r="B254" s="291"/>
      <c r="C254" s="291"/>
      <c r="D254" s="291"/>
      <c r="E254" s="291"/>
      <c r="F254" s="291"/>
      <c r="G254" s="291"/>
      <c r="H254" s="291"/>
      <c r="I254" s="291"/>
      <c r="J254" s="451">
        <v>6274533.33</v>
      </c>
      <c r="K254" s="451"/>
      <c r="L254" s="451"/>
      <c r="M254" s="451"/>
      <c r="N254" s="451">
        <v>3730279.43</v>
      </c>
      <c r="O254" s="451"/>
      <c r="P254" s="451">
        <v>2544253.9</v>
      </c>
      <c r="Q254" s="451"/>
      <c r="R254" s="451"/>
      <c r="S254" s="451">
        <v>3845811.43</v>
      </c>
      <c r="T254" s="451"/>
      <c r="U254" s="451">
        <v>-115532</v>
      </c>
      <c r="V254" s="451"/>
      <c r="W254" s="291"/>
      <c r="X254" s="291"/>
    </row>
    <row r="255" spans="1:24" ht="12">
      <c r="A255" s="291"/>
      <c r="B255" s="430" t="s">
        <v>331</v>
      </c>
      <c r="C255" s="430"/>
      <c r="D255" s="455" t="s">
        <v>187</v>
      </c>
      <c r="E255" s="455"/>
      <c r="F255" s="455"/>
      <c r="G255" s="455"/>
      <c r="H255" s="455"/>
      <c r="I255" s="455"/>
      <c r="J255" s="455"/>
      <c r="K255" s="455"/>
      <c r="L255" s="455"/>
      <c r="M255" s="455"/>
      <c r="N255" s="291"/>
      <c r="O255" s="291"/>
      <c r="P255" s="291"/>
      <c r="Q255" s="291"/>
      <c r="R255" s="291"/>
      <c r="S255" s="291"/>
      <c r="T255" s="291"/>
      <c r="U255" s="291"/>
      <c r="V255" s="291"/>
      <c r="W255" s="291"/>
      <c r="X255" s="291"/>
    </row>
    <row r="256" spans="1:24" ht="12">
      <c r="A256" s="430" t="s">
        <v>332</v>
      </c>
      <c r="B256" s="430"/>
      <c r="C256" s="291"/>
      <c r="D256" s="291"/>
      <c r="E256" s="456" t="s">
        <v>333</v>
      </c>
      <c r="F256" s="456"/>
      <c r="G256" s="456"/>
      <c r="H256" s="456"/>
      <c r="I256" s="456"/>
      <c r="J256" s="449" t="s">
        <v>3</v>
      </c>
      <c r="K256" s="449"/>
      <c r="L256" s="449"/>
      <c r="M256" s="449"/>
      <c r="N256" s="449" t="s">
        <v>334</v>
      </c>
      <c r="O256" s="449"/>
      <c r="P256" s="428" t="s">
        <v>335</v>
      </c>
      <c r="Q256" s="428"/>
      <c r="R256" s="291"/>
      <c r="S256" s="449" t="s">
        <v>336</v>
      </c>
      <c r="T256" s="449"/>
      <c r="U256" s="291"/>
      <c r="V256" s="292" t="s">
        <v>337</v>
      </c>
      <c r="W256" s="292" t="s">
        <v>338</v>
      </c>
      <c r="X256" s="291"/>
    </row>
    <row r="257" spans="1:24" ht="12">
      <c r="A257" s="430"/>
      <c r="B257" s="430"/>
      <c r="C257" s="291"/>
      <c r="D257" s="291"/>
      <c r="E257" s="430" t="s">
        <v>339</v>
      </c>
      <c r="F257" s="430"/>
      <c r="G257" s="430"/>
      <c r="H257" s="430"/>
      <c r="I257" s="430"/>
      <c r="J257" s="428" t="s">
        <v>340</v>
      </c>
      <c r="K257" s="428"/>
      <c r="L257" s="428"/>
      <c r="M257" s="428"/>
      <c r="N257" s="428" t="s">
        <v>341</v>
      </c>
      <c r="O257" s="428"/>
      <c r="P257" s="428"/>
      <c r="Q257" s="428"/>
      <c r="R257" s="291"/>
      <c r="S257" s="428" t="s">
        <v>341</v>
      </c>
      <c r="T257" s="428"/>
      <c r="U257" s="291"/>
      <c r="V257" s="293" t="s">
        <v>342</v>
      </c>
      <c r="W257" s="293" t="s">
        <v>336</v>
      </c>
      <c r="X257" s="291"/>
    </row>
    <row r="258" spans="1:24" ht="12">
      <c r="A258" s="454" t="s">
        <v>23</v>
      </c>
      <c r="B258" s="454"/>
      <c r="C258" s="454"/>
      <c r="D258" s="454" t="s">
        <v>361</v>
      </c>
      <c r="E258" s="454"/>
      <c r="F258" s="454"/>
      <c r="G258" s="294" t="s">
        <v>344</v>
      </c>
      <c r="H258" s="454" t="s">
        <v>362</v>
      </c>
      <c r="I258" s="454"/>
      <c r="J258" s="452">
        <v>131150</v>
      </c>
      <c r="K258" s="452"/>
      <c r="L258" s="452"/>
      <c r="M258" s="452"/>
      <c r="N258" s="452">
        <v>78054.83</v>
      </c>
      <c r="O258" s="452"/>
      <c r="P258" s="453">
        <v>53095.17</v>
      </c>
      <c r="Q258" s="453"/>
      <c r="R258" s="453"/>
      <c r="S258" s="452">
        <v>78054.83</v>
      </c>
      <c r="T258" s="452"/>
      <c r="U258" s="453">
        <v>0</v>
      </c>
      <c r="V258" s="453"/>
      <c r="W258" s="295">
        <v>59.52</v>
      </c>
      <c r="X258" s="291"/>
    </row>
    <row r="259" spans="1:24" ht="12">
      <c r="A259" s="454" t="s">
        <v>24</v>
      </c>
      <c r="B259" s="454"/>
      <c r="C259" s="454"/>
      <c r="D259" s="454" t="s">
        <v>361</v>
      </c>
      <c r="E259" s="454"/>
      <c r="F259" s="454"/>
      <c r="G259" s="294" t="s">
        <v>344</v>
      </c>
      <c r="H259" s="454" t="s">
        <v>362</v>
      </c>
      <c r="I259" s="454"/>
      <c r="J259" s="452">
        <v>59421.08</v>
      </c>
      <c r="K259" s="452"/>
      <c r="L259" s="452"/>
      <c r="M259" s="452"/>
      <c r="N259" s="452">
        <v>13656.75</v>
      </c>
      <c r="O259" s="452"/>
      <c r="P259" s="453">
        <v>45764.33</v>
      </c>
      <c r="Q259" s="453"/>
      <c r="R259" s="453"/>
      <c r="S259" s="452">
        <v>13656.75</v>
      </c>
      <c r="T259" s="452"/>
      <c r="U259" s="453">
        <v>0</v>
      </c>
      <c r="V259" s="453"/>
      <c r="W259" s="295">
        <v>22.98</v>
      </c>
      <c r="X259" s="291"/>
    </row>
    <row r="260" spans="1:24" ht="12">
      <c r="A260" s="454" t="s">
        <v>25</v>
      </c>
      <c r="B260" s="454"/>
      <c r="C260" s="454"/>
      <c r="D260" s="454" t="s">
        <v>361</v>
      </c>
      <c r="E260" s="454"/>
      <c r="F260" s="454"/>
      <c r="G260" s="294" t="s">
        <v>344</v>
      </c>
      <c r="H260" s="454" t="s">
        <v>362</v>
      </c>
      <c r="I260" s="454"/>
      <c r="J260" s="452">
        <v>50662</v>
      </c>
      <c r="K260" s="452"/>
      <c r="L260" s="452"/>
      <c r="M260" s="452"/>
      <c r="N260" s="452">
        <v>8336</v>
      </c>
      <c r="O260" s="452"/>
      <c r="P260" s="453">
        <v>42326</v>
      </c>
      <c r="Q260" s="453"/>
      <c r="R260" s="453"/>
      <c r="S260" s="452">
        <v>8336</v>
      </c>
      <c r="T260" s="452"/>
      <c r="U260" s="453">
        <v>0</v>
      </c>
      <c r="V260" s="453"/>
      <c r="W260" s="295">
        <v>16.45</v>
      </c>
      <c r="X260" s="291"/>
    </row>
    <row r="261" spans="1:24" ht="12">
      <c r="A261" s="454" t="s">
        <v>26</v>
      </c>
      <c r="B261" s="454"/>
      <c r="C261" s="454"/>
      <c r="D261" s="454" t="s">
        <v>361</v>
      </c>
      <c r="E261" s="454"/>
      <c r="F261" s="454"/>
      <c r="G261" s="294" t="s">
        <v>344</v>
      </c>
      <c r="H261" s="454" t="s">
        <v>362</v>
      </c>
      <c r="I261" s="454"/>
      <c r="J261" s="452">
        <v>3726</v>
      </c>
      <c r="K261" s="452"/>
      <c r="L261" s="452"/>
      <c r="M261" s="452"/>
      <c r="N261" s="452">
        <v>1862</v>
      </c>
      <c r="O261" s="452"/>
      <c r="P261" s="453">
        <v>1864</v>
      </c>
      <c r="Q261" s="453"/>
      <c r="R261" s="453"/>
      <c r="S261" s="452">
        <v>1862</v>
      </c>
      <c r="T261" s="452"/>
      <c r="U261" s="453">
        <v>0</v>
      </c>
      <c r="V261" s="453"/>
      <c r="W261" s="295">
        <v>49.97</v>
      </c>
      <c r="X261" s="291"/>
    </row>
    <row r="262" spans="1:24" ht="12">
      <c r="A262" s="454" t="s">
        <v>27</v>
      </c>
      <c r="B262" s="454"/>
      <c r="C262" s="454"/>
      <c r="D262" s="454" t="s">
        <v>361</v>
      </c>
      <c r="E262" s="454"/>
      <c r="F262" s="454"/>
      <c r="G262" s="294" t="s">
        <v>344</v>
      </c>
      <c r="H262" s="454" t="s">
        <v>362</v>
      </c>
      <c r="I262" s="454"/>
      <c r="J262" s="452">
        <v>224133</v>
      </c>
      <c r="K262" s="452"/>
      <c r="L262" s="452"/>
      <c r="M262" s="452"/>
      <c r="N262" s="452">
        <v>129084</v>
      </c>
      <c r="O262" s="452"/>
      <c r="P262" s="453">
        <v>95049</v>
      </c>
      <c r="Q262" s="453"/>
      <c r="R262" s="453"/>
      <c r="S262" s="452">
        <v>129084</v>
      </c>
      <c r="T262" s="452"/>
      <c r="U262" s="453">
        <v>0</v>
      </c>
      <c r="V262" s="453"/>
      <c r="W262" s="295">
        <v>57.59</v>
      </c>
      <c r="X262" s="291"/>
    </row>
    <row r="263" spans="1:24" ht="12">
      <c r="A263" s="454" t="s">
        <v>165</v>
      </c>
      <c r="B263" s="454"/>
      <c r="C263" s="454"/>
      <c r="D263" s="454" t="s">
        <v>361</v>
      </c>
      <c r="E263" s="454"/>
      <c r="F263" s="454"/>
      <c r="G263" s="294" t="s">
        <v>344</v>
      </c>
      <c r="H263" s="454" t="s">
        <v>362</v>
      </c>
      <c r="I263" s="454"/>
      <c r="J263" s="452">
        <v>58774</v>
      </c>
      <c r="K263" s="452"/>
      <c r="L263" s="452"/>
      <c r="M263" s="452"/>
      <c r="N263" s="452">
        <v>54328</v>
      </c>
      <c r="O263" s="452"/>
      <c r="P263" s="453">
        <v>4446</v>
      </c>
      <c r="Q263" s="453"/>
      <c r="R263" s="453"/>
      <c r="S263" s="452">
        <v>54328</v>
      </c>
      <c r="T263" s="452"/>
      <c r="U263" s="453">
        <v>0</v>
      </c>
      <c r="V263" s="453"/>
      <c r="W263" s="295">
        <v>92.44</v>
      </c>
      <c r="X263" s="291"/>
    </row>
    <row r="264" spans="1:24" ht="12">
      <c r="A264" s="454" t="s">
        <v>37</v>
      </c>
      <c r="B264" s="454"/>
      <c r="C264" s="454"/>
      <c r="D264" s="454" t="s">
        <v>361</v>
      </c>
      <c r="E264" s="454"/>
      <c r="F264" s="454"/>
      <c r="G264" s="294" t="s">
        <v>344</v>
      </c>
      <c r="H264" s="454" t="s">
        <v>362</v>
      </c>
      <c r="I264" s="454"/>
      <c r="J264" s="452">
        <v>15578.33</v>
      </c>
      <c r="K264" s="452"/>
      <c r="L264" s="452"/>
      <c r="M264" s="452"/>
      <c r="N264" s="452">
        <v>6622</v>
      </c>
      <c r="O264" s="452"/>
      <c r="P264" s="453">
        <v>8956.33</v>
      </c>
      <c r="Q264" s="453"/>
      <c r="R264" s="453"/>
      <c r="S264" s="452">
        <v>7998</v>
      </c>
      <c r="T264" s="452"/>
      <c r="U264" s="453">
        <v>-1376</v>
      </c>
      <c r="V264" s="453"/>
      <c r="W264" s="295">
        <v>51.34</v>
      </c>
      <c r="X264" s="291"/>
    </row>
    <row r="265" spans="1:24" ht="12">
      <c r="A265" s="454" t="s">
        <v>28</v>
      </c>
      <c r="B265" s="454"/>
      <c r="C265" s="454"/>
      <c r="D265" s="454" t="s">
        <v>361</v>
      </c>
      <c r="E265" s="454"/>
      <c r="F265" s="454"/>
      <c r="G265" s="294" t="s">
        <v>344</v>
      </c>
      <c r="H265" s="454" t="s">
        <v>362</v>
      </c>
      <c r="I265" s="454"/>
      <c r="J265" s="452">
        <v>10019</v>
      </c>
      <c r="K265" s="452"/>
      <c r="L265" s="452"/>
      <c r="M265" s="452"/>
      <c r="N265" s="452">
        <v>9208</v>
      </c>
      <c r="O265" s="452"/>
      <c r="P265" s="453">
        <v>811</v>
      </c>
      <c r="Q265" s="453"/>
      <c r="R265" s="453"/>
      <c r="S265" s="452">
        <v>9208</v>
      </c>
      <c r="T265" s="452"/>
      <c r="U265" s="453">
        <v>0</v>
      </c>
      <c r="V265" s="453"/>
      <c r="W265" s="295">
        <v>91.91</v>
      </c>
      <c r="X265" s="291"/>
    </row>
    <row r="266" spans="1:24" ht="12">
      <c r="A266" s="454" t="s">
        <v>29</v>
      </c>
      <c r="B266" s="454"/>
      <c r="C266" s="454"/>
      <c r="D266" s="454" t="s">
        <v>361</v>
      </c>
      <c r="E266" s="454"/>
      <c r="F266" s="454"/>
      <c r="G266" s="294" t="s">
        <v>344</v>
      </c>
      <c r="H266" s="454" t="s">
        <v>362</v>
      </c>
      <c r="I266" s="454"/>
      <c r="J266" s="452">
        <v>213873</v>
      </c>
      <c r="K266" s="452"/>
      <c r="L266" s="452"/>
      <c r="M266" s="452"/>
      <c r="N266" s="452">
        <v>75415.18</v>
      </c>
      <c r="O266" s="452"/>
      <c r="P266" s="453">
        <v>138457.82</v>
      </c>
      <c r="Q266" s="453"/>
      <c r="R266" s="453"/>
      <c r="S266" s="452">
        <v>91112.51</v>
      </c>
      <c r="T266" s="452"/>
      <c r="U266" s="453">
        <v>-15697.33</v>
      </c>
      <c r="V266" s="453"/>
      <c r="W266" s="295">
        <v>42.6</v>
      </c>
      <c r="X266" s="291"/>
    </row>
    <row r="267" spans="1:24" ht="12">
      <c r="A267" s="454" t="s">
        <v>30</v>
      </c>
      <c r="B267" s="454"/>
      <c r="C267" s="454"/>
      <c r="D267" s="454" t="s">
        <v>361</v>
      </c>
      <c r="E267" s="454"/>
      <c r="F267" s="454"/>
      <c r="G267" s="294" t="s">
        <v>344</v>
      </c>
      <c r="H267" s="454" t="s">
        <v>362</v>
      </c>
      <c r="I267" s="454"/>
      <c r="J267" s="452">
        <v>44270</v>
      </c>
      <c r="K267" s="452"/>
      <c r="L267" s="452"/>
      <c r="M267" s="452"/>
      <c r="N267" s="452">
        <v>13000</v>
      </c>
      <c r="O267" s="452"/>
      <c r="P267" s="453">
        <v>31270</v>
      </c>
      <c r="Q267" s="453"/>
      <c r="R267" s="453"/>
      <c r="S267" s="452">
        <v>13836</v>
      </c>
      <c r="T267" s="452"/>
      <c r="U267" s="453">
        <v>-836</v>
      </c>
      <c r="V267" s="453"/>
      <c r="W267" s="295">
        <v>31.25</v>
      </c>
      <c r="X267" s="291"/>
    </row>
    <row r="268" spans="1:24" ht="12">
      <c r="A268" s="454" t="s">
        <v>31</v>
      </c>
      <c r="B268" s="454"/>
      <c r="C268" s="454"/>
      <c r="D268" s="454" t="s">
        <v>361</v>
      </c>
      <c r="E268" s="454"/>
      <c r="F268" s="454"/>
      <c r="G268" s="294" t="s">
        <v>344</v>
      </c>
      <c r="H268" s="454" t="s">
        <v>362</v>
      </c>
      <c r="I268" s="454"/>
      <c r="J268" s="452">
        <v>157205</v>
      </c>
      <c r="K268" s="452"/>
      <c r="L268" s="452"/>
      <c r="M268" s="452"/>
      <c r="N268" s="452">
        <v>62929</v>
      </c>
      <c r="O268" s="452"/>
      <c r="P268" s="453">
        <v>94276</v>
      </c>
      <c r="Q268" s="453"/>
      <c r="R268" s="453"/>
      <c r="S268" s="452">
        <v>68119</v>
      </c>
      <c r="T268" s="452"/>
      <c r="U268" s="453">
        <v>-5190</v>
      </c>
      <c r="V268" s="453"/>
      <c r="W268" s="295">
        <v>43.33</v>
      </c>
      <c r="X268" s="291"/>
    </row>
    <row r="269" spans="1:24" ht="12">
      <c r="A269" s="454" t="s">
        <v>32</v>
      </c>
      <c r="B269" s="454"/>
      <c r="C269" s="454"/>
      <c r="D269" s="454" t="s">
        <v>361</v>
      </c>
      <c r="E269" s="454"/>
      <c r="F269" s="454"/>
      <c r="G269" s="294" t="s">
        <v>344</v>
      </c>
      <c r="H269" s="454" t="s">
        <v>362</v>
      </c>
      <c r="I269" s="454"/>
      <c r="J269" s="452">
        <v>43870</v>
      </c>
      <c r="K269" s="452"/>
      <c r="L269" s="452"/>
      <c r="M269" s="452"/>
      <c r="N269" s="452">
        <v>40072</v>
      </c>
      <c r="O269" s="452"/>
      <c r="P269" s="453">
        <v>3798</v>
      </c>
      <c r="Q269" s="453"/>
      <c r="R269" s="453"/>
      <c r="S269" s="452">
        <v>40072</v>
      </c>
      <c r="T269" s="452"/>
      <c r="U269" s="453">
        <v>0</v>
      </c>
      <c r="V269" s="453"/>
      <c r="W269" s="295">
        <v>91.34</v>
      </c>
      <c r="X269" s="291"/>
    </row>
    <row r="270" spans="1:24" ht="12">
      <c r="A270" s="454" t="s">
        <v>33</v>
      </c>
      <c r="B270" s="454"/>
      <c r="C270" s="454"/>
      <c r="D270" s="454" t="s">
        <v>361</v>
      </c>
      <c r="E270" s="454"/>
      <c r="F270" s="454"/>
      <c r="G270" s="294" t="s">
        <v>344</v>
      </c>
      <c r="H270" s="454" t="s">
        <v>362</v>
      </c>
      <c r="I270" s="454"/>
      <c r="J270" s="452">
        <v>122132</v>
      </c>
      <c r="K270" s="452"/>
      <c r="L270" s="452"/>
      <c r="M270" s="452"/>
      <c r="N270" s="452">
        <v>54410</v>
      </c>
      <c r="O270" s="452"/>
      <c r="P270" s="453">
        <v>67722</v>
      </c>
      <c r="Q270" s="453"/>
      <c r="R270" s="453"/>
      <c r="S270" s="452">
        <v>54410</v>
      </c>
      <c r="T270" s="452"/>
      <c r="U270" s="453">
        <v>0</v>
      </c>
      <c r="V270" s="453"/>
      <c r="W270" s="295">
        <v>44.55</v>
      </c>
      <c r="X270" s="291"/>
    </row>
    <row r="271" spans="1:24" ht="10.5">
      <c r="A271" s="296"/>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1"/>
    </row>
    <row r="272" spans="1:24" ht="12" thickBot="1">
      <c r="A272" s="291"/>
      <c r="B272" s="291"/>
      <c r="C272" s="291"/>
      <c r="D272" s="291"/>
      <c r="E272" s="291"/>
      <c r="F272" s="291"/>
      <c r="G272" s="291"/>
      <c r="H272" s="291"/>
      <c r="I272" s="291"/>
      <c r="J272" s="451">
        <v>1134813.41</v>
      </c>
      <c r="K272" s="451"/>
      <c r="L272" s="451"/>
      <c r="M272" s="451"/>
      <c r="N272" s="451">
        <v>546977.76</v>
      </c>
      <c r="O272" s="451"/>
      <c r="P272" s="451">
        <v>587835.65</v>
      </c>
      <c r="Q272" s="451"/>
      <c r="R272" s="451"/>
      <c r="S272" s="451">
        <v>570077.09</v>
      </c>
      <c r="T272" s="451"/>
      <c r="U272" s="451">
        <v>-23099.33</v>
      </c>
      <c r="V272" s="451"/>
      <c r="W272" s="291"/>
      <c r="X272" s="291"/>
    </row>
    <row r="273" spans="1:24" ht="11.25" thickTop="1">
      <c r="A273" s="297"/>
      <c r="B273" s="297"/>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1"/>
    </row>
    <row r="274" spans="1:24" ht="12">
      <c r="A274" s="449" t="s">
        <v>365</v>
      </c>
      <c r="B274" s="449"/>
      <c r="C274" s="449"/>
      <c r="D274" s="449"/>
      <c r="E274" s="449"/>
      <c r="F274" s="449"/>
      <c r="G274" s="449"/>
      <c r="H274" s="449"/>
      <c r="I274" s="291"/>
      <c r="J274" s="450">
        <v>8206545.3</v>
      </c>
      <c r="K274" s="450"/>
      <c r="L274" s="450"/>
      <c r="M274" s="450"/>
      <c r="N274" s="450">
        <v>4570686.35</v>
      </c>
      <c r="O274" s="450"/>
      <c r="P274" s="451">
        <v>3635858.95</v>
      </c>
      <c r="Q274" s="451"/>
      <c r="R274" s="451"/>
      <c r="S274" s="450">
        <v>4723654.73</v>
      </c>
      <c r="T274" s="450"/>
      <c r="U274" s="450">
        <v>-152968.38</v>
      </c>
      <c r="V274" s="450"/>
      <c r="W274" s="291"/>
      <c r="X274" s="291"/>
    </row>
    <row r="275" spans="1:24" ht="12">
      <c r="A275" s="430" t="s">
        <v>329</v>
      </c>
      <c r="B275" s="430"/>
      <c r="C275" s="455" t="s">
        <v>366</v>
      </c>
      <c r="D275" s="455"/>
      <c r="E275" s="455"/>
      <c r="F275" s="455"/>
      <c r="G275" s="455"/>
      <c r="H275" s="455"/>
      <c r="I275" s="455"/>
      <c r="J275" s="455"/>
      <c r="K275" s="455"/>
      <c r="L275" s="291"/>
      <c r="M275" s="291"/>
      <c r="N275" s="291"/>
      <c r="O275" s="291"/>
      <c r="P275" s="291"/>
      <c r="Q275" s="291"/>
      <c r="R275" s="291"/>
      <c r="S275" s="291"/>
      <c r="T275" s="291"/>
      <c r="U275" s="291"/>
      <c r="V275" s="291"/>
      <c r="W275" s="291"/>
      <c r="X275" s="291"/>
    </row>
    <row r="276" spans="1:24" ht="10.5">
      <c r="A276" s="430"/>
      <c r="B276" s="430"/>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row>
    <row r="277" spans="1:24" ht="12">
      <c r="A277" s="291"/>
      <c r="B277" s="430" t="s">
        <v>331</v>
      </c>
      <c r="C277" s="430"/>
      <c r="D277" s="455" t="s">
        <v>44</v>
      </c>
      <c r="E277" s="455"/>
      <c r="F277" s="455"/>
      <c r="G277" s="455"/>
      <c r="H277" s="455"/>
      <c r="I277" s="455"/>
      <c r="J277" s="455"/>
      <c r="K277" s="455"/>
      <c r="L277" s="455"/>
      <c r="M277" s="455"/>
      <c r="N277" s="291"/>
      <c r="O277" s="291"/>
      <c r="P277" s="291"/>
      <c r="Q277" s="291"/>
      <c r="R277" s="291"/>
      <c r="S277" s="291"/>
      <c r="T277" s="291"/>
      <c r="U277" s="291"/>
      <c r="V277" s="291"/>
      <c r="W277" s="291"/>
      <c r="X277" s="291"/>
    </row>
    <row r="278" spans="1:24" ht="12">
      <c r="A278" s="430" t="s">
        <v>332</v>
      </c>
      <c r="B278" s="430"/>
      <c r="C278" s="291"/>
      <c r="D278" s="291"/>
      <c r="E278" s="456" t="s">
        <v>333</v>
      </c>
      <c r="F278" s="456"/>
      <c r="G278" s="456"/>
      <c r="H278" s="456"/>
      <c r="I278" s="456"/>
      <c r="J278" s="449" t="s">
        <v>3</v>
      </c>
      <c r="K278" s="449"/>
      <c r="L278" s="449"/>
      <c r="M278" s="449"/>
      <c r="N278" s="449" t="s">
        <v>334</v>
      </c>
      <c r="O278" s="449"/>
      <c r="P278" s="428" t="s">
        <v>335</v>
      </c>
      <c r="Q278" s="428"/>
      <c r="R278" s="291"/>
      <c r="S278" s="449" t="s">
        <v>336</v>
      </c>
      <c r="T278" s="449"/>
      <c r="U278" s="291"/>
      <c r="V278" s="292" t="s">
        <v>337</v>
      </c>
      <c r="W278" s="292" t="s">
        <v>338</v>
      </c>
      <c r="X278" s="291"/>
    </row>
    <row r="279" spans="1:24" ht="12">
      <c r="A279" s="430"/>
      <c r="B279" s="430"/>
      <c r="C279" s="291"/>
      <c r="D279" s="291"/>
      <c r="E279" s="430" t="s">
        <v>339</v>
      </c>
      <c r="F279" s="430"/>
      <c r="G279" s="430"/>
      <c r="H279" s="430"/>
      <c r="I279" s="430"/>
      <c r="J279" s="428" t="s">
        <v>340</v>
      </c>
      <c r="K279" s="428"/>
      <c r="L279" s="428"/>
      <c r="M279" s="428"/>
      <c r="N279" s="428" t="s">
        <v>341</v>
      </c>
      <c r="O279" s="428"/>
      <c r="P279" s="428"/>
      <c r="Q279" s="428"/>
      <c r="R279" s="291"/>
      <c r="S279" s="428" t="s">
        <v>341</v>
      </c>
      <c r="T279" s="428"/>
      <c r="U279" s="291"/>
      <c r="V279" s="293" t="s">
        <v>342</v>
      </c>
      <c r="W279" s="293" t="s">
        <v>336</v>
      </c>
      <c r="X279" s="291"/>
    </row>
    <row r="280" spans="1:24" ht="12">
      <c r="A280" s="454" t="s">
        <v>34</v>
      </c>
      <c r="B280" s="454"/>
      <c r="C280" s="454"/>
      <c r="D280" s="454" t="s">
        <v>361</v>
      </c>
      <c r="E280" s="454"/>
      <c r="F280" s="454"/>
      <c r="G280" s="294" t="s">
        <v>344</v>
      </c>
      <c r="H280" s="454" t="s">
        <v>362</v>
      </c>
      <c r="I280" s="454"/>
      <c r="J280" s="452">
        <v>314027</v>
      </c>
      <c r="K280" s="452"/>
      <c r="L280" s="452"/>
      <c r="M280" s="452"/>
      <c r="N280" s="452">
        <v>165191</v>
      </c>
      <c r="O280" s="452"/>
      <c r="P280" s="453">
        <v>148836</v>
      </c>
      <c r="Q280" s="453"/>
      <c r="R280" s="453"/>
      <c r="S280" s="452">
        <v>165191</v>
      </c>
      <c r="T280" s="452"/>
      <c r="U280" s="453">
        <v>0</v>
      </c>
      <c r="V280" s="453"/>
      <c r="W280" s="295">
        <v>52.6</v>
      </c>
      <c r="X280" s="291"/>
    </row>
    <row r="281" spans="1:24" ht="12">
      <c r="A281" s="454" t="s">
        <v>25</v>
      </c>
      <c r="B281" s="454"/>
      <c r="C281" s="454"/>
      <c r="D281" s="454" t="s">
        <v>361</v>
      </c>
      <c r="E281" s="454"/>
      <c r="F281" s="454"/>
      <c r="G281" s="294" t="s">
        <v>344</v>
      </c>
      <c r="H281" s="454" t="s">
        <v>362</v>
      </c>
      <c r="I281" s="454"/>
      <c r="J281" s="452">
        <v>301</v>
      </c>
      <c r="K281" s="452"/>
      <c r="L281" s="452"/>
      <c r="M281" s="452"/>
      <c r="N281" s="452">
        <v>0</v>
      </c>
      <c r="O281" s="452"/>
      <c r="P281" s="453">
        <v>301</v>
      </c>
      <c r="Q281" s="453"/>
      <c r="R281" s="453"/>
      <c r="S281" s="452">
        <v>0</v>
      </c>
      <c r="T281" s="452"/>
      <c r="U281" s="453">
        <v>0</v>
      </c>
      <c r="V281" s="453"/>
      <c r="W281" s="295">
        <v>0</v>
      </c>
      <c r="X281" s="291"/>
    </row>
    <row r="282" spans="1:24" ht="12">
      <c r="A282" s="454" t="s">
        <v>35</v>
      </c>
      <c r="B282" s="454"/>
      <c r="C282" s="454"/>
      <c r="D282" s="454" t="s">
        <v>361</v>
      </c>
      <c r="E282" s="454"/>
      <c r="F282" s="454"/>
      <c r="G282" s="294" t="s">
        <v>344</v>
      </c>
      <c r="H282" s="454" t="s">
        <v>362</v>
      </c>
      <c r="I282" s="454"/>
      <c r="J282" s="452">
        <v>240147.74</v>
      </c>
      <c r="K282" s="452"/>
      <c r="L282" s="452"/>
      <c r="M282" s="452"/>
      <c r="N282" s="452">
        <v>48416.4</v>
      </c>
      <c r="O282" s="452"/>
      <c r="P282" s="453">
        <v>191731.34</v>
      </c>
      <c r="Q282" s="453"/>
      <c r="R282" s="453"/>
      <c r="S282" s="452">
        <v>48416.4</v>
      </c>
      <c r="T282" s="452"/>
      <c r="U282" s="453">
        <v>0</v>
      </c>
      <c r="V282" s="453"/>
      <c r="W282" s="295">
        <v>20.16</v>
      </c>
      <c r="X282" s="291"/>
    </row>
    <row r="283" spans="1:24" ht="12">
      <c r="A283" s="454" t="s">
        <v>28</v>
      </c>
      <c r="B283" s="454"/>
      <c r="C283" s="454"/>
      <c r="D283" s="454" t="s">
        <v>361</v>
      </c>
      <c r="E283" s="454"/>
      <c r="F283" s="454"/>
      <c r="G283" s="294" t="s">
        <v>344</v>
      </c>
      <c r="H283" s="454" t="s">
        <v>362</v>
      </c>
      <c r="I283" s="454"/>
      <c r="J283" s="452">
        <v>127</v>
      </c>
      <c r="K283" s="452"/>
      <c r="L283" s="452"/>
      <c r="M283" s="452"/>
      <c r="N283" s="452">
        <v>0</v>
      </c>
      <c r="O283" s="452"/>
      <c r="P283" s="453">
        <v>127</v>
      </c>
      <c r="Q283" s="453"/>
      <c r="R283" s="453"/>
      <c r="S283" s="452">
        <v>0</v>
      </c>
      <c r="T283" s="452"/>
      <c r="U283" s="453">
        <v>0</v>
      </c>
      <c r="V283" s="453"/>
      <c r="W283" s="295">
        <v>0</v>
      </c>
      <c r="X283" s="291"/>
    </row>
    <row r="284" spans="1:24" ht="12">
      <c r="A284" s="454" t="s">
        <v>29</v>
      </c>
      <c r="B284" s="454"/>
      <c r="C284" s="454"/>
      <c r="D284" s="454" t="s">
        <v>361</v>
      </c>
      <c r="E284" s="454"/>
      <c r="F284" s="454"/>
      <c r="G284" s="294" t="s">
        <v>344</v>
      </c>
      <c r="H284" s="454" t="s">
        <v>362</v>
      </c>
      <c r="I284" s="454"/>
      <c r="J284" s="452">
        <v>451473.52</v>
      </c>
      <c r="K284" s="452"/>
      <c r="L284" s="452"/>
      <c r="M284" s="452"/>
      <c r="N284" s="452">
        <v>130877.6</v>
      </c>
      <c r="O284" s="452"/>
      <c r="P284" s="453">
        <v>320595.92</v>
      </c>
      <c r="Q284" s="453"/>
      <c r="R284" s="453"/>
      <c r="S284" s="452">
        <v>155611.05</v>
      </c>
      <c r="T284" s="452"/>
      <c r="U284" s="453">
        <v>-24733.45</v>
      </c>
      <c r="V284" s="453"/>
      <c r="W284" s="295">
        <v>34.47</v>
      </c>
      <c r="X284" s="291"/>
    </row>
    <row r="285" spans="1:24" ht="12">
      <c r="A285" s="454" t="s">
        <v>30</v>
      </c>
      <c r="B285" s="454"/>
      <c r="C285" s="454"/>
      <c r="D285" s="454" t="s">
        <v>361</v>
      </c>
      <c r="E285" s="454"/>
      <c r="F285" s="454"/>
      <c r="G285" s="294" t="s">
        <v>344</v>
      </c>
      <c r="H285" s="454" t="s">
        <v>362</v>
      </c>
      <c r="I285" s="454"/>
      <c r="J285" s="452">
        <v>156039.84</v>
      </c>
      <c r="K285" s="452"/>
      <c r="L285" s="452"/>
      <c r="M285" s="452"/>
      <c r="N285" s="452">
        <v>33000</v>
      </c>
      <c r="O285" s="452"/>
      <c r="P285" s="453">
        <v>123039.84</v>
      </c>
      <c r="Q285" s="453"/>
      <c r="R285" s="453"/>
      <c r="S285" s="452">
        <v>32295</v>
      </c>
      <c r="T285" s="452"/>
      <c r="U285" s="453">
        <v>705</v>
      </c>
      <c r="V285" s="453"/>
      <c r="W285" s="295">
        <v>20.7</v>
      </c>
      <c r="X285" s="291"/>
    </row>
    <row r="286" spans="1:24" ht="12">
      <c r="A286" s="454" t="s">
        <v>36</v>
      </c>
      <c r="B286" s="454"/>
      <c r="C286" s="454"/>
      <c r="D286" s="454" t="s">
        <v>361</v>
      </c>
      <c r="E286" s="454"/>
      <c r="F286" s="454"/>
      <c r="G286" s="294" t="s">
        <v>344</v>
      </c>
      <c r="H286" s="454" t="s">
        <v>362</v>
      </c>
      <c r="I286" s="454"/>
      <c r="J286" s="452">
        <v>34857.65</v>
      </c>
      <c r="K286" s="452"/>
      <c r="L286" s="452"/>
      <c r="M286" s="452"/>
      <c r="N286" s="452">
        <v>23492</v>
      </c>
      <c r="O286" s="452"/>
      <c r="P286" s="453">
        <v>11365.65</v>
      </c>
      <c r="Q286" s="453"/>
      <c r="R286" s="453"/>
      <c r="S286" s="452">
        <v>23492</v>
      </c>
      <c r="T286" s="452"/>
      <c r="U286" s="453">
        <v>0</v>
      </c>
      <c r="V286" s="453"/>
      <c r="W286" s="295">
        <v>67.39</v>
      </c>
      <c r="X286" s="291"/>
    </row>
    <row r="287" spans="1:24" ht="10.5">
      <c r="A287" s="296"/>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1"/>
    </row>
    <row r="288" spans="1:24" ht="11.25">
      <c r="A288" s="291"/>
      <c r="B288" s="291"/>
      <c r="C288" s="291"/>
      <c r="D288" s="291"/>
      <c r="E288" s="291"/>
      <c r="F288" s="291"/>
      <c r="G288" s="291"/>
      <c r="H288" s="291"/>
      <c r="I288" s="291"/>
      <c r="J288" s="451">
        <v>1196973.75</v>
      </c>
      <c r="K288" s="451"/>
      <c r="L288" s="451"/>
      <c r="M288" s="451"/>
      <c r="N288" s="451">
        <v>400977</v>
      </c>
      <c r="O288" s="451"/>
      <c r="P288" s="451">
        <v>795996.75</v>
      </c>
      <c r="Q288" s="451"/>
      <c r="R288" s="451"/>
      <c r="S288" s="451">
        <v>425005.45</v>
      </c>
      <c r="T288" s="451"/>
      <c r="U288" s="451">
        <v>-24028.45</v>
      </c>
      <c r="V288" s="451"/>
      <c r="W288" s="291"/>
      <c r="X288" s="291"/>
    </row>
    <row r="289" spans="1:24" ht="12">
      <c r="A289" s="291"/>
      <c r="B289" s="430" t="s">
        <v>331</v>
      </c>
      <c r="C289" s="430"/>
      <c r="D289" s="455" t="s">
        <v>348</v>
      </c>
      <c r="E289" s="455"/>
      <c r="F289" s="455"/>
      <c r="G289" s="455"/>
      <c r="H289" s="455"/>
      <c r="I289" s="455"/>
      <c r="J289" s="455"/>
      <c r="K289" s="455"/>
      <c r="L289" s="455"/>
      <c r="M289" s="455"/>
      <c r="N289" s="291"/>
      <c r="O289" s="291"/>
      <c r="P289" s="291"/>
      <c r="Q289" s="291"/>
      <c r="R289" s="291"/>
      <c r="S289" s="291"/>
      <c r="T289" s="291"/>
      <c r="U289" s="291"/>
      <c r="V289" s="291"/>
      <c r="W289" s="291"/>
      <c r="X289" s="291"/>
    </row>
    <row r="290" spans="1:24" ht="12">
      <c r="A290" s="430" t="s">
        <v>332</v>
      </c>
      <c r="B290" s="430"/>
      <c r="C290" s="291"/>
      <c r="D290" s="291"/>
      <c r="E290" s="456" t="s">
        <v>333</v>
      </c>
      <c r="F290" s="456"/>
      <c r="G290" s="456"/>
      <c r="H290" s="456"/>
      <c r="I290" s="456"/>
      <c r="J290" s="449" t="s">
        <v>3</v>
      </c>
      <c r="K290" s="449"/>
      <c r="L290" s="449"/>
      <c r="M290" s="449"/>
      <c r="N290" s="449" t="s">
        <v>334</v>
      </c>
      <c r="O290" s="449"/>
      <c r="P290" s="428" t="s">
        <v>335</v>
      </c>
      <c r="Q290" s="428"/>
      <c r="R290" s="291"/>
      <c r="S290" s="449" t="s">
        <v>336</v>
      </c>
      <c r="T290" s="449"/>
      <c r="U290" s="291"/>
      <c r="V290" s="292" t="s">
        <v>337</v>
      </c>
      <c r="W290" s="292" t="s">
        <v>338</v>
      </c>
      <c r="X290" s="291"/>
    </row>
    <row r="291" spans="1:24" ht="12">
      <c r="A291" s="430"/>
      <c r="B291" s="430"/>
      <c r="C291" s="291"/>
      <c r="D291" s="291"/>
      <c r="E291" s="430" t="s">
        <v>339</v>
      </c>
      <c r="F291" s="430"/>
      <c r="G291" s="430"/>
      <c r="H291" s="430"/>
      <c r="I291" s="430"/>
      <c r="J291" s="428" t="s">
        <v>340</v>
      </c>
      <c r="K291" s="428"/>
      <c r="L291" s="428"/>
      <c r="M291" s="428"/>
      <c r="N291" s="428" t="s">
        <v>341</v>
      </c>
      <c r="O291" s="428"/>
      <c r="P291" s="428"/>
      <c r="Q291" s="428"/>
      <c r="R291" s="291"/>
      <c r="S291" s="428" t="s">
        <v>341</v>
      </c>
      <c r="T291" s="428"/>
      <c r="U291" s="291"/>
      <c r="V291" s="293" t="s">
        <v>342</v>
      </c>
      <c r="W291" s="293" t="s">
        <v>336</v>
      </c>
      <c r="X291" s="291"/>
    </row>
    <row r="292" spans="1:24" ht="12">
      <c r="A292" s="454" t="s">
        <v>34</v>
      </c>
      <c r="B292" s="454"/>
      <c r="C292" s="454"/>
      <c r="D292" s="454" t="s">
        <v>361</v>
      </c>
      <c r="E292" s="454"/>
      <c r="F292" s="454"/>
      <c r="G292" s="294" t="s">
        <v>344</v>
      </c>
      <c r="H292" s="454" t="s">
        <v>362</v>
      </c>
      <c r="I292" s="454"/>
      <c r="J292" s="452">
        <v>2356746</v>
      </c>
      <c r="K292" s="452"/>
      <c r="L292" s="452"/>
      <c r="M292" s="452"/>
      <c r="N292" s="452">
        <v>1539236</v>
      </c>
      <c r="O292" s="452"/>
      <c r="P292" s="453">
        <v>817510</v>
      </c>
      <c r="Q292" s="453"/>
      <c r="R292" s="453"/>
      <c r="S292" s="452">
        <v>1550152</v>
      </c>
      <c r="T292" s="452"/>
      <c r="U292" s="453">
        <v>-10916</v>
      </c>
      <c r="V292" s="453"/>
      <c r="W292" s="295">
        <v>65.78</v>
      </c>
      <c r="X292" s="291"/>
    </row>
    <row r="293" spans="1:24" ht="12">
      <c r="A293" s="454" t="s">
        <v>25</v>
      </c>
      <c r="B293" s="454"/>
      <c r="C293" s="454"/>
      <c r="D293" s="454" t="s">
        <v>361</v>
      </c>
      <c r="E293" s="454"/>
      <c r="F293" s="454"/>
      <c r="G293" s="294" t="s">
        <v>344</v>
      </c>
      <c r="H293" s="454" t="s">
        <v>362</v>
      </c>
      <c r="I293" s="454"/>
      <c r="J293" s="452">
        <v>2188</v>
      </c>
      <c r="K293" s="452"/>
      <c r="L293" s="452"/>
      <c r="M293" s="452"/>
      <c r="N293" s="452">
        <v>0</v>
      </c>
      <c r="O293" s="452"/>
      <c r="P293" s="453">
        <v>2188</v>
      </c>
      <c r="Q293" s="453"/>
      <c r="R293" s="453"/>
      <c r="S293" s="452">
        <v>0</v>
      </c>
      <c r="T293" s="452"/>
      <c r="U293" s="453">
        <v>0</v>
      </c>
      <c r="V293" s="453"/>
      <c r="W293" s="295">
        <v>0</v>
      </c>
      <c r="X293" s="291"/>
    </row>
    <row r="294" spans="1:24" ht="12">
      <c r="A294" s="454" t="s">
        <v>35</v>
      </c>
      <c r="B294" s="454"/>
      <c r="C294" s="454"/>
      <c r="D294" s="454" t="s">
        <v>361</v>
      </c>
      <c r="E294" s="454"/>
      <c r="F294" s="454"/>
      <c r="G294" s="294" t="s">
        <v>344</v>
      </c>
      <c r="H294" s="454" t="s">
        <v>362</v>
      </c>
      <c r="I294" s="454"/>
      <c r="J294" s="452">
        <v>1983002</v>
      </c>
      <c r="K294" s="452"/>
      <c r="L294" s="452"/>
      <c r="M294" s="452"/>
      <c r="N294" s="452">
        <v>1143119</v>
      </c>
      <c r="O294" s="452"/>
      <c r="P294" s="453">
        <v>839883</v>
      </c>
      <c r="Q294" s="453"/>
      <c r="R294" s="453"/>
      <c r="S294" s="452">
        <v>1143119</v>
      </c>
      <c r="T294" s="452"/>
      <c r="U294" s="453">
        <v>0</v>
      </c>
      <c r="V294" s="453"/>
      <c r="W294" s="295">
        <v>57.65</v>
      </c>
      <c r="X294" s="291"/>
    </row>
    <row r="295" spans="1:24" ht="12">
      <c r="A295" s="454" t="s">
        <v>28</v>
      </c>
      <c r="B295" s="454"/>
      <c r="C295" s="454"/>
      <c r="D295" s="454" t="s">
        <v>361</v>
      </c>
      <c r="E295" s="454"/>
      <c r="F295" s="454"/>
      <c r="G295" s="294" t="s">
        <v>344</v>
      </c>
      <c r="H295" s="454" t="s">
        <v>362</v>
      </c>
      <c r="I295" s="454"/>
      <c r="J295" s="452">
        <v>1021</v>
      </c>
      <c r="K295" s="452"/>
      <c r="L295" s="452"/>
      <c r="M295" s="452"/>
      <c r="N295" s="452">
        <v>0</v>
      </c>
      <c r="O295" s="452"/>
      <c r="P295" s="453">
        <v>1021</v>
      </c>
      <c r="Q295" s="453"/>
      <c r="R295" s="453"/>
      <c r="S295" s="452">
        <v>0</v>
      </c>
      <c r="T295" s="452"/>
      <c r="U295" s="453">
        <v>0</v>
      </c>
      <c r="V295" s="453"/>
      <c r="W295" s="295">
        <v>0</v>
      </c>
      <c r="X295" s="291"/>
    </row>
    <row r="296" spans="1:24" ht="12">
      <c r="A296" s="454" t="s">
        <v>29</v>
      </c>
      <c r="B296" s="454"/>
      <c r="C296" s="454"/>
      <c r="D296" s="454" t="s">
        <v>361</v>
      </c>
      <c r="E296" s="454"/>
      <c r="F296" s="454"/>
      <c r="G296" s="294" t="s">
        <v>344</v>
      </c>
      <c r="H296" s="454" t="s">
        <v>362</v>
      </c>
      <c r="I296" s="454"/>
      <c r="J296" s="452">
        <v>3381412</v>
      </c>
      <c r="K296" s="452"/>
      <c r="L296" s="452"/>
      <c r="M296" s="452"/>
      <c r="N296" s="452">
        <v>1317181</v>
      </c>
      <c r="O296" s="452"/>
      <c r="P296" s="453">
        <v>2064231</v>
      </c>
      <c r="Q296" s="453"/>
      <c r="R296" s="453"/>
      <c r="S296" s="452">
        <v>1537941</v>
      </c>
      <c r="T296" s="452"/>
      <c r="U296" s="453">
        <v>-220760</v>
      </c>
      <c r="V296" s="453"/>
      <c r="W296" s="295">
        <v>45.48</v>
      </c>
      <c r="X296" s="291"/>
    </row>
    <row r="297" spans="1:24" ht="12">
      <c r="A297" s="454" t="s">
        <v>30</v>
      </c>
      <c r="B297" s="454"/>
      <c r="C297" s="454"/>
      <c r="D297" s="454" t="s">
        <v>361</v>
      </c>
      <c r="E297" s="454"/>
      <c r="F297" s="454"/>
      <c r="G297" s="294" t="s">
        <v>344</v>
      </c>
      <c r="H297" s="454" t="s">
        <v>362</v>
      </c>
      <c r="I297" s="454"/>
      <c r="J297" s="452">
        <v>1244250</v>
      </c>
      <c r="K297" s="452"/>
      <c r="L297" s="452"/>
      <c r="M297" s="452"/>
      <c r="N297" s="452">
        <v>757084</v>
      </c>
      <c r="O297" s="452"/>
      <c r="P297" s="453">
        <v>487166</v>
      </c>
      <c r="Q297" s="453"/>
      <c r="R297" s="453"/>
      <c r="S297" s="452">
        <v>807739</v>
      </c>
      <c r="T297" s="452"/>
      <c r="U297" s="453">
        <v>-50655</v>
      </c>
      <c r="V297" s="453"/>
      <c r="W297" s="295">
        <v>64.92</v>
      </c>
      <c r="X297" s="291"/>
    </row>
    <row r="298" spans="1:24" ht="12">
      <c r="A298" s="454" t="s">
        <v>36</v>
      </c>
      <c r="B298" s="454"/>
      <c r="C298" s="454"/>
      <c r="D298" s="454" t="s">
        <v>361</v>
      </c>
      <c r="E298" s="454"/>
      <c r="F298" s="454"/>
      <c r="G298" s="294" t="s">
        <v>344</v>
      </c>
      <c r="H298" s="454" t="s">
        <v>362</v>
      </c>
      <c r="I298" s="454"/>
      <c r="J298" s="452">
        <v>263459</v>
      </c>
      <c r="K298" s="452"/>
      <c r="L298" s="452"/>
      <c r="M298" s="452"/>
      <c r="N298" s="452">
        <v>188935</v>
      </c>
      <c r="O298" s="452"/>
      <c r="P298" s="453">
        <v>74524</v>
      </c>
      <c r="Q298" s="453"/>
      <c r="R298" s="453"/>
      <c r="S298" s="452">
        <v>188935</v>
      </c>
      <c r="T298" s="452"/>
      <c r="U298" s="453">
        <v>0</v>
      </c>
      <c r="V298" s="453"/>
      <c r="W298" s="295">
        <v>71.71</v>
      </c>
      <c r="X298" s="291"/>
    </row>
    <row r="299" spans="1:24" ht="10.5">
      <c r="A299" s="296"/>
      <c r="B299" s="296"/>
      <c r="C299" s="296"/>
      <c r="D299" s="296"/>
      <c r="E299" s="296"/>
      <c r="F299" s="296"/>
      <c r="G299" s="296"/>
      <c r="H299" s="296"/>
      <c r="I299" s="296"/>
      <c r="J299" s="296"/>
      <c r="K299" s="296"/>
      <c r="L299" s="296"/>
      <c r="M299" s="296"/>
      <c r="N299" s="296"/>
      <c r="O299" s="296"/>
      <c r="P299" s="296"/>
      <c r="Q299" s="296"/>
      <c r="R299" s="296"/>
      <c r="S299" s="296"/>
      <c r="T299" s="296"/>
      <c r="U299" s="296"/>
      <c r="V299" s="296"/>
      <c r="W299" s="296"/>
      <c r="X299" s="291"/>
    </row>
    <row r="300" spans="1:24" ht="11.25">
      <c r="A300" s="291"/>
      <c r="B300" s="291"/>
      <c r="C300" s="291"/>
      <c r="D300" s="291"/>
      <c r="E300" s="291"/>
      <c r="F300" s="291"/>
      <c r="G300" s="291"/>
      <c r="H300" s="291"/>
      <c r="I300" s="291"/>
      <c r="J300" s="451">
        <v>9232078</v>
      </c>
      <c r="K300" s="451"/>
      <c r="L300" s="451"/>
      <c r="M300" s="451"/>
      <c r="N300" s="451">
        <v>4945555</v>
      </c>
      <c r="O300" s="451"/>
      <c r="P300" s="451">
        <v>4286523</v>
      </c>
      <c r="Q300" s="451"/>
      <c r="R300" s="451"/>
      <c r="S300" s="451">
        <v>5227886</v>
      </c>
      <c r="T300" s="451"/>
      <c r="U300" s="451">
        <v>-282331</v>
      </c>
      <c r="V300" s="451"/>
      <c r="W300" s="291"/>
      <c r="X300" s="291"/>
    </row>
    <row r="301" spans="1:24" ht="12">
      <c r="A301" s="291"/>
      <c r="B301" s="430" t="s">
        <v>331</v>
      </c>
      <c r="C301" s="430"/>
      <c r="D301" s="455" t="s">
        <v>187</v>
      </c>
      <c r="E301" s="455"/>
      <c r="F301" s="455"/>
      <c r="G301" s="455"/>
      <c r="H301" s="455"/>
      <c r="I301" s="455"/>
      <c r="J301" s="455"/>
      <c r="K301" s="455"/>
      <c r="L301" s="455"/>
      <c r="M301" s="455"/>
      <c r="N301" s="291"/>
      <c r="O301" s="291"/>
      <c r="P301" s="291"/>
      <c r="Q301" s="291"/>
      <c r="R301" s="291"/>
      <c r="S301" s="291"/>
      <c r="T301" s="291"/>
      <c r="U301" s="291"/>
      <c r="V301" s="291"/>
      <c r="W301" s="291"/>
      <c r="X301" s="291"/>
    </row>
    <row r="302" spans="1:24" ht="12">
      <c r="A302" s="430" t="s">
        <v>332</v>
      </c>
      <c r="B302" s="430"/>
      <c r="C302" s="291"/>
      <c r="D302" s="291"/>
      <c r="E302" s="456" t="s">
        <v>333</v>
      </c>
      <c r="F302" s="456"/>
      <c r="G302" s="456"/>
      <c r="H302" s="456"/>
      <c r="I302" s="456"/>
      <c r="J302" s="449" t="s">
        <v>3</v>
      </c>
      <c r="K302" s="449"/>
      <c r="L302" s="449"/>
      <c r="M302" s="449"/>
      <c r="N302" s="449" t="s">
        <v>334</v>
      </c>
      <c r="O302" s="449"/>
      <c r="P302" s="428" t="s">
        <v>335</v>
      </c>
      <c r="Q302" s="428"/>
      <c r="R302" s="291"/>
      <c r="S302" s="449" t="s">
        <v>336</v>
      </c>
      <c r="T302" s="449"/>
      <c r="U302" s="291"/>
      <c r="V302" s="292" t="s">
        <v>337</v>
      </c>
      <c r="W302" s="292" t="s">
        <v>338</v>
      </c>
      <c r="X302" s="291"/>
    </row>
    <row r="303" spans="1:24" ht="12">
      <c r="A303" s="430"/>
      <c r="B303" s="430"/>
      <c r="C303" s="291"/>
      <c r="D303" s="291"/>
      <c r="E303" s="430" t="s">
        <v>339</v>
      </c>
      <c r="F303" s="430"/>
      <c r="G303" s="430"/>
      <c r="H303" s="430"/>
      <c r="I303" s="430"/>
      <c r="J303" s="428" t="s">
        <v>340</v>
      </c>
      <c r="K303" s="428"/>
      <c r="L303" s="428"/>
      <c r="M303" s="428"/>
      <c r="N303" s="428" t="s">
        <v>341</v>
      </c>
      <c r="O303" s="428"/>
      <c r="P303" s="428"/>
      <c r="Q303" s="428"/>
      <c r="R303" s="291"/>
      <c r="S303" s="428" t="s">
        <v>341</v>
      </c>
      <c r="T303" s="428"/>
      <c r="U303" s="291"/>
      <c r="V303" s="293" t="s">
        <v>342</v>
      </c>
      <c r="W303" s="293" t="s">
        <v>336</v>
      </c>
      <c r="X303" s="291"/>
    </row>
    <row r="304" spans="1:24" ht="12">
      <c r="A304" s="454" t="s">
        <v>34</v>
      </c>
      <c r="B304" s="454"/>
      <c r="C304" s="454"/>
      <c r="D304" s="454" t="s">
        <v>361</v>
      </c>
      <c r="E304" s="454"/>
      <c r="F304" s="454"/>
      <c r="G304" s="294" t="s">
        <v>344</v>
      </c>
      <c r="H304" s="454" t="s">
        <v>362</v>
      </c>
      <c r="I304" s="454"/>
      <c r="J304" s="452">
        <v>469549</v>
      </c>
      <c r="K304" s="452"/>
      <c r="L304" s="452"/>
      <c r="M304" s="452"/>
      <c r="N304" s="452">
        <v>287401</v>
      </c>
      <c r="O304" s="452"/>
      <c r="P304" s="453">
        <v>182148</v>
      </c>
      <c r="Q304" s="453"/>
      <c r="R304" s="453"/>
      <c r="S304" s="452">
        <v>287401</v>
      </c>
      <c r="T304" s="452"/>
      <c r="U304" s="453">
        <v>0</v>
      </c>
      <c r="V304" s="453"/>
      <c r="W304" s="295">
        <v>61.21</v>
      </c>
      <c r="X304" s="291"/>
    </row>
    <row r="305" spans="1:24" ht="12">
      <c r="A305" s="454" t="s">
        <v>25</v>
      </c>
      <c r="B305" s="454"/>
      <c r="C305" s="454"/>
      <c r="D305" s="454" t="s">
        <v>361</v>
      </c>
      <c r="E305" s="454"/>
      <c r="F305" s="454"/>
      <c r="G305" s="294" t="s">
        <v>344</v>
      </c>
      <c r="H305" s="454" t="s">
        <v>362</v>
      </c>
      <c r="I305" s="454"/>
      <c r="J305" s="452">
        <v>515</v>
      </c>
      <c r="K305" s="452"/>
      <c r="L305" s="452"/>
      <c r="M305" s="452"/>
      <c r="N305" s="452">
        <v>0</v>
      </c>
      <c r="O305" s="452"/>
      <c r="P305" s="453">
        <v>515</v>
      </c>
      <c r="Q305" s="453"/>
      <c r="R305" s="453"/>
      <c r="S305" s="452">
        <v>0</v>
      </c>
      <c r="T305" s="452"/>
      <c r="U305" s="453">
        <v>0</v>
      </c>
      <c r="V305" s="453"/>
      <c r="W305" s="295">
        <v>0</v>
      </c>
      <c r="X305" s="291"/>
    </row>
    <row r="306" spans="1:24" ht="12">
      <c r="A306" s="454" t="s">
        <v>35</v>
      </c>
      <c r="B306" s="454"/>
      <c r="C306" s="454"/>
      <c r="D306" s="454" t="s">
        <v>361</v>
      </c>
      <c r="E306" s="454"/>
      <c r="F306" s="454"/>
      <c r="G306" s="294" t="s">
        <v>344</v>
      </c>
      <c r="H306" s="454" t="s">
        <v>362</v>
      </c>
      <c r="I306" s="454"/>
      <c r="J306" s="452">
        <v>406708</v>
      </c>
      <c r="K306" s="452"/>
      <c r="L306" s="452"/>
      <c r="M306" s="452"/>
      <c r="N306" s="452">
        <v>88816.4</v>
      </c>
      <c r="O306" s="452"/>
      <c r="P306" s="453">
        <v>317891.6</v>
      </c>
      <c r="Q306" s="453"/>
      <c r="R306" s="453"/>
      <c r="S306" s="452">
        <v>88816.4</v>
      </c>
      <c r="T306" s="452"/>
      <c r="U306" s="453">
        <v>0</v>
      </c>
      <c r="V306" s="453"/>
      <c r="W306" s="295">
        <v>21.84</v>
      </c>
      <c r="X306" s="291"/>
    </row>
    <row r="307" spans="1:24" ht="12">
      <c r="A307" s="454" t="s">
        <v>28</v>
      </c>
      <c r="B307" s="454"/>
      <c r="C307" s="454"/>
      <c r="D307" s="454" t="s">
        <v>361</v>
      </c>
      <c r="E307" s="454"/>
      <c r="F307" s="454"/>
      <c r="G307" s="294" t="s">
        <v>344</v>
      </c>
      <c r="H307" s="454" t="s">
        <v>362</v>
      </c>
      <c r="I307" s="454"/>
      <c r="J307" s="452">
        <v>122</v>
      </c>
      <c r="K307" s="452"/>
      <c r="L307" s="452"/>
      <c r="M307" s="452"/>
      <c r="N307" s="452">
        <v>0</v>
      </c>
      <c r="O307" s="452"/>
      <c r="P307" s="453">
        <v>122</v>
      </c>
      <c r="Q307" s="453"/>
      <c r="R307" s="453"/>
      <c r="S307" s="452">
        <v>0</v>
      </c>
      <c r="T307" s="452"/>
      <c r="U307" s="453">
        <v>0</v>
      </c>
      <c r="V307" s="453"/>
      <c r="W307" s="295">
        <v>0</v>
      </c>
      <c r="X307" s="291"/>
    </row>
    <row r="308" spans="1:24" ht="12">
      <c r="A308" s="454" t="s">
        <v>29</v>
      </c>
      <c r="B308" s="454"/>
      <c r="C308" s="454"/>
      <c r="D308" s="454" t="s">
        <v>361</v>
      </c>
      <c r="E308" s="454"/>
      <c r="F308" s="454"/>
      <c r="G308" s="294" t="s">
        <v>344</v>
      </c>
      <c r="H308" s="454" t="s">
        <v>362</v>
      </c>
      <c r="I308" s="454"/>
      <c r="J308" s="452">
        <v>681850</v>
      </c>
      <c r="K308" s="452"/>
      <c r="L308" s="452"/>
      <c r="M308" s="452"/>
      <c r="N308" s="452">
        <v>191020.66</v>
      </c>
      <c r="O308" s="452"/>
      <c r="P308" s="453">
        <v>490829.34</v>
      </c>
      <c r="Q308" s="453"/>
      <c r="R308" s="453"/>
      <c r="S308" s="452">
        <v>218515.3</v>
      </c>
      <c r="T308" s="452"/>
      <c r="U308" s="453">
        <v>-27494.64</v>
      </c>
      <c r="V308" s="453"/>
      <c r="W308" s="295">
        <v>32.05</v>
      </c>
      <c r="X308" s="291"/>
    </row>
    <row r="309" spans="1:24" ht="12">
      <c r="A309" s="454" t="s">
        <v>30</v>
      </c>
      <c r="B309" s="454"/>
      <c r="C309" s="454"/>
      <c r="D309" s="454" t="s">
        <v>361</v>
      </c>
      <c r="E309" s="454"/>
      <c r="F309" s="454"/>
      <c r="G309" s="294" t="s">
        <v>344</v>
      </c>
      <c r="H309" s="454" t="s">
        <v>362</v>
      </c>
      <c r="I309" s="454"/>
      <c r="J309" s="452">
        <v>167564</v>
      </c>
      <c r="K309" s="452"/>
      <c r="L309" s="452"/>
      <c r="M309" s="452"/>
      <c r="N309" s="452">
        <v>85000</v>
      </c>
      <c r="O309" s="452"/>
      <c r="P309" s="453">
        <v>82564</v>
      </c>
      <c r="Q309" s="453"/>
      <c r="R309" s="453"/>
      <c r="S309" s="452">
        <v>82221</v>
      </c>
      <c r="T309" s="452"/>
      <c r="U309" s="453">
        <v>2779</v>
      </c>
      <c r="V309" s="453"/>
      <c r="W309" s="295">
        <v>49.07</v>
      </c>
      <c r="X309" s="291"/>
    </row>
    <row r="310" spans="1:24" ht="12">
      <c r="A310" s="454" t="s">
        <v>36</v>
      </c>
      <c r="B310" s="454"/>
      <c r="C310" s="454"/>
      <c r="D310" s="454" t="s">
        <v>361</v>
      </c>
      <c r="E310" s="454"/>
      <c r="F310" s="454"/>
      <c r="G310" s="294" t="s">
        <v>344</v>
      </c>
      <c r="H310" s="454" t="s">
        <v>362</v>
      </c>
      <c r="I310" s="454"/>
      <c r="J310" s="452">
        <v>50247</v>
      </c>
      <c r="K310" s="452"/>
      <c r="L310" s="452"/>
      <c r="M310" s="452"/>
      <c r="N310" s="452">
        <v>25502</v>
      </c>
      <c r="O310" s="452"/>
      <c r="P310" s="453">
        <v>24745</v>
      </c>
      <c r="Q310" s="453"/>
      <c r="R310" s="453"/>
      <c r="S310" s="452">
        <v>25502</v>
      </c>
      <c r="T310" s="452"/>
      <c r="U310" s="453">
        <v>0</v>
      </c>
      <c r="V310" s="453"/>
      <c r="W310" s="295">
        <v>50.75</v>
      </c>
      <c r="X310" s="291"/>
    </row>
    <row r="311" spans="1:24" ht="10.5">
      <c r="A311" s="296"/>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1"/>
    </row>
    <row r="312" spans="1:24" ht="12" thickBot="1">
      <c r="A312" s="291"/>
      <c r="B312" s="291"/>
      <c r="C312" s="291"/>
      <c r="D312" s="291"/>
      <c r="E312" s="291"/>
      <c r="F312" s="291"/>
      <c r="G312" s="291"/>
      <c r="H312" s="291"/>
      <c r="I312" s="291"/>
      <c r="J312" s="451">
        <v>1776555</v>
      </c>
      <c r="K312" s="451"/>
      <c r="L312" s="451"/>
      <c r="M312" s="451"/>
      <c r="N312" s="451">
        <v>677740.06</v>
      </c>
      <c r="O312" s="451"/>
      <c r="P312" s="451">
        <v>1098814.94</v>
      </c>
      <c r="Q312" s="451"/>
      <c r="R312" s="451"/>
      <c r="S312" s="451">
        <v>702455.7</v>
      </c>
      <c r="T312" s="451"/>
      <c r="U312" s="451">
        <v>-24715.64</v>
      </c>
      <c r="V312" s="451"/>
      <c r="W312" s="291"/>
      <c r="X312" s="291"/>
    </row>
    <row r="313" spans="1:24" ht="11.25" thickTop="1">
      <c r="A313" s="297"/>
      <c r="B313" s="297"/>
      <c r="C313" s="297"/>
      <c r="D313" s="297"/>
      <c r="E313" s="297"/>
      <c r="F313" s="297"/>
      <c r="G313" s="297"/>
      <c r="H313" s="297"/>
      <c r="I313" s="297"/>
      <c r="J313" s="297"/>
      <c r="K313" s="297"/>
      <c r="L313" s="297"/>
      <c r="M313" s="297"/>
      <c r="N313" s="297"/>
      <c r="O313" s="297"/>
      <c r="P313" s="297"/>
      <c r="Q313" s="297"/>
      <c r="R313" s="297"/>
      <c r="S313" s="297"/>
      <c r="T313" s="297"/>
      <c r="U313" s="297"/>
      <c r="V313" s="297"/>
      <c r="W313" s="297"/>
      <c r="X313" s="291"/>
    </row>
    <row r="314" spans="1:24" ht="12">
      <c r="A314" s="449" t="s">
        <v>367</v>
      </c>
      <c r="B314" s="449"/>
      <c r="C314" s="449"/>
      <c r="D314" s="449"/>
      <c r="E314" s="449"/>
      <c r="F314" s="449"/>
      <c r="G314" s="449"/>
      <c r="H314" s="449"/>
      <c r="I314" s="291"/>
      <c r="J314" s="450">
        <v>12205606.75</v>
      </c>
      <c r="K314" s="450"/>
      <c r="L314" s="450"/>
      <c r="M314" s="450"/>
      <c r="N314" s="450">
        <v>6024272.06</v>
      </c>
      <c r="O314" s="450"/>
      <c r="P314" s="451">
        <v>6181334.69</v>
      </c>
      <c r="Q314" s="451"/>
      <c r="R314" s="451"/>
      <c r="S314" s="450">
        <v>6355347.15</v>
      </c>
      <c r="T314" s="450"/>
      <c r="U314" s="450">
        <v>-331075.09</v>
      </c>
      <c r="V314" s="450"/>
      <c r="W314" s="291"/>
      <c r="X314" s="291"/>
    </row>
  </sheetData>
  <sheetProtection/>
  <mergeCells count="1839">
    <mergeCell ref="A3:B4"/>
    <mergeCell ref="C3:K3"/>
    <mergeCell ref="B5:C5"/>
    <mergeCell ref="D5:M5"/>
    <mergeCell ref="A6:B6"/>
    <mergeCell ref="E6:I6"/>
    <mergeCell ref="J6:M6"/>
    <mergeCell ref="U12:V12"/>
    <mergeCell ref="S8:T8"/>
    <mergeCell ref="U8:V8"/>
    <mergeCell ref="J10:M10"/>
    <mergeCell ref="N10:O10"/>
    <mergeCell ref="P10:R10"/>
    <mergeCell ref="S10:T10"/>
    <mergeCell ref="U10:V10"/>
    <mergeCell ref="A8:C8"/>
    <mergeCell ref="D8:F8"/>
    <mergeCell ref="H8:I8"/>
    <mergeCell ref="J8:M8"/>
    <mergeCell ref="N8:O8"/>
    <mergeCell ref="P8:R8"/>
    <mergeCell ref="N6:O6"/>
    <mergeCell ref="P6:Q6"/>
    <mergeCell ref="S6:T6"/>
    <mergeCell ref="A7:B7"/>
    <mergeCell ref="E7:I7"/>
    <mergeCell ref="J7:M7"/>
    <mergeCell ref="N7:O7"/>
    <mergeCell ref="P7:Q7"/>
    <mergeCell ref="S7:T7"/>
    <mergeCell ref="N16:O16"/>
    <mergeCell ref="P16:Q16"/>
    <mergeCell ref="S16:T16"/>
    <mergeCell ref="A17:B17"/>
    <mergeCell ref="E17:I17"/>
    <mergeCell ref="J17:M17"/>
    <mergeCell ref="N17:O17"/>
    <mergeCell ref="P17:Q17"/>
    <mergeCell ref="S17:T17"/>
    <mergeCell ref="A13:B14"/>
    <mergeCell ref="C13:K13"/>
    <mergeCell ref="B15:C15"/>
    <mergeCell ref="D15:M15"/>
    <mergeCell ref="A16:B16"/>
    <mergeCell ref="E16:I16"/>
    <mergeCell ref="J16:M16"/>
    <mergeCell ref="A12:H12"/>
    <mergeCell ref="J12:M12"/>
    <mergeCell ref="N12:O12"/>
    <mergeCell ref="P12:R12"/>
    <mergeCell ref="S12:T12"/>
    <mergeCell ref="S20:T20"/>
    <mergeCell ref="U20:V20"/>
    <mergeCell ref="A21:C21"/>
    <mergeCell ref="D21:F21"/>
    <mergeCell ref="H21:I21"/>
    <mergeCell ref="J21:M21"/>
    <mergeCell ref="N21:O21"/>
    <mergeCell ref="P21:R21"/>
    <mergeCell ref="S21:T21"/>
    <mergeCell ref="U21:V21"/>
    <mergeCell ref="A20:C20"/>
    <mergeCell ref="D20:F20"/>
    <mergeCell ref="H20:I20"/>
    <mergeCell ref="J20:M20"/>
    <mergeCell ref="N20:O20"/>
    <mergeCell ref="P20:R20"/>
    <mergeCell ref="S18:T18"/>
    <mergeCell ref="U18:V18"/>
    <mergeCell ref="A19:C19"/>
    <mergeCell ref="D19:F19"/>
    <mergeCell ref="H19:I19"/>
    <mergeCell ref="J19:M19"/>
    <mergeCell ref="N19:O19"/>
    <mergeCell ref="P19:R19"/>
    <mergeCell ref="S19:T19"/>
    <mergeCell ref="U19:V19"/>
    <mergeCell ref="A18:C18"/>
    <mergeCell ref="D18:F18"/>
    <mergeCell ref="H18:I18"/>
    <mergeCell ref="J18:M18"/>
    <mergeCell ref="N18:O18"/>
    <mergeCell ref="P18:R18"/>
    <mergeCell ref="S24:T24"/>
    <mergeCell ref="U24:V24"/>
    <mergeCell ref="A25:C25"/>
    <mergeCell ref="D25:F25"/>
    <mergeCell ref="H25:I25"/>
    <mergeCell ref="J25:M25"/>
    <mergeCell ref="N25:O25"/>
    <mergeCell ref="P25:R25"/>
    <mergeCell ref="S25:T25"/>
    <mergeCell ref="U25:V25"/>
    <mergeCell ref="A24:C24"/>
    <mergeCell ref="D24:F24"/>
    <mergeCell ref="H24:I24"/>
    <mergeCell ref="J24:M24"/>
    <mergeCell ref="N24:O24"/>
    <mergeCell ref="P24:R24"/>
    <mergeCell ref="S22:T22"/>
    <mergeCell ref="U22:V22"/>
    <mergeCell ref="A23:C23"/>
    <mergeCell ref="D23:F23"/>
    <mergeCell ref="H23:I23"/>
    <mergeCell ref="J23:M23"/>
    <mergeCell ref="N23:O23"/>
    <mergeCell ref="P23:R23"/>
    <mergeCell ref="S23:T23"/>
    <mergeCell ref="U23:V23"/>
    <mergeCell ref="A22:C22"/>
    <mergeCell ref="D22:F22"/>
    <mergeCell ref="H22:I22"/>
    <mergeCell ref="J22:M22"/>
    <mergeCell ref="N22:O22"/>
    <mergeCell ref="P22:R22"/>
    <mergeCell ref="S28:T28"/>
    <mergeCell ref="U28:V28"/>
    <mergeCell ref="A29:C29"/>
    <mergeCell ref="D29:F29"/>
    <mergeCell ref="H29:I29"/>
    <mergeCell ref="J29:M29"/>
    <mergeCell ref="N29:O29"/>
    <mergeCell ref="P29:R29"/>
    <mergeCell ref="S29:T29"/>
    <mergeCell ref="U29:V29"/>
    <mergeCell ref="A28:C28"/>
    <mergeCell ref="D28:F28"/>
    <mergeCell ref="H28:I28"/>
    <mergeCell ref="J28:M28"/>
    <mergeCell ref="N28:O28"/>
    <mergeCell ref="P28:R28"/>
    <mergeCell ref="S26:T26"/>
    <mergeCell ref="U26:V26"/>
    <mergeCell ref="A27:C27"/>
    <mergeCell ref="D27:F27"/>
    <mergeCell ref="H27:I27"/>
    <mergeCell ref="J27:M27"/>
    <mergeCell ref="N27:O27"/>
    <mergeCell ref="P27:R27"/>
    <mergeCell ref="S27:T27"/>
    <mergeCell ref="U27:V27"/>
    <mergeCell ref="A26:C26"/>
    <mergeCell ref="D26:F26"/>
    <mergeCell ref="H26:I26"/>
    <mergeCell ref="J26:M26"/>
    <mergeCell ref="N26:O26"/>
    <mergeCell ref="P26:R26"/>
    <mergeCell ref="P34:Q34"/>
    <mergeCell ref="S34:T34"/>
    <mergeCell ref="A35:B35"/>
    <mergeCell ref="E35:I35"/>
    <mergeCell ref="J35:M35"/>
    <mergeCell ref="N35:O35"/>
    <mergeCell ref="P35:Q35"/>
    <mergeCell ref="S35:T35"/>
    <mergeCell ref="B33:C33"/>
    <mergeCell ref="D33:M33"/>
    <mergeCell ref="A34:B34"/>
    <mergeCell ref="E34:I34"/>
    <mergeCell ref="J34:M34"/>
    <mergeCell ref="N34:O34"/>
    <mergeCell ref="S30:T30"/>
    <mergeCell ref="U30:V30"/>
    <mergeCell ref="J32:M32"/>
    <mergeCell ref="N32:O32"/>
    <mergeCell ref="P32:R32"/>
    <mergeCell ref="S32:T32"/>
    <mergeCell ref="U32:V32"/>
    <mergeCell ref="A30:C30"/>
    <mergeCell ref="D30:F30"/>
    <mergeCell ref="H30:I30"/>
    <mergeCell ref="J30:M30"/>
    <mergeCell ref="N30:O30"/>
    <mergeCell ref="P30:R30"/>
    <mergeCell ref="S38:T38"/>
    <mergeCell ref="U38:V38"/>
    <mergeCell ref="A39:C39"/>
    <mergeCell ref="D39:F39"/>
    <mergeCell ref="H39:I39"/>
    <mergeCell ref="J39:M39"/>
    <mergeCell ref="N39:O39"/>
    <mergeCell ref="P39:R39"/>
    <mergeCell ref="S39:T39"/>
    <mergeCell ref="U39:V39"/>
    <mergeCell ref="A38:C38"/>
    <mergeCell ref="D38:F38"/>
    <mergeCell ref="H38:I38"/>
    <mergeCell ref="J38:M38"/>
    <mergeCell ref="N38:O38"/>
    <mergeCell ref="P38:R38"/>
    <mergeCell ref="S36:T36"/>
    <mergeCell ref="U36:V36"/>
    <mergeCell ref="A37:C37"/>
    <mergeCell ref="D37:F37"/>
    <mergeCell ref="H37:I37"/>
    <mergeCell ref="J37:M37"/>
    <mergeCell ref="N37:O37"/>
    <mergeCell ref="P37:R37"/>
    <mergeCell ref="S37:T37"/>
    <mergeCell ref="U37:V37"/>
    <mergeCell ref="A36:C36"/>
    <mergeCell ref="D36:F36"/>
    <mergeCell ref="H36:I36"/>
    <mergeCell ref="J36:M36"/>
    <mergeCell ref="N36:O36"/>
    <mergeCell ref="P36:R36"/>
    <mergeCell ref="S42:T42"/>
    <mergeCell ref="U42:V42"/>
    <mergeCell ref="A43:C43"/>
    <mergeCell ref="D43:F43"/>
    <mergeCell ref="H43:I43"/>
    <mergeCell ref="J43:M43"/>
    <mergeCell ref="N43:O43"/>
    <mergeCell ref="P43:R43"/>
    <mergeCell ref="S43:T43"/>
    <mergeCell ref="U43:V43"/>
    <mergeCell ref="A42:C42"/>
    <mergeCell ref="D42:F42"/>
    <mergeCell ref="H42:I42"/>
    <mergeCell ref="J42:M42"/>
    <mergeCell ref="N42:O42"/>
    <mergeCell ref="P42:R42"/>
    <mergeCell ref="S40:T40"/>
    <mergeCell ref="U40:V40"/>
    <mergeCell ref="A41:C41"/>
    <mergeCell ref="D41:F41"/>
    <mergeCell ref="H41:I41"/>
    <mergeCell ref="J41:M41"/>
    <mergeCell ref="N41:O41"/>
    <mergeCell ref="P41:R41"/>
    <mergeCell ref="S41:T41"/>
    <mergeCell ref="U41:V41"/>
    <mergeCell ref="A40:C40"/>
    <mergeCell ref="D40:F40"/>
    <mergeCell ref="H40:I40"/>
    <mergeCell ref="J40:M40"/>
    <mergeCell ref="N40:O40"/>
    <mergeCell ref="P40:R40"/>
    <mergeCell ref="S46:T46"/>
    <mergeCell ref="U46:V46"/>
    <mergeCell ref="A47:C47"/>
    <mergeCell ref="D47:F47"/>
    <mergeCell ref="H47:I47"/>
    <mergeCell ref="J47:M47"/>
    <mergeCell ref="N47:O47"/>
    <mergeCell ref="P47:R47"/>
    <mergeCell ref="S47:T47"/>
    <mergeCell ref="U47:V47"/>
    <mergeCell ref="A46:C46"/>
    <mergeCell ref="D46:F46"/>
    <mergeCell ref="H46:I46"/>
    <mergeCell ref="J46:M46"/>
    <mergeCell ref="N46:O46"/>
    <mergeCell ref="P46:R46"/>
    <mergeCell ref="S44:T44"/>
    <mergeCell ref="U44:V44"/>
    <mergeCell ref="A45:C45"/>
    <mergeCell ref="D45:F45"/>
    <mergeCell ref="H45:I45"/>
    <mergeCell ref="J45:M45"/>
    <mergeCell ref="N45:O45"/>
    <mergeCell ref="P45:R45"/>
    <mergeCell ref="S45:T45"/>
    <mergeCell ref="U45:V45"/>
    <mergeCell ref="A44:C44"/>
    <mergeCell ref="D44:F44"/>
    <mergeCell ref="H44:I44"/>
    <mergeCell ref="J44:M44"/>
    <mergeCell ref="N44:O44"/>
    <mergeCell ref="P44:R44"/>
    <mergeCell ref="B51:C51"/>
    <mergeCell ref="D51:M51"/>
    <mergeCell ref="A52:B52"/>
    <mergeCell ref="E52:I52"/>
    <mergeCell ref="J52:M52"/>
    <mergeCell ref="N52:O52"/>
    <mergeCell ref="S48:T48"/>
    <mergeCell ref="U48:V48"/>
    <mergeCell ref="J50:M50"/>
    <mergeCell ref="N50:O50"/>
    <mergeCell ref="P50:R50"/>
    <mergeCell ref="S50:T50"/>
    <mergeCell ref="U50:V50"/>
    <mergeCell ref="A48:C48"/>
    <mergeCell ref="D48:F48"/>
    <mergeCell ref="H48:I48"/>
    <mergeCell ref="J48:M48"/>
    <mergeCell ref="N48:O48"/>
    <mergeCell ref="P48:R48"/>
    <mergeCell ref="S54:T54"/>
    <mergeCell ref="U54:V54"/>
    <mergeCell ref="A55:C55"/>
    <mergeCell ref="D55:F55"/>
    <mergeCell ref="H55:I55"/>
    <mergeCell ref="J55:M55"/>
    <mergeCell ref="N55:O55"/>
    <mergeCell ref="P55:R55"/>
    <mergeCell ref="S55:T55"/>
    <mergeCell ref="U55:V55"/>
    <mergeCell ref="A54:C54"/>
    <mergeCell ref="D54:F54"/>
    <mergeCell ref="H54:I54"/>
    <mergeCell ref="J54:M54"/>
    <mergeCell ref="N54:O54"/>
    <mergeCell ref="P54:R54"/>
    <mergeCell ref="P52:Q52"/>
    <mergeCell ref="S52:T52"/>
    <mergeCell ref="A53:B53"/>
    <mergeCell ref="E53:I53"/>
    <mergeCell ref="J53:M53"/>
    <mergeCell ref="N53:O53"/>
    <mergeCell ref="P53:Q53"/>
    <mergeCell ref="S53:T53"/>
    <mergeCell ref="S58:T58"/>
    <mergeCell ref="U58:V58"/>
    <mergeCell ref="A59:C59"/>
    <mergeCell ref="D59:F59"/>
    <mergeCell ref="H59:I59"/>
    <mergeCell ref="J59:M59"/>
    <mergeCell ref="N59:O59"/>
    <mergeCell ref="P59:R59"/>
    <mergeCell ref="S59:T59"/>
    <mergeCell ref="U59:V59"/>
    <mergeCell ref="A58:C58"/>
    <mergeCell ref="D58:F58"/>
    <mergeCell ref="H58:I58"/>
    <mergeCell ref="J58:M58"/>
    <mergeCell ref="N58:O58"/>
    <mergeCell ref="P58:R58"/>
    <mergeCell ref="S56:T56"/>
    <mergeCell ref="U56:V56"/>
    <mergeCell ref="A57:C57"/>
    <mergeCell ref="D57:F57"/>
    <mergeCell ref="H57:I57"/>
    <mergeCell ref="J57:M57"/>
    <mergeCell ref="N57:O57"/>
    <mergeCell ref="P57:R57"/>
    <mergeCell ref="S57:T57"/>
    <mergeCell ref="U57:V57"/>
    <mergeCell ref="A56:C56"/>
    <mergeCell ref="D56:F56"/>
    <mergeCell ref="H56:I56"/>
    <mergeCell ref="J56:M56"/>
    <mergeCell ref="N56:O56"/>
    <mergeCell ref="P56:R56"/>
    <mergeCell ref="S62:T62"/>
    <mergeCell ref="U62:V62"/>
    <mergeCell ref="A63:C63"/>
    <mergeCell ref="D63:F63"/>
    <mergeCell ref="H63:I63"/>
    <mergeCell ref="J63:M63"/>
    <mergeCell ref="N63:O63"/>
    <mergeCell ref="P63:R63"/>
    <mergeCell ref="S63:T63"/>
    <mergeCell ref="U63:V63"/>
    <mergeCell ref="A62:C62"/>
    <mergeCell ref="D62:F62"/>
    <mergeCell ref="H62:I62"/>
    <mergeCell ref="J62:M62"/>
    <mergeCell ref="N62:O62"/>
    <mergeCell ref="P62:R62"/>
    <mergeCell ref="S60:T60"/>
    <mergeCell ref="U60:V60"/>
    <mergeCell ref="A61:C61"/>
    <mergeCell ref="D61:F61"/>
    <mergeCell ref="H61:I61"/>
    <mergeCell ref="J61:M61"/>
    <mergeCell ref="N61:O61"/>
    <mergeCell ref="P61:R61"/>
    <mergeCell ref="S61:T61"/>
    <mergeCell ref="U61:V61"/>
    <mergeCell ref="A60:C60"/>
    <mergeCell ref="D60:F60"/>
    <mergeCell ref="H60:I60"/>
    <mergeCell ref="J60:M60"/>
    <mergeCell ref="N60:O60"/>
    <mergeCell ref="P60:R60"/>
    <mergeCell ref="U70:V70"/>
    <mergeCell ref="S66:T66"/>
    <mergeCell ref="U66:V66"/>
    <mergeCell ref="J68:M68"/>
    <mergeCell ref="N68:O68"/>
    <mergeCell ref="P68:R68"/>
    <mergeCell ref="S68:T68"/>
    <mergeCell ref="U68:V68"/>
    <mergeCell ref="A66:C66"/>
    <mergeCell ref="D66:F66"/>
    <mergeCell ref="H66:I66"/>
    <mergeCell ref="J66:M66"/>
    <mergeCell ref="N66:O66"/>
    <mergeCell ref="P66:R66"/>
    <mergeCell ref="S64:T64"/>
    <mergeCell ref="U64:V64"/>
    <mergeCell ref="A65:C65"/>
    <mergeCell ref="D65:F65"/>
    <mergeCell ref="H65:I65"/>
    <mergeCell ref="J65:M65"/>
    <mergeCell ref="N65:O65"/>
    <mergeCell ref="P65:R65"/>
    <mergeCell ref="S65:T65"/>
    <mergeCell ref="U65:V65"/>
    <mergeCell ref="A64:C64"/>
    <mergeCell ref="D64:F64"/>
    <mergeCell ref="H64:I64"/>
    <mergeCell ref="J64:M64"/>
    <mergeCell ref="N64:O64"/>
    <mergeCell ref="P64:R64"/>
    <mergeCell ref="N74:O74"/>
    <mergeCell ref="P74:Q74"/>
    <mergeCell ref="S74:T74"/>
    <mergeCell ref="A75:B75"/>
    <mergeCell ref="E75:I75"/>
    <mergeCell ref="J75:M75"/>
    <mergeCell ref="N75:O75"/>
    <mergeCell ref="P75:Q75"/>
    <mergeCell ref="S75:T75"/>
    <mergeCell ref="A71:B72"/>
    <mergeCell ref="C71:K71"/>
    <mergeCell ref="B73:C73"/>
    <mergeCell ref="D73:M73"/>
    <mergeCell ref="A74:B74"/>
    <mergeCell ref="E74:I74"/>
    <mergeCell ref="J74:M74"/>
    <mergeCell ref="A70:H70"/>
    <mergeCell ref="J70:M70"/>
    <mergeCell ref="N70:O70"/>
    <mergeCell ref="P70:R70"/>
    <mergeCell ref="S70:T70"/>
    <mergeCell ref="S78:T78"/>
    <mergeCell ref="U78:V78"/>
    <mergeCell ref="A79:C79"/>
    <mergeCell ref="D79:F79"/>
    <mergeCell ref="H79:I79"/>
    <mergeCell ref="J79:M79"/>
    <mergeCell ref="N79:O79"/>
    <mergeCell ref="P79:R79"/>
    <mergeCell ref="S79:T79"/>
    <mergeCell ref="U79:V79"/>
    <mergeCell ref="A78:C78"/>
    <mergeCell ref="D78:F78"/>
    <mergeCell ref="H78:I78"/>
    <mergeCell ref="J78:M78"/>
    <mergeCell ref="N78:O78"/>
    <mergeCell ref="P78:R78"/>
    <mergeCell ref="S76:T76"/>
    <mergeCell ref="U76:V76"/>
    <mergeCell ref="A77:C77"/>
    <mergeCell ref="D77:F77"/>
    <mergeCell ref="H77:I77"/>
    <mergeCell ref="J77:M77"/>
    <mergeCell ref="N77:O77"/>
    <mergeCell ref="P77:R77"/>
    <mergeCell ref="S77:T77"/>
    <mergeCell ref="U77:V77"/>
    <mergeCell ref="A76:C76"/>
    <mergeCell ref="D76:F76"/>
    <mergeCell ref="H76:I76"/>
    <mergeCell ref="J76:M76"/>
    <mergeCell ref="N76:O76"/>
    <mergeCell ref="P76:R76"/>
    <mergeCell ref="P84:Q84"/>
    <mergeCell ref="S84:T84"/>
    <mergeCell ref="A85:B85"/>
    <mergeCell ref="E85:I85"/>
    <mergeCell ref="J85:M85"/>
    <mergeCell ref="N85:O85"/>
    <mergeCell ref="P85:Q85"/>
    <mergeCell ref="S85:T85"/>
    <mergeCell ref="B83:C83"/>
    <mergeCell ref="D83:M83"/>
    <mergeCell ref="A84:B84"/>
    <mergeCell ref="E84:I84"/>
    <mergeCell ref="J84:M84"/>
    <mergeCell ref="N84:O84"/>
    <mergeCell ref="S80:T80"/>
    <mergeCell ref="U80:V80"/>
    <mergeCell ref="J82:M82"/>
    <mergeCell ref="N82:O82"/>
    <mergeCell ref="P82:R82"/>
    <mergeCell ref="S82:T82"/>
    <mergeCell ref="U82:V82"/>
    <mergeCell ref="A80:C80"/>
    <mergeCell ref="D80:F80"/>
    <mergeCell ref="H80:I80"/>
    <mergeCell ref="J80:M80"/>
    <mergeCell ref="N80:O80"/>
    <mergeCell ref="P80:R80"/>
    <mergeCell ref="S88:T88"/>
    <mergeCell ref="U88:V88"/>
    <mergeCell ref="A89:C89"/>
    <mergeCell ref="D89:F89"/>
    <mergeCell ref="H89:I89"/>
    <mergeCell ref="J89:M89"/>
    <mergeCell ref="N89:O89"/>
    <mergeCell ref="P89:R89"/>
    <mergeCell ref="S89:T89"/>
    <mergeCell ref="U89:V89"/>
    <mergeCell ref="A88:C88"/>
    <mergeCell ref="D88:F88"/>
    <mergeCell ref="H88:I88"/>
    <mergeCell ref="J88:M88"/>
    <mergeCell ref="N88:O88"/>
    <mergeCell ref="P88:R88"/>
    <mergeCell ref="S86:T86"/>
    <mergeCell ref="U86:V86"/>
    <mergeCell ref="A87:C87"/>
    <mergeCell ref="D87:F87"/>
    <mergeCell ref="H87:I87"/>
    <mergeCell ref="J87:M87"/>
    <mergeCell ref="N87:O87"/>
    <mergeCell ref="P87:R87"/>
    <mergeCell ref="S87:T87"/>
    <mergeCell ref="U87:V87"/>
    <mergeCell ref="A86:C86"/>
    <mergeCell ref="D86:F86"/>
    <mergeCell ref="H86:I86"/>
    <mergeCell ref="J86:M86"/>
    <mergeCell ref="N86:O86"/>
    <mergeCell ref="P86:R86"/>
    <mergeCell ref="P94:Q94"/>
    <mergeCell ref="S94:T94"/>
    <mergeCell ref="A95:B95"/>
    <mergeCell ref="E95:I95"/>
    <mergeCell ref="J95:M95"/>
    <mergeCell ref="N95:O95"/>
    <mergeCell ref="P95:Q95"/>
    <mergeCell ref="S95:T95"/>
    <mergeCell ref="B93:C93"/>
    <mergeCell ref="D93:M93"/>
    <mergeCell ref="A94:B94"/>
    <mergeCell ref="E94:I94"/>
    <mergeCell ref="J94:M94"/>
    <mergeCell ref="N94:O94"/>
    <mergeCell ref="S90:T90"/>
    <mergeCell ref="U90:V90"/>
    <mergeCell ref="J92:M92"/>
    <mergeCell ref="N92:O92"/>
    <mergeCell ref="P92:R92"/>
    <mergeCell ref="S92:T92"/>
    <mergeCell ref="U92:V92"/>
    <mergeCell ref="A90:C90"/>
    <mergeCell ref="D90:F90"/>
    <mergeCell ref="H90:I90"/>
    <mergeCell ref="J90:M90"/>
    <mergeCell ref="N90:O90"/>
    <mergeCell ref="P90:R90"/>
    <mergeCell ref="S98:T98"/>
    <mergeCell ref="U98:V98"/>
    <mergeCell ref="A99:C99"/>
    <mergeCell ref="D99:F99"/>
    <mergeCell ref="H99:I99"/>
    <mergeCell ref="J99:M99"/>
    <mergeCell ref="N99:O99"/>
    <mergeCell ref="P99:R99"/>
    <mergeCell ref="S99:T99"/>
    <mergeCell ref="U99:V99"/>
    <mergeCell ref="A98:C98"/>
    <mergeCell ref="D98:F98"/>
    <mergeCell ref="H98:I98"/>
    <mergeCell ref="J98:M98"/>
    <mergeCell ref="N98:O98"/>
    <mergeCell ref="P98:R98"/>
    <mergeCell ref="S96:T96"/>
    <mergeCell ref="U96:V96"/>
    <mergeCell ref="A97:C97"/>
    <mergeCell ref="D97:F97"/>
    <mergeCell ref="H97:I97"/>
    <mergeCell ref="J97:M97"/>
    <mergeCell ref="N97:O97"/>
    <mergeCell ref="P97:R97"/>
    <mergeCell ref="S97:T97"/>
    <mergeCell ref="U97:V97"/>
    <mergeCell ref="A96:C96"/>
    <mergeCell ref="D96:F96"/>
    <mergeCell ref="H96:I96"/>
    <mergeCell ref="J96:M96"/>
    <mergeCell ref="N96:O96"/>
    <mergeCell ref="P96:R96"/>
    <mergeCell ref="A105:B106"/>
    <mergeCell ref="C105:K105"/>
    <mergeCell ref="B107:C107"/>
    <mergeCell ref="D107:M107"/>
    <mergeCell ref="A108:B108"/>
    <mergeCell ref="E108:I108"/>
    <mergeCell ref="J108:M108"/>
    <mergeCell ref="A104:H104"/>
    <mergeCell ref="J104:M104"/>
    <mergeCell ref="N104:O104"/>
    <mergeCell ref="P104:R104"/>
    <mergeCell ref="S104:T104"/>
    <mergeCell ref="U104:V104"/>
    <mergeCell ref="S100:T100"/>
    <mergeCell ref="U100:V100"/>
    <mergeCell ref="J102:M102"/>
    <mergeCell ref="N102:O102"/>
    <mergeCell ref="P102:R102"/>
    <mergeCell ref="S102:T102"/>
    <mergeCell ref="U102:V102"/>
    <mergeCell ref="A100:C100"/>
    <mergeCell ref="D100:F100"/>
    <mergeCell ref="H100:I100"/>
    <mergeCell ref="J100:M100"/>
    <mergeCell ref="N100:O100"/>
    <mergeCell ref="P100:R100"/>
    <mergeCell ref="U114:V114"/>
    <mergeCell ref="S110:T110"/>
    <mergeCell ref="U110:V110"/>
    <mergeCell ref="J112:M112"/>
    <mergeCell ref="N112:O112"/>
    <mergeCell ref="P112:R112"/>
    <mergeCell ref="S112:T112"/>
    <mergeCell ref="U112:V112"/>
    <mergeCell ref="A110:C110"/>
    <mergeCell ref="D110:F110"/>
    <mergeCell ref="H110:I110"/>
    <mergeCell ref="J110:M110"/>
    <mergeCell ref="N110:O110"/>
    <mergeCell ref="P110:R110"/>
    <mergeCell ref="N108:O108"/>
    <mergeCell ref="P108:Q108"/>
    <mergeCell ref="S108:T108"/>
    <mergeCell ref="A109:B109"/>
    <mergeCell ref="E109:I109"/>
    <mergeCell ref="J109:M109"/>
    <mergeCell ref="N109:O109"/>
    <mergeCell ref="P109:Q109"/>
    <mergeCell ref="S109:T109"/>
    <mergeCell ref="N118:O118"/>
    <mergeCell ref="P118:Q118"/>
    <mergeCell ref="S118:T118"/>
    <mergeCell ref="A119:B119"/>
    <mergeCell ref="E119:I119"/>
    <mergeCell ref="J119:M119"/>
    <mergeCell ref="N119:O119"/>
    <mergeCell ref="P119:Q119"/>
    <mergeCell ref="S119:T119"/>
    <mergeCell ref="A115:B116"/>
    <mergeCell ref="C115:K115"/>
    <mergeCell ref="B117:C117"/>
    <mergeCell ref="D117:M117"/>
    <mergeCell ref="A118:B118"/>
    <mergeCell ref="E118:I118"/>
    <mergeCell ref="J118:M118"/>
    <mergeCell ref="A114:H114"/>
    <mergeCell ref="J114:M114"/>
    <mergeCell ref="N114:O114"/>
    <mergeCell ref="P114:R114"/>
    <mergeCell ref="S114:T114"/>
    <mergeCell ref="S122:T122"/>
    <mergeCell ref="U122:V122"/>
    <mergeCell ref="A123:C123"/>
    <mergeCell ref="D123:F123"/>
    <mergeCell ref="H123:I123"/>
    <mergeCell ref="J123:M123"/>
    <mergeCell ref="N123:O123"/>
    <mergeCell ref="P123:R123"/>
    <mergeCell ref="S123:T123"/>
    <mergeCell ref="U123:V123"/>
    <mergeCell ref="A122:C122"/>
    <mergeCell ref="D122:F122"/>
    <mergeCell ref="H122:I122"/>
    <mergeCell ref="J122:M122"/>
    <mergeCell ref="N122:O122"/>
    <mergeCell ref="P122:R122"/>
    <mergeCell ref="S120:T120"/>
    <mergeCell ref="U120:V120"/>
    <mergeCell ref="A121:C121"/>
    <mergeCell ref="D121:F121"/>
    <mergeCell ref="H121:I121"/>
    <mergeCell ref="J121:M121"/>
    <mergeCell ref="N121:O121"/>
    <mergeCell ref="P121:R121"/>
    <mergeCell ref="S121:T121"/>
    <mergeCell ref="U121:V121"/>
    <mergeCell ref="A120:C120"/>
    <mergeCell ref="D120:F120"/>
    <mergeCell ref="H120:I120"/>
    <mergeCell ref="J120:M120"/>
    <mergeCell ref="N120:O120"/>
    <mergeCell ref="P120:R120"/>
    <mergeCell ref="S126:T126"/>
    <mergeCell ref="U126:V126"/>
    <mergeCell ref="A127:C127"/>
    <mergeCell ref="D127:F127"/>
    <mergeCell ref="H127:I127"/>
    <mergeCell ref="J127:M127"/>
    <mergeCell ref="N127:O127"/>
    <mergeCell ref="P127:R127"/>
    <mergeCell ref="S127:T127"/>
    <mergeCell ref="U127:V127"/>
    <mergeCell ref="A126:C126"/>
    <mergeCell ref="D126:F126"/>
    <mergeCell ref="H126:I126"/>
    <mergeCell ref="J126:M126"/>
    <mergeCell ref="N126:O126"/>
    <mergeCell ref="P126:R126"/>
    <mergeCell ref="S124:T124"/>
    <mergeCell ref="U124:V124"/>
    <mergeCell ref="A125:C125"/>
    <mergeCell ref="D125:F125"/>
    <mergeCell ref="H125:I125"/>
    <mergeCell ref="J125:M125"/>
    <mergeCell ref="N125:O125"/>
    <mergeCell ref="P125:R125"/>
    <mergeCell ref="S125:T125"/>
    <mergeCell ref="U125:V125"/>
    <mergeCell ref="A124:C124"/>
    <mergeCell ref="D124:F124"/>
    <mergeCell ref="H124:I124"/>
    <mergeCell ref="J124:M124"/>
    <mergeCell ref="N124:O124"/>
    <mergeCell ref="P124:R124"/>
    <mergeCell ref="S130:T130"/>
    <mergeCell ref="U130:V130"/>
    <mergeCell ref="A131:C131"/>
    <mergeCell ref="D131:F131"/>
    <mergeCell ref="H131:I131"/>
    <mergeCell ref="J131:M131"/>
    <mergeCell ref="N131:O131"/>
    <mergeCell ref="P131:R131"/>
    <mergeCell ref="S131:T131"/>
    <mergeCell ref="U131:V131"/>
    <mergeCell ref="A130:C130"/>
    <mergeCell ref="D130:F130"/>
    <mergeCell ref="H130:I130"/>
    <mergeCell ref="J130:M130"/>
    <mergeCell ref="N130:O130"/>
    <mergeCell ref="P130:R130"/>
    <mergeCell ref="S128:T128"/>
    <mergeCell ref="U128:V128"/>
    <mergeCell ref="A129:C129"/>
    <mergeCell ref="D129:F129"/>
    <mergeCell ref="H129:I129"/>
    <mergeCell ref="J129:M129"/>
    <mergeCell ref="N129:O129"/>
    <mergeCell ref="P129:R129"/>
    <mergeCell ref="S129:T129"/>
    <mergeCell ref="U129:V129"/>
    <mergeCell ref="A128:C128"/>
    <mergeCell ref="D128:F128"/>
    <mergeCell ref="H128:I128"/>
    <mergeCell ref="J128:M128"/>
    <mergeCell ref="N128:O128"/>
    <mergeCell ref="P128:R128"/>
    <mergeCell ref="P136:Q136"/>
    <mergeCell ref="S136:T136"/>
    <mergeCell ref="A137:B137"/>
    <mergeCell ref="E137:I137"/>
    <mergeCell ref="J137:M137"/>
    <mergeCell ref="N137:O137"/>
    <mergeCell ref="P137:Q137"/>
    <mergeCell ref="S137:T137"/>
    <mergeCell ref="B135:C135"/>
    <mergeCell ref="D135:M135"/>
    <mergeCell ref="A136:B136"/>
    <mergeCell ref="E136:I136"/>
    <mergeCell ref="J136:M136"/>
    <mergeCell ref="N136:O136"/>
    <mergeCell ref="S132:T132"/>
    <mergeCell ref="U132:V132"/>
    <mergeCell ref="J134:M134"/>
    <mergeCell ref="N134:O134"/>
    <mergeCell ref="P134:R134"/>
    <mergeCell ref="S134:T134"/>
    <mergeCell ref="U134:V134"/>
    <mergeCell ref="A132:C132"/>
    <mergeCell ref="D132:F132"/>
    <mergeCell ref="H132:I132"/>
    <mergeCell ref="J132:M132"/>
    <mergeCell ref="N132:O132"/>
    <mergeCell ref="P132:R132"/>
    <mergeCell ref="S140:T140"/>
    <mergeCell ref="U140:V140"/>
    <mergeCell ref="A141:C141"/>
    <mergeCell ref="D141:F141"/>
    <mergeCell ref="H141:I141"/>
    <mergeCell ref="J141:M141"/>
    <mergeCell ref="N141:O141"/>
    <mergeCell ref="P141:R141"/>
    <mergeCell ref="S141:T141"/>
    <mergeCell ref="U141:V141"/>
    <mergeCell ref="A140:C140"/>
    <mergeCell ref="D140:F140"/>
    <mergeCell ref="H140:I140"/>
    <mergeCell ref="J140:M140"/>
    <mergeCell ref="N140:O140"/>
    <mergeCell ref="P140:R140"/>
    <mergeCell ref="S138:T138"/>
    <mergeCell ref="U138:V138"/>
    <mergeCell ref="A139:C139"/>
    <mergeCell ref="D139:F139"/>
    <mergeCell ref="H139:I139"/>
    <mergeCell ref="J139:M139"/>
    <mergeCell ref="N139:O139"/>
    <mergeCell ref="P139:R139"/>
    <mergeCell ref="S139:T139"/>
    <mergeCell ref="U139:V139"/>
    <mergeCell ref="A138:C138"/>
    <mergeCell ref="D138:F138"/>
    <mergeCell ref="H138:I138"/>
    <mergeCell ref="J138:M138"/>
    <mergeCell ref="N138:O138"/>
    <mergeCell ref="P138:R138"/>
    <mergeCell ref="S144:T144"/>
    <mergeCell ref="U144:V144"/>
    <mergeCell ref="A145:C145"/>
    <mergeCell ref="D145:F145"/>
    <mergeCell ref="H145:I145"/>
    <mergeCell ref="J145:M145"/>
    <mergeCell ref="N145:O145"/>
    <mergeCell ref="P145:R145"/>
    <mergeCell ref="S145:T145"/>
    <mergeCell ref="U145:V145"/>
    <mergeCell ref="A144:C144"/>
    <mergeCell ref="D144:F144"/>
    <mergeCell ref="H144:I144"/>
    <mergeCell ref="J144:M144"/>
    <mergeCell ref="N144:O144"/>
    <mergeCell ref="P144:R144"/>
    <mergeCell ref="S142:T142"/>
    <mergeCell ref="U142:V142"/>
    <mergeCell ref="A143:C143"/>
    <mergeCell ref="D143:F143"/>
    <mergeCell ref="H143:I143"/>
    <mergeCell ref="J143:M143"/>
    <mergeCell ref="N143:O143"/>
    <mergeCell ref="P143:R143"/>
    <mergeCell ref="S143:T143"/>
    <mergeCell ref="U143:V143"/>
    <mergeCell ref="A142:C142"/>
    <mergeCell ref="D142:F142"/>
    <mergeCell ref="H142:I142"/>
    <mergeCell ref="J142:M142"/>
    <mergeCell ref="N142:O142"/>
    <mergeCell ref="P142:R142"/>
    <mergeCell ref="S148:T148"/>
    <mergeCell ref="U148:V148"/>
    <mergeCell ref="A149:C149"/>
    <mergeCell ref="D149:F149"/>
    <mergeCell ref="H149:I149"/>
    <mergeCell ref="J149:M149"/>
    <mergeCell ref="N149:O149"/>
    <mergeCell ref="P149:R149"/>
    <mergeCell ref="S149:T149"/>
    <mergeCell ref="U149:V149"/>
    <mergeCell ref="A148:C148"/>
    <mergeCell ref="D148:F148"/>
    <mergeCell ref="H148:I148"/>
    <mergeCell ref="J148:M148"/>
    <mergeCell ref="N148:O148"/>
    <mergeCell ref="P148:R148"/>
    <mergeCell ref="S146:T146"/>
    <mergeCell ref="U146:V146"/>
    <mergeCell ref="A147:C147"/>
    <mergeCell ref="D147:F147"/>
    <mergeCell ref="H147:I147"/>
    <mergeCell ref="J147:M147"/>
    <mergeCell ref="N147:O147"/>
    <mergeCell ref="P147:R147"/>
    <mergeCell ref="S147:T147"/>
    <mergeCell ref="U147:V147"/>
    <mergeCell ref="A146:C146"/>
    <mergeCell ref="D146:F146"/>
    <mergeCell ref="H146:I146"/>
    <mergeCell ref="J146:M146"/>
    <mergeCell ref="N146:O146"/>
    <mergeCell ref="P146:R146"/>
    <mergeCell ref="B153:C153"/>
    <mergeCell ref="D153:M153"/>
    <mergeCell ref="A154:B154"/>
    <mergeCell ref="E154:I154"/>
    <mergeCell ref="J154:M154"/>
    <mergeCell ref="N154:O154"/>
    <mergeCell ref="S150:T150"/>
    <mergeCell ref="U150:V150"/>
    <mergeCell ref="J152:M152"/>
    <mergeCell ref="N152:O152"/>
    <mergeCell ref="P152:R152"/>
    <mergeCell ref="S152:T152"/>
    <mergeCell ref="U152:V152"/>
    <mergeCell ref="A150:C150"/>
    <mergeCell ref="D150:F150"/>
    <mergeCell ref="H150:I150"/>
    <mergeCell ref="J150:M150"/>
    <mergeCell ref="N150:O150"/>
    <mergeCell ref="P150:R150"/>
    <mergeCell ref="S156:T156"/>
    <mergeCell ref="U156:V156"/>
    <mergeCell ref="A157:C157"/>
    <mergeCell ref="D157:F157"/>
    <mergeCell ref="H157:I157"/>
    <mergeCell ref="J157:M157"/>
    <mergeCell ref="N157:O157"/>
    <mergeCell ref="P157:R157"/>
    <mergeCell ref="S157:T157"/>
    <mergeCell ref="U157:V157"/>
    <mergeCell ref="A156:C156"/>
    <mergeCell ref="D156:F156"/>
    <mergeCell ref="H156:I156"/>
    <mergeCell ref="J156:M156"/>
    <mergeCell ref="N156:O156"/>
    <mergeCell ref="P156:R156"/>
    <mergeCell ref="P154:Q154"/>
    <mergeCell ref="S154:T154"/>
    <mergeCell ref="A155:B155"/>
    <mergeCell ref="E155:I155"/>
    <mergeCell ref="J155:M155"/>
    <mergeCell ref="N155:O155"/>
    <mergeCell ref="P155:Q155"/>
    <mergeCell ref="S155:T155"/>
    <mergeCell ref="S160:T160"/>
    <mergeCell ref="U160:V160"/>
    <mergeCell ref="A161:C161"/>
    <mergeCell ref="D161:F161"/>
    <mergeCell ref="H161:I161"/>
    <mergeCell ref="J161:M161"/>
    <mergeCell ref="N161:O161"/>
    <mergeCell ref="P161:R161"/>
    <mergeCell ref="S161:T161"/>
    <mergeCell ref="U161:V161"/>
    <mergeCell ref="A160:C160"/>
    <mergeCell ref="D160:F160"/>
    <mergeCell ref="H160:I160"/>
    <mergeCell ref="J160:M160"/>
    <mergeCell ref="N160:O160"/>
    <mergeCell ref="P160:R160"/>
    <mergeCell ref="S158:T158"/>
    <mergeCell ref="U158:V158"/>
    <mergeCell ref="A159:C159"/>
    <mergeCell ref="D159:F159"/>
    <mergeCell ref="H159:I159"/>
    <mergeCell ref="J159:M159"/>
    <mergeCell ref="N159:O159"/>
    <mergeCell ref="P159:R159"/>
    <mergeCell ref="S159:T159"/>
    <mergeCell ref="U159:V159"/>
    <mergeCell ref="A158:C158"/>
    <mergeCell ref="D158:F158"/>
    <mergeCell ref="H158:I158"/>
    <mergeCell ref="J158:M158"/>
    <mergeCell ref="N158:O158"/>
    <mergeCell ref="P158:R158"/>
    <mergeCell ref="S164:T164"/>
    <mergeCell ref="U164:V164"/>
    <mergeCell ref="A165:C165"/>
    <mergeCell ref="D165:F165"/>
    <mergeCell ref="H165:I165"/>
    <mergeCell ref="J165:M165"/>
    <mergeCell ref="N165:O165"/>
    <mergeCell ref="P165:R165"/>
    <mergeCell ref="S165:T165"/>
    <mergeCell ref="U165:V165"/>
    <mergeCell ref="A164:C164"/>
    <mergeCell ref="D164:F164"/>
    <mergeCell ref="H164:I164"/>
    <mergeCell ref="J164:M164"/>
    <mergeCell ref="N164:O164"/>
    <mergeCell ref="P164:R164"/>
    <mergeCell ref="S162:T162"/>
    <mergeCell ref="U162:V162"/>
    <mergeCell ref="A163:C163"/>
    <mergeCell ref="D163:F163"/>
    <mergeCell ref="H163:I163"/>
    <mergeCell ref="J163:M163"/>
    <mergeCell ref="N163:O163"/>
    <mergeCell ref="P163:R163"/>
    <mergeCell ref="S163:T163"/>
    <mergeCell ref="U163:V163"/>
    <mergeCell ref="A162:C162"/>
    <mergeCell ref="D162:F162"/>
    <mergeCell ref="H162:I162"/>
    <mergeCell ref="J162:M162"/>
    <mergeCell ref="N162:O162"/>
    <mergeCell ref="P162:R162"/>
    <mergeCell ref="U172:V172"/>
    <mergeCell ref="S168:T168"/>
    <mergeCell ref="U168:V168"/>
    <mergeCell ref="J170:M170"/>
    <mergeCell ref="N170:O170"/>
    <mergeCell ref="P170:R170"/>
    <mergeCell ref="S170:T170"/>
    <mergeCell ref="U170:V170"/>
    <mergeCell ref="A168:C168"/>
    <mergeCell ref="D168:F168"/>
    <mergeCell ref="H168:I168"/>
    <mergeCell ref="J168:M168"/>
    <mergeCell ref="N168:O168"/>
    <mergeCell ref="P168:R168"/>
    <mergeCell ref="S166:T166"/>
    <mergeCell ref="U166:V166"/>
    <mergeCell ref="A167:C167"/>
    <mergeCell ref="D167:F167"/>
    <mergeCell ref="H167:I167"/>
    <mergeCell ref="J167:M167"/>
    <mergeCell ref="N167:O167"/>
    <mergeCell ref="P167:R167"/>
    <mergeCell ref="S167:T167"/>
    <mergeCell ref="U167:V167"/>
    <mergeCell ref="A166:C166"/>
    <mergeCell ref="D166:F166"/>
    <mergeCell ref="H166:I166"/>
    <mergeCell ref="J166:M166"/>
    <mergeCell ref="N166:O166"/>
    <mergeCell ref="P166:R166"/>
    <mergeCell ref="N176:O176"/>
    <mergeCell ref="P176:Q176"/>
    <mergeCell ref="S176:T176"/>
    <mergeCell ref="A177:B177"/>
    <mergeCell ref="E177:I177"/>
    <mergeCell ref="J177:M177"/>
    <mergeCell ref="N177:O177"/>
    <mergeCell ref="P177:Q177"/>
    <mergeCell ref="S177:T177"/>
    <mergeCell ref="A173:B174"/>
    <mergeCell ref="C173:K173"/>
    <mergeCell ref="B175:C175"/>
    <mergeCell ref="D175:M175"/>
    <mergeCell ref="A176:B176"/>
    <mergeCell ref="E176:I176"/>
    <mergeCell ref="J176:M176"/>
    <mergeCell ref="A172:H172"/>
    <mergeCell ref="J172:M172"/>
    <mergeCell ref="N172:O172"/>
    <mergeCell ref="P172:R172"/>
    <mergeCell ref="S172:T172"/>
    <mergeCell ref="S180:T180"/>
    <mergeCell ref="U180:V180"/>
    <mergeCell ref="A181:C181"/>
    <mergeCell ref="D181:F181"/>
    <mergeCell ref="H181:I181"/>
    <mergeCell ref="J181:M181"/>
    <mergeCell ref="N181:O181"/>
    <mergeCell ref="P181:R181"/>
    <mergeCell ref="S181:T181"/>
    <mergeCell ref="U181:V181"/>
    <mergeCell ref="A180:C180"/>
    <mergeCell ref="D180:F180"/>
    <mergeCell ref="H180:I180"/>
    <mergeCell ref="J180:M180"/>
    <mergeCell ref="N180:O180"/>
    <mergeCell ref="P180:R180"/>
    <mergeCell ref="S178:T178"/>
    <mergeCell ref="U178:V178"/>
    <mergeCell ref="A179:C179"/>
    <mergeCell ref="D179:F179"/>
    <mergeCell ref="H179:I179"/>
    <mergeCell ref="J179:M179"/>
    <mergeCell ref="N179:O179"/>
    <mergeCell ref="P179:R179"/>
    <mergeCell ref="S179:T179"/>
    <mergeCell ref="U179:V179"/>
    <mergeCell ref="A178:C178"/>
    <mergeCell ref="D178:F178"/>
    <mergeCell ref="H178:I178"/>
    <mergeCell ref="J178:M178"/>
    <mergeCell ref="N178:O178"/>
    <mergeCell ref="P178:R178"/>
    <mergeCell ref="P186:Q186"/>
    <mergeCell ref="S186:T186"/>
    <mergeCell ref="A187:B187"/>
    <mergeCell ref="E187:I187"/>
    <mergeCell ref="J187:M187"/>
    <mergeCell ref="N187:O187"/>
    <mergeCell ref="P187:Q187"/>
    <mergeCell ref="S187:T187"/>
    <mergeCell ref="B185:C185"/>
    <mergeCell ref="D185:M185"/>
    <mergeCell ref="A186:B186"/>
    <mergeCell ref="E186:I186"/>
    <mergeCell ref="J186:M186"/>
    <mergeCell ref="N186:O186"/>
    <mergeCell ref="S182:T182"/>
    <mergeCell ref="U182:V182"/>
    <mergeCell ref="J184:M184"/>
    <mergeCell ref="N184:O184"/>
    <mergeCell ref="P184:R184"/>
    <mergeCell ref="S184:T184"/>
    <mergeCell ref="U184:V184"/>
    <mergeCell ref="A182:C182"/>
    <mergeCell ref="D182:F182"/>
    <mergeCell ref="H182:I182"/>
    <mergeCell ref="J182:M182"/>
    <mergeCell ref="N182:O182"/>
    <mergeCell ref="P182:R182"/>
    <mergeCell ref="S190:T190"/>
    <mergeCell ref="U190:V190"/>
    <mergeCell ref="A191:C191"/>
    <mergeCell ref="D191:F191"/>
    <mergeCell ref="H191:I191"/>
    <mergeCell ref="J191:M191"/>
    <mergeCell ref="N191:O191"/>
    <mergeCell ref="P191:R191"/>
    <mergeCell ref="S191:T191"/>
    <mergeCell ref="U191:V191"/>
    <mergeCell ref="A190:C190"/>
    <mergeCell ref="D190:F190"/>
    <mergeCell ref="H190:I190"/>
    <mergeCell ref="J190:M190"/>
    <mergeCell ref="N190:O190"/>
    <mergeCell ref="P190:R190"/>
    <mergeCell ref="S188:T188"/>
    <mergeCell ref="U188:V188"/>
    <mergeCell ref="A189:C189"/>
    <mergeCell ref="D189:F189"/>
    <mergeCell ref="H189:I189"/>
    <mergeCell ref="J189:M189"/>
    <mergeCell ref="N189:O189"/>
    <mergeCell ref="P189:R189"/>
    <mergeCell ref="S189:T189"/>
    <mergeCell ref="U189:V189"/>
    <mergeCell ref="A188:C188"/>
    <mergeCell ref="D188:F188"/>
    <mergeCell ref="H188:I188"/>
    <mergeCell ref="J188:M188"/>
    <mergeCell ref="N188:O188"/>
    <mergeCell ref="P188:R188"/>
    <mergeCell ref="P196:Q196"/>
    <mergeCell ref="S196:T196"/>
    <mergeCell ref="A197:B197"/>
    <mergeCell ref="E197:I197"/>
    <mergeCell ref="J197:M197"/>
    <mergeCell ref="N197:O197"/>
    <mergeCell ref="P197:Q197"/>
    <mergeCell ref="S197:T197"/>
    <mergeCell ref="B195:C195"/>
    <mergeCell ref="D195:M195"/>
    <mergeCell ref="A196:B196"/>
    <mergeCell ref="E196:I196"/>
    <mergeCell ref="J196:M196"/>
    <mergeCell ref="N196:O196"/>
    <mergeCell ref="S192:T192"/>
    <mergeCell ref="U192:V192"/>
    <mergeCell ref="J194:M194"/>
    <mergeCell ref="N194:O194"/>
    <mergeCell ref="P194:R194"/>
    <mergeCell ref="S194:T194"/>
    <mergeCell ref="U194:V194"/>
    <mergeCell ref="A192:C192"/>
    <mergeCell ref="D192:F192"/>
    <mergeCell ref="H192:I192"/>
    <mergeCell ref="J192:M192"/>
    <mergeCell ref="N192:O192"/>
    <mergeCell ref="P192:R192"/>
    <mergeCell ref="S200:T200"/>
    <mergeCell ref="U200:V200"/>
    <mergeCell ref="A201:C201"/>
    <mergeCell ref="D201:F201"/>
    <mergeCell ref="H201:I201"/>
    <mergeCell ref="J201:M201"/>
    <mergeCell ref="N201:O201"/>
    <mergeCell ref="P201:R201"/>
    <mergeCell ref="S201:T201"/>
    <mergeCell ref="U201:V201"/>
    <mergeCell ref="A200:C200"/>
    <mergeCell ref="D200:F200"/>
    <mergeCell ref="H200:I200"/>
    <mergeCell ref="J200:M200"/>
    <mergeCell ref="N200:O200"/>
    <mergeCell ref="P200:R200"/>
    <mergeCell ref="S198:T198"/>
    <mergeCell ref="U198:V198"/>
    <mergeCell ref="A199:C199"/>
    <mergeCell ref="D199:F199"/>
    <mergeCell ref="H199:I199"/>
    <mergeCell ref="J199:M199"/>
    <mergeCell ref="N199:O199"/>
    <mergeCell ref="P199:R199"/>
    <mergeCell ref="S199:T199"/>
    <mergeCell ref="U199:V199"/>
    <mergeCell ref="A198:C198"/>
    <mergeCell ref="D198:F198"/>
    <mergeCell ref="H198:I198"/>
    <mergeCell ref="J198:M198"/>
    <mergeCell ref="N198:O198"/>
    <mergeCell ref="P198:R198"/>
    <mergeCell ref="A207:B208"/>
    <mergeCell ref="C207:K207"/>
    <mergeCell ref="B209:C209"/>
    <mergeCell ref="D209:M209"/>
    <mergeCell ref="A210:B210"/>
    <mergeCell ref="E210:I210"/>
    <mergeCell ref="J210:M210"/>
    <mergeCell ref="A206:H206"/>
    <mergeCell ref="J206:M206"/>
    <mergeCell ref="N206:O206"/>
    <mergeCell ref="P206:R206"/>
    <mergeCell ref="S206:T206"/>
    <mergeCell ref="U206:V206"/>
    <mergeCell ref="S202:T202"/>
    <mergeCell ref="U202:V202"/>
    <mergeCell ref="J204:M204"/>
    <mergeCell ref="N204:O204"/>
    <mergeCell ref="P204:R204"/>
    <mergeCell ref="S204:T204"/>
    <mergeCell ref="U204:V204"/>
    <mergeCell ref="A202:C202"/>
    <mergeCell ref="D202:F202"/>
    <mergeCell ref="H202:I202"/>
    <mergeCell ref="J202:M202"/>
    <mergeCell ref="N202:O202"/>
    <mergeCell ref="P202:R202"/>
    <mergeCell ref="U216:V216"/>
    <mergeCell ref="S212:T212"/>
    <mergeCell ref="U212:V212"/>
    <mergeCell ref="J214:M214"/>
    <mergeCell ref="N214:O214"/>
    <mergeCell ref="P214:R214"/>
    <mergeCell ref="S214:T214"/>
    <mergeCell ref="U214:V214"/>
    <mergeCell ref="A212:C212"/>
    <mergeCell ref="D212:F212"/>
    <mergeCell ref="H212:I212"/>
    <mergeCell ref="J212:M212"/>
    <mergeCell ref="N212:O212"/>
    <mergeCell ref="P212:R212"/>
    <mergeCell ref="N210:O210"/>
    <mergeCell ref="P210:Q210"/>
    <mergeCell ref="S210:T210"/>
    <mergeCell ref="A211:B211"/>
    <mergeCell ref="E211:I211"/>
    <mergeCell ref="J211:M211"/>
    <mergeCell ref="N211:O211"/>
    <mergeCell ref="P211:Q211"/>
    <mergeCell ref="S211:T211"/>
    <mergeCell ref="N220:O220"/>
    <mergeCell ref="P220:Q220"/>
    <mergeCell ref="S220:T220"/>
    <mergeCell ref="A221:B221"/>
    <mergeCell ref="E221:I221"/>
    <mergeCell ref="J221:M221"/>
    <mergeCell ref="N221:O221"/>
    <mergeCell ref="P221:Q221"/>
    <mergeCell ref="S221:T221"/>
    <mergeCell ref="A217:B218"/>
    <mergeCell ref="C217:K217"/>
    <mergeCell ref="B219:C219"/>
    <mergeCell ref="D219:M219"/>
    <mergeCell ref="A220:B220"/>
    <mergeCell ref="E220:I220"/>
    <mergeCell ref="J220:M220"/>
    <mergeCell ref="A216:H216"/>
    <mergeCell ref="J216:M216"/>
    <mergeCell ref="N216:O216"/>
    <mergeCell ref="P216:R216"/>
    <mergeCell ref="S216:T216"/>
    <mergeCell ref="S224:T224"/>
    <mergeCell ref="U224:V224"/>
    <mergeCell ref="A225:C225"/>
    <mergeCell ref="D225:F225"/>
    <mergeCell ref="H225:I225"/>
    <mergeCell ref="J225:M225"/>
    <mergeCell ref="N225:O225"/>
    <mergeCell ref="P225:R225"/>
    <mergeCell ref="S225:T225"/>
    <mergeCell ref="U225:V225"/>
    <mergeCell ref="A224:C224"/>
    <mergeCell ref="D224:F224"/>
    <mergeCell ref="H224:I224"/>
    <mergeCell ref="J224:M224"/>
    <mergeCell ref="N224:O224"/>
    <mergeCell ref="P224:R224"/>
    <mergeCell ref="S222:T222"/>
    <mergeCell ref="U222:V222"/>
    <mergeCell ref="A223:C223"/>
    <mergeCell ref="D223:F223"/>
    <mergeCell ref="H223:I223"/>
    <mergeCell ref="J223:M223"/>
    <mergeCell ref="N223:O223"/>
    <mergeCell ref="P223:R223"/>
    <mergeCell ref="S223:T223"/>
    <mergeCell ref="U223:V223"/>
    <mergeCell ref="A222:C222"/>
    <mergeCell ref="D222:F222"/>
    <mergeCell ref="H222:I222"/>
    <mergeCell ref="J222:M222"/>
    <mergeCell ref="N222:O222"/>
    <mergeCell ref="P222:R222"/>
    <mergeCell ref="S228:T228"/>
    <mergeCell ref="U228:V228"/>
    <mergeCell ref="A229:C229"/>
    <mergeCell ref="D229:F229"/>
    <mergeCell ref="H229:I229"/>
    <mergeCell ref="J229:M229"/>
    <mergeCell ref="N229:O229"/>
    <mergeCell ref="P229:R229"/>
    <mergeCell ref="S229:T229"/>
    <mergeCell ref="U229:V229"/>
    <mergeCell ref="A228:C228"/>
    <mergeCell ref="D228:F228"/>
    <mergeCell ref="H228:I228"/>
    <mergeCell ref="J228:M228"/>
    <mergeCell ref="N228:O228"/>
    <mergeCell ref="P228:R228"/>
    <mergeCell ref="S226:T226"/>
    <mergeCell ref="U226:V226"/>
    <mergeCell ref="A227:C227"/>
    <mergeCell ref="D227:F227"/>
    <mergeCell ref="H227:I227"/>
    <mergeCell ref="J227:M227"/>
    <mergeCell ref="N227:O227"/>
    <mergeCell ref="P227:R227"/>
    <mergeCell ref="S227:T227"/>
    <mergeCell ref="U227:V227"/>
    <mergeCell ref="A226:C226"/>
    <mergeCell ref="D226:F226"/>
    <mergeCell ref="H226:I226"/>
    <mergeCell ref="J226:M226"/>
    <mergeCell ref="N226:O226"/>
    <mergeCell ref="P226:R226"/>
    <mergeCell ref="S232:T232"/>
    <mergeCell ref="U232:V232"/>
    <mergeCell ref="A233:C233"/>
    <mergeCell ref="D233:F233"/>
    <mergeCell ref="H233:I233"/>
    <mergeCell ref="J233:M233"/>
    <mergeCell ref="N233:O233"/>
    <mergeCell ref="P233:R233"/>
    <mergeCell ref="S233:T233"/>
    <mergeCell ref="U233:V233"/>
    <mergeCell ref="A232:C232"/>
    <mergeCell ref="D232:F232"/>
    <mergeCell ref="H232:I232"/>
    <mergeCell ref="J232:M232"/>
    <mergeCell ref="N232:O232"/>
    <mergeCell ref="P232:R232"/>
    <mergeCell ref="S230:T230"/>
    <mergeCell ref="U230:V230"/>
    <mergeCell ref="A231:C231"/>
    <mergeCell ref="D231:F231"/>
    <mergeCell ref="H231:I231"/>
    <mergeCell ref="J231:M231"/>
    <mergeCell ref="N231:O231"/>
    <mergeCell ref="P231:R231"/>
    <mergeCell ref="S231:T231"/>
    <mergeCell ref="U231:V231"/>
    <mergeCell ref="A230:C230"/>
    <mergeCell ref="D230:F230"/>
    <mergeCell ref="H230:I230"/>
    <mergeCell ref="J230:M230"/>
    <mergeCell ref="N230:O230"/>
    <mergeCell ref="P230:R230"/>
    <mergeCell ref="P238:Q238"/>
    <mergeCell ref="S238:T238"/>
    <mergeCell ref="A239:B239"/>
    <mergeCell ref="E239:I239"/>
    <mergeCell ref="J239:M239"/>
    <mergeCell ref="N239:O239"/>
    <mergeCell ref="P239:Q239"/>
    <mergeCell ref="S239:T239"/>
    <mergeCell ref="B237:C237"/>
    <mergeCell ref="D237:M237"/>
    <mergeCell ref="A238:B238"/>
    <mergeCell ref="E238:I238"/>
    <mergeCell ref="J238:M238"/>
    <mergeCell ref="N238:O238"/>
    <mergeCell ref="S234:T234"/>
    <mergeCell ref="U234:V234"/>
    <mergeCell ref="J236:M236"/>
    <mergeCell ref="N236:O236"/>
    <mergeCell ref="P236:R236"/>
    <mergeCell ref="S236:T236"/>
    <mergeCell ref="U236:V236"/>
    <mergeCell ref="A234:C234"/>
    <mergeCell ref="D234:F234"/>
    <mergeCell ref="H234:I234"/>
    <mergeCell ref="J234:M234"/>
    <mergeCell ref="N234:O234"/>
    <mergeCell ref="P234:R234"/>
    <mergeCell ref="S242:T242"/>
    <mergeCell ref="U242:V242"/>
    <mergeCell ref="A243:C243"/>
    <mergeCell ref="D243:F243"/>
    <mergeCell ref="H243:I243"/>
    <mergeCell ref="J243:M243"/>
    <mergeCell ref="N243:O243"/>
    <mergeCell ref="P243:R243"/>
    <mergeCell ref="S243:T243"/>
    <mergeCell ref="U243:V243"/>
    <mergeCell ref="A242:C242"/>
    <mergeCell ref="D242:F242"/>
    <mergeCell ref="H242:I242"/>
    <mergeCell ref="J242:M242"/>
    <mergeCell ref="N242:O242"/>
    <mergeCell ref="P242:R242"/>
    <mergeCell ref="S240:T240"/>
    <mergeCell ref="U240:V240"/>
    <mergeCell ref="A241:C241"/>
    <mergeCell ref="D241:F241"/>
    <mergeCell ref="H241:I241"/>
    <mergeCell ref="J241:M241"/>
    <mergeCell ref="N241:O241"/>
    <mergeCell ref="P241:R241"/>
    <mergeCell ref="S241:T241"/>
    <mergeCell ref="U241:V241"/>
    <mergeCell ref="A240:C240"/>
    <mergeCell ref="D240:F240"/>
    <mergeCell ref="H240:I240"/>
    <mergeCell ref="J240:M240"/>
    <mergeCell ref="N240:O240"/>
    <mergeCell ref="P240:R240"/>
    <mergeCell ref="S246:T246"/>
    <mergeCell ref="U246:V246"/>
    <mergeCell ref="A247:C247"/>
    <mergeCell ref="D247:F247"/>
    <mergeCell ref="H247:I247"/>
    <mergeCell ref="J247:M247"/>
    <mergeCell ref="N247:O247"/>
    <mergeCell ref="P247:R247"/>
    <mergeCell ref="S247:T247"/>
    <mergeCell ref="U247:V247"/>
    <mergeCell ref="A246:C246"/>
    <mergeCell ref="D246:F246"/>
    <mergeCell ref="H246:I246"/>
    <mergeCell ref="J246:M246"/>
    <mergeCell ref="N246:O246"/>
    <mergeCell ref="P246:R246"/>
    <mergeCell ref="S244:T244"/>
    <mergeCell ref="U244:V244"/>
    <mergeCell ref="A245:C245"/>
    <mergeCell ref="D245:F245"/>
    <mergeCell ref="H245:I245"/>
    <mergeCell ref="J245:M245"/>
    <mergeCell ref="N245:O245"/>
    <mergeCell ref="P245:R245"/>
    <mergeCell ref="S245:T245"/>
    <mergeCell ref="U245:V245"/>
    <mergeCell ref="A244:C244"/>
    <mergeCell ref="D244:F244"/>
    <mergeCell ref="H244:I244"/>
    <mergeCell ref="J244:M244"/>
    <mergeCell ref="N244:O244"/>
    <mergeCell ref="P244:R244"/>
    <mergeCell ref="S250:T250"/>
    <mergeCell ref="U250:V250"/>
    <mergeCell ref="A251:C251"/>
    <mergeCell ref="D251:F251"/>
    <mergeCell ref="H251:I251"/>
    <mergeCell ref="J251:M251"/>
    <mergeCell ref="N251:O251"/>
    <mergeCell ref="P251:R251"/>
    <mergeCell ref="S251:T251"/>
    <mergeCell ref="U251:V251"/>
    <mergeCell ref="A250:C250"/>
    <mergeCell ref="D250:F250"/>
    <mergeCell ref="H250:I250"/>
    <mergeCell ref="J250:M250"/>
    <mergeCell ref="N250:O250"/>
    <mergeCell ref="P250:R250"/>
    <mergeCell ref="S248:T248"/>
    <mergeCell ref="U248:V248"/>
    <mergeCell ref="A249:C249"/>
    <mergeCell ref="D249:F249"/>
    <mergeCell ref="H249:I249"/>
    <mergeCell ref="J249:M249"/>
    <mergeCell ref="N249:O249"/>
    <mergeCell ref="P249:R249"/>
    <mergeCell ref="S249:T249"/>
    <mergeCell ref="U249:V249"/>
    <mergeCell ref="A248:C248"/>
    <mergeCell ref="D248:F248"/>
    <mergeCell ref="H248:I248"/>
    <mergeCell ref="J248:M248"/>
    <mergeCell ref="N248:O248"/>
    <mergeCell ref="P248:R248"/>
    <mergeCell ref="P256:Q256"/>
    <mergeCell ref="S256:T256"/>
    <mergeCell ref="A257:B257"/>
    <mergeCell ref="E257:I257"/>
    <mergeCell ref="J257:M257"/>
    <mergeCell ref="N257:O257"/>
    <mergeCell ref="P257:Q257"/>
    <mergeCell ref="S257:T257"/>
    <mergeCell ref="B255:C255"/>
    <mergeCell ref="D255:M255"/>
    <mergeCell ref="A256:B256"/>
    <mergeCell ref="E256:I256"/>
    <mergeCell ref="J256:M256"/>
    <mergeCell ref="N256:O256"/>
    <mergeCell ref="S252:T252"/>
    <mergeCell ref="U252:V252"/>
    <mergeCell ref="J254:M254"/>
    <mergeCell ref="N254:O254"/>
    <mergeCell ref="P254:R254"/>
    <mergeCell ref="S254:T254"/>
    <mergeCell ref="U254:V254"/>
    <mergeCell ref="A252:C252"/>
    <mergeCell ref="D252:F252"/>
    <mergeCell ref="H252:I252"/>
    <mergeCell ref="J252:M252"/>
    <mergeCell ref="N252:O252"/>
    <mergeCell ref="P252:R252"/>
    <mergeCell ref="S260:T260"/>
    <mergeCell ref="U260:V260"/>
    <mergeCell ref="A261:C261"/>
    <mergeCell ref="D261:F261"/>
    <mergeCell ref="H261:I261"/>
    <mergeCell ref="J261:M261"/>
    <mergeCell ref="N261:O261"/>
    <mergeCell ref="P261:R261"/>
    <mergeCell ref="S261:T261"/>
    <mergeCell ref="U261:V261"/>
    <mergeCell ref="A260:C260"/>
    <mergeCell ref="D260:F260"/>
    <mergeCell ref="H260:I260"/>
    <mergeCell ref="J260:M260"/>
    <mergeCell ref="N260:O260"/>
    <mergeCell ref="P260:R260"/>
    <mergeCell ref="S258:T258"/>
    <mergeCell ref="U258:V258"/>
    <mergeCell ref="A259:C259"/>
    <mergeCell ref="D259:F259"/>
    <mergeCell ref="H259:I259"/>
    <mergeCell ref="J259:M259"/>
    <mergeCell ref="N259:O259"/>
    <mergeCell ref="P259:R259"/>
    <mergeCell ref="S259:T259"/>
    <mergeCell ref="U259:V259"/>
    <mergeCell ref="A258:C258"/>
    <mergeCell ref="D258:F258"/>
    <mergeCell ref="H258:I258"/>
    <mergeCell ref="J258:M258"/>
    <mergeCell ref="N258:O258"/>
    <mergeCell ref="P258:R258"/>
    <mergeCell ref="S264:T264"/>
    <mergeCell ref="U264:V264"/>
    <mergeCell ref="A265:C265"/>
    <mergeCell ref="D265:F265"/>
    <mergeCell ref="H265:I265"/>
    <mergeCell ref="J265:M265"/>
    <mergeCell ref="N265:O265"/>
    <mergeCell ref="P265:R265"/>
    <mergeCell ref="S265:T265"/>
    <mergeCell ref="U265:V265"/>
    <mergeCell ref="A264:C264"/>
    <mergeCell ref="D264:F264"/>
    <mergeCell ref="H264:I264"/>
    <mergeCell ref="J264:M264"/>
    <mergeCell ref="N264:O264"/>
    <mergeCell ref="P264:R264"/>
    <mergeCell ref="S262:T262"/>
    <mergeCell ref="U262:V262"/>
    <mergeCell ref="A263:C263"/>
    <mergeCell ref="D263:F263"/>
    <mergeCell ref="H263:I263"/>
    <mergeCell ref="J263:M263"/>
    <mergeCell ref="N263:O263"/>
    <mergeCell ref="P263:R263"/>
    <mergeCell ref="S263:T263"/>
    <mergeCell ref="U263:V263"/>
    <mergeCell ref="A262:C262"/>
    <mergeCell ref="D262:F262"/>
    <mergeCell ref="H262:I262"/>
    <mergeCell ref="J262:M262"/>
    <mergeCell ref="N262:O262"/>
    <mergeCell ref="P262:R262"/>
    <mergeCell ref="S268:T268"/>
    <mergeCell ref="U268:V268"/>
    <mergeCell ref="A269:C269"/>
    <mergeCell ref="D269:F269"/>
    <mergeCell ref="H269:I269"/>
    <mergeCell ref="J269:M269"/>
    <mergeCell ref="N269:O269"/>
    <mergeCell ref="P269:R269"/>
    <mergeCell ref="S269:T269"/>
    <mergeCell ref="U269:V269"/>
    <mergeCell ref="A268:C268"/>
    <mergeCell ref="D268:F268"/>
    <mergeCell ref="H268:I268"/>
    <mergeCell ref="J268:M268"/>
    <mergeCell ref="N268:O268"/>
    <mergeCell ref="P268:R268"/>
    <mergeCell ref="S266:T266"/>
    <mergeCell ref="U266:V266"/>
    <mergeCell ref="A267:C267"/>
    <mergeCell ref="D267:F267"/>
    <mergeCell ref="H267:I267"/>
    <mergeCell ref="J267:M267"/>
    <mergeCell ref="N267:O267"/>
    <mergeCell ref="P267:R267"/>
    <mergeCell ref="S267:T267"/>
    <mergeCell ref="U267:V267"/>
    <mergeCell ref="A266:C266"/>
    <mergeCell ref="D266:F266"/>
    <mergeCell ref="H266:I266"/>
    <mergeCell ref="J266:M266"/>
    <mergeCell ref="N266:O266"/>
    <mergeCell ref="P266:R266"/>
    <mergeCell ref="A275:B276"/>
    <mergeCell ref="C275:K275"/>
    <mergeCell ref="B277:C277"/>
    <mergeCell ref="D277:M277"/>
    <mergeCell ref="A278:B278"/>
    <mergeCell ref="E278:I278"/>
    <mergeCell ref="J278:M278"/>
    <mergeCell ref="A274:H274"/>
    <mergeCell ref="J274:M274"/>
    <mergeCell ref="N274:O274"/>
    <mergeCell ref="P274:R274"/>
    <mergeCell ref="S274:T274"/>
    <mergeCell ref="U274:V274"/>
    <mergeCell ref="S270:T270"/>
    <mergeCell ref="U270:V270"/>
    <mergeCell ref="J272:M272"/>
    <mergeCell ref="N272:O272"/>
    <mergeCell ref="P272:R272"/>
    <mergeCell ref="S272:T272"/>
    <mergeCell ref="U272:V272"/>
    <mergeCell ref="A270:C270"/>
    <mergeCell ref="D270:F270"/>
    <mergeCell ref="H270:I270"/>
    <mergeCell ref="J270:M270"/>
    <mergeCell ref="N270:O270"/>
    <mergeCell ref="P270:R270"/>
    <mergeCell ref="S280:T280"/>
    <mergeCell ref="U280:V280"/>
    <mergeCell ref="A281:C281"/>
    <mergeCell ref="D281:F281"/>
    <mergeCell ref="H281:I281"/>
    <mergeCell ref="J281:M281"/>
    <mergeCell ref="N281:O281"/>
    <mergeCell ref="P281:R281"/>
    <mergeCell ref="S281:T281"/>
    <mergeCell ref="U281:V281"/>
    <mergeCell ref="A280:C280"/>
    <mergeCell ref="D280:F280"/>
    <mergeCell ref="H280:I280"/>
    <mergeCell ref="J280:M280"/>
    <mergeCell ref="N280:O280"/>
    <mergeCell ref="P280:R280"/>
    <mergeCell ref="N278:O278"/>
    <mergeCell ref="P278:Q278"/>
    <mergeCell ref="S278:T278"/>
    <mergeCell ref="A279:B279"/>
    <mergeCell ref="E279:I279"/>
    <mergeCell ref="J279:M279"/>
    <mergeCell ref="N279:O279"/>
    <mergeCell ref="P279:Q279"/>
    <mergeCell ref="S279:T279"/>
    <mergeCell ref="S284:T284"/>
    <mergeCell ref="U284:V284"/>
    <mergeCell ref="A285:C285"/>
    <mergeCell ref="D285:F285"/>
    <mergeCell ref="H285:I285"/>
    <mergeCell ref="J285:M285"/>
    <mergeCell ref="N285:O285"/>
    <mergeCell ref="P285:R285"/>
    <mergeCell ref="S285:T285"/>
    <mergeCell ref="U285:V285"/>
    <mergeCell ref="A284:C284"/>
    <mergeCell ref="D284:F284"/>
    <mergeCell ref="H284:I284"/>
    <mergeCell ref="J284:M284"/>
    <mergeCell ref="N284:O284"/>
    <mergeCell ref="P284:R284"/>
    <mergeCell ref="S282:T282"/>
    <mergeCell ref="U282:V282"/>
    <mergeCell ref="A283:C283"/>
    <mergeCell ref="D283:F283"/>
    <mergeCell ref="H283:I283"/>
    <mergeCell ref="J283:M283"/>
    <mergeCell ref="N283:O283"/>
    <mergeCell ref="P283:R283"/>
    <mergeCell ref="S283:T283"/>
    <mergeCell ref="U283:V283"/>
    <mergeCell ref="A282:C282"/>
    <mergeCell ref="D282:F282"/>
    <mergeCell ref="H282:I282"/>
    <mergeCell ref="J282:M282"/>
    <mergeCell ref="N282:O282"/>
    <mergeCell ref="P282:R282"/>
    <mergeCell ref="B289:C289"/>
    <mergeCell ref="D289:M289"/>
    <mergeCell ref="A290:B290"/>
    <mergeCell ref="E290:I290"/>
    <mergeCell ref="J290:M290"/>
    <mergeCell ref="N290:O290"/>
    <mergeCell ref="S286:T286"/>
    <mergeCell ref="U286:V286"/>
    <mergeCell ref="J288:M288"/>
    <mergeCell ref="N288:O288"/>
    <mergeCell ref="P288:R288"/>
    <mergeCell ref="S288:T288"/>
    <mergeCell ref="U288:V288"/>
    <mergeCell ref="A286:C286"/>
    <mergeCell ref="D286:F286"/>
    <mergeCell ref="H286:I286"/>
    <mergeCell ref="J286:M286"/>
    <mergeCell ref="N286:O286"/>
    <mergeCell ref="P286:R286"/>
    <mergeCell ref="S292:T292"/>
    <mergeCell ref="U292:V292"/>
    <mergeCell ref="A293:C293"/>
    <mergeCell ref="D293:F293"/>
    <mergeCell ref="H293:I293"/>
    <mergeCell ref="J293:M293"/>
    <mergeCell ref="N293:O293"/>
    <mergeCell ref="P293:R293"/>
    <mergeCell ref="S293:T293"/>
    <mergeCell ref="U293:V293"/>
    <mergeCell ref="A292:C292"/>
    <mergeCell ref="D292:F292"/>
    <mergeCell ref="H292:I292"/>
    <mergeCell ref="J292:M292"/>
    <mergeCell ref="N292:O292"/>
    <mergeCell ref="P292:R292"/>
    <mergeCell ref="P290:Q290"/>
    <mergeCell ref="S290:T290"/>
    <mergeCell ref="A291:B291"/>
    <mergeCell ref="E291:I291"/>
    <mergeCell ref="J291:M291"/>
    <mergeCell ref="N291:O291"/>
    <mergeCell ref="P291:Q291"/>
    <mergeCell ref="S291:T291"/>
    <mergeCell ref="S296:T296"/>
    <mergeCell ref="U296:V296"/>
    <mergeCell ref="A297:C297"/>
    <mergeCell ref="D297:F297"/>
    <mergeCell ref="H297:I297"/>
    <mergeCell ref="J297:M297"/>
    <mergeCell ref="N297:O297"/>
    <mergeCell ref="P297:R297"/>
    <mergeCell ref="S297:T297"/>
    <mergeCell ref="U297:V297"/>
    <mergeCell ref="A296:C296"/>
    <mergeCell ref="D296:F296"/>
    <mergeCell ref="H296:I296"/>
    <mergeCell ref="J296:M296"/>
    <mergeCell ref="N296:O296"/>
    <mergeCell ref="P296:R296"/>
    <mergeCell ref="S294:T294"/>
    <mergeCell ref="U294:V294"/>
    <mergeCell ref="A295:C295"/>
    <mergeCell ref="D295:F295"/>
    <mergeCell ref="H295:I295"/>
    <mergeCell ref="J295:M295"/>
    <mergeCell ref="N295:O295"/>
    <mergeCell ref="P295:R295"/>
    <mergeCell ref="S295:T295"/>
    <mergeCell ref="U295:V295"/>
    <mergeCell ref="A294:C294"/>
    <mergeCell ref="D294:F294"/>
    <mergeCell ref="H294:I294"/>
    <mergeCell ref="J294:M294"/>
    <mergeCell ref="N294:O294"/>
    <mergeCell ref="P294:R294"/>
    <mergeCell ref="B301:C301"/>
    <mergeCell ref="D301:M301"/>
    <mergeCell ref="A302:B302"/>
    <mergeCell ref="E302:I302"/>
    <mergeCell ref="J302:M302"/>
    <mergeCell ref="N302:O302"/>
    <mergeCell ref="S298:T298"/>
    <mergeCell ref="U298:V298"/>
    <mergeCell ref="J300:M300"/>
    <mergeCell ref="N300:O300"/>
    <mergeCell ref="P300:R300"/>
    <mergeCell ref="S300:T300"/>
    <mergeCell ref="U300:V300"/>
    <mergeCell ref="A298:C298"/>
    <mergeCell ref="D298:F298"/>
    <mergeCell ref="H298:I298"/>
    <mergeCell ref="J298:M298"/>
    <mergeCell ref="N298:O298"/>
    <mergeCell ref="P298:R298"/>
    <mergeCell ref="S304:T304"/>
    <mergeCell ref="U304:V304"/>
    <mergeCell ref="A305:C305"/>
    <mergeCell ref="D305:F305"/>
    <mergeCell ref="H305:I305"/>
    <mergeCell ref="J305:M305"/>
    <mergeCell ref="N305:O305"/>
    <mergeCell ref="P305:R305"/>
    <mergeCell ref="S305:T305"/>
    <mergeCell ref="U305:V305"/>
    <mergeCell ref="A304:C304"/>
    <mergeCell ref="D304:F304"/>
    <mergeCell ref="H304:I304"/>
    <mergeCell ref="J304:M304"/>
    <mergeCell ref="N304:O304"/>
    <mergeCell ref="P304:R304"/>
    <mergeCell ref="P302:Q302"/>
    <mergeCell ref="S302:T302"/>
    <mergeCell ref="A303:B303"/>
    <mergeCell ref="E303:I303"/>
    <mergeCell ref="J303:M303"/>
    <mergeCell ref="N303:O303"/>
    <mergeCell ref="P303:Q303"/>
    <mergeCell ref="S303:T303"/>
    <mergeCell ref="S308:T308"/>
    <mergeCell ref="U308:V308"/>
    <mergeCell ref="A309:C309"/>
    <mergeCell ref="D309:F309"/>
    <mergeCell ref="H309:I309"/>
    <mergeCell ref="J309:M309"/>
    <mergeCell ref="N309:O309"/>
    <mergeCell ref="P309:R309"/>
    <mergeCell ref="S309:T309"/>
    <mergeCell ref="U309:V309"/>
    <mergeCell ref="A308:C308"/>
    <mergeCell ref="D308:F308"/>
    <mergeCell ref="H308:I308"/>
    <mergeCell ref="J308:M308"/>
    <mergeCell ref="N308:O308"/>
    <mergeCell ref="P308:R308"/>
    <mergeCell ref="S306:T306"/>
    <mergeCell ref="U306:V306"/>
    <mergeCell ref="A307:C307"/>
    <mergeCell ref="D307:F307"/>
    <mergeCell ref="H307:I307"/>
    <mergeCell ref="J307:M307"/>
    <mergeCell ref="N307:O307"/>
    <mergeCell ref="P307:R307"/>
    <mergeCell ref="S307:T307"/>
    <mergeCell ref="U307:V307"/>
    <mergeCell ref="A306:C306"/>
    <mergeCell ref="D306:F306"/>
    <mergeCell ref="H306:I306"/>
    <mergeCell ref="J306:M306"/>
    <mergeCell ref="N306:O306"/>
    <mergeCell ref="P306:R306"/>
    <mergeCell ref="A314:H314"/>
    <mergeCell ref="J314:M314"/>
    <mergeCell ref="N314:O314"/>
    <mergeCell ref="P314:R314"/>
    <mergeCell ref="S314:T314"/>
    <mergeCell ref="U314:V314"/>
    <mergeCell ref="S310:T310"/>
    <mergeCell ref="U310:V310"/>
    <mergeCell ref="J312:M312"/>
    <mergeCell ref="N312:O312"/>
    <mergeCell ref="P312:R312"/>
    <mergeCell ref="S312:T312"/>
    <mergeCell ref="U312:V312"/>
    <mergeCell ref="A310:C310"/>
    <mergeCell ref="D310:F310"/>
    <mergeCell ref="H310:I310"/>
    <mergeCell ref="J310:M310"/>
    <mergeCell ref="N310:O310"/>
    <mergeCell ref="P310:R310"/>
  </mergeCells>
  <printOptions/>
  <pageMargins left="0.7" right="0.7" top="0.75" bottom="0.75" header="0.3" footer="0.3"/>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dimension ref="A1:X320"/>
  <sheetViews>
    <sheetView zoomScalePageLayoutView="0" workbookViewId="0" topLeftCell="A265">
      <selection activeCell="A3" sqref="A3:X320"/>
    </sheetView>
  </sheetViews>
  <sheetFormatPr defaultColWidth="9.33203125" defaultRowHeight="10.5"/>
  <cols>
    <col min="1" max="1" width="10.66015625" style="83" customWidth="1"/>
    <col min="2" max="2" width="11" style="88" customWidth="1"/>
    <col min="3" max="3" width="8.16015625" style="88" customWidth="1"/>
    <col min="4" max="4" width="12" style="88" customWidth="1"/>
    <col min="5" max="5" width="1.66796875" style="47" customWidth="1"/>
    <col min="6" max="6" width="3.16015625" style="48" customWidth="1"/>
    <col min="7" max="8" width="9.33203125" style="48" customWidth="1"/>
    <col min="9" max="9" width="1.66796875" style="48" customWidth="1"/>
    <col min="10" max="10" width="2.16015625" style="48" customWidth="1"/>
    <col min="11" max="11" width="1.83203125" style="48" customWidth="1"/>
    <col min="12" max="12" width="3.66015625" style="48" customWidth="1"/>
    <col min="13" max="16384" width="9.33203125" style="48" customWidth="1"/>
  </cols>
  <sheetData>
    <row r="1" spans="1:3" ht="10.5">
      <c r="A1" s="90" t="s">
        <v>368</v>
      </c>
      <c r="C1" s="174" t="s">
        <v>52</v>
      </c>
    </row>
    <row r="2" spans="1:3" ht="10.5">
      <c r="A2" s="90" t="s">
        <v>369</v>
      </c>
      <c r="C2" s="174"/>
    </row>
    <row r="3" spans="1:24" ht="12">
      <c r="A3" s="430" t="s">
        <v>329</v>
      </c>
      <c r="B3" s="430"/>
      <c r="C3" s="455" t="s">
        <v>370</v>
      </c>
      <c r="D3" s="455"/>
      <c r="E3" s="455"/>
      <c r="F3" s="455"/>
      <c r="G3" s="455"/>
      <c r="H3" s="455"/>
      <c r="I3" s="455"/>
      <c r="J3" s="455"/>
      <c r="K3" s="455"/>
      <c r="L3" s="291"/>
      <c r="M3" s="291"/>
      <c r="N3" s="291"/>
      <c r="O3" s="291"/>
      <c r="P3" s="291"/>
      <c r="Q3" s="291"/>
      <c r="R3" s="291"/>
      <c r="S3" s="291"/>
      <c r="T3" s="291"/>
      <c r="U3" s="291"/>
      <c r="V3" s="291"/>
      <c r="W3" s="291"/>
      <c r="X3" s="291"/>
    </row>
    <row r="4" spans="1:24" ht="10.5">
      <c r="A4" s="430"/>
      <c r="B4" s="430"/>
      <c r="C4" s="291"/>
      <c r="D4" s="291"/>
      <c r="E4" s="291"/>
      <c r="F4" s="291"/>
      <c r="G4" s="291"/>
      <c r="H4" s="291"/>
      <c r="I4" s="291"/>
      <c r="J4" s="291"/>
      <c r="K4" s="291"/>
      <c r="L4" s="291"/>
      <c r="M4" s="291"/>
      <c r="N4" s="291"/>
      <c r="O4" s="291"/>
      <c r="P4" s="291"/>
      <c r="Q4" s="291"/>
      <c r="R4" s="291"/>
      <c r="S4" s="291"/>
      <c r="T4" s="291"/>
      <c r="U4" s="291"/>
      <c r="V4" s="291"/>
      <c r="W4" s="291"/>
      <c r="X4" s="291"/>
    </row>
    <row r="5" spans="1:24" s="96" customFormat="1" ht="12">
      <c r="A5" s="291"/>
      <c r="B5" s="430" t="s">
        <v>331</v>
      </c>
      <c r="C5" s="430"/>
      <c r="D5" s="455" t="s">
        <v>44</v>
      </c>
      <c r="E5" s="455"/>
      <c r="F5" s="455"/>
      <c r="G5" s="455"/>
      <c r="H5" s="455"/>
      <c r="I5" s="455"/>
      <c r="J5" s="455"/>
      <c r="K5" s="455"/>
      <c r="L5" s="455"/>
      <c r="M5" s="455"/>
      <c r="N5" s="291"/>
      <c r="O5" s="291"/>
      <c r="P5" s="291"/>
      <c r="Q5" s="291"/>
      <c r="R5" s="291"/>
      <c r="S5" s="291"/>
      <c r="T5" s="291"/>
      <c r="U5" s="291"/>
      <c r="V5" s="291"/>
      <c r="W5" s="291"/>
      <c r="X5" s="291"/>
    </row>
    <row r="6" spans="1:24" ht="11.25" customHeight="1">
      <c r="A6" s="430" t="s">
        <v>332</v>
      </c>
      <c r="B6" s="430"/>
      <c r="C6" s="291"/>
      <c r="D6" s="291"/>
      <c r="E6" s="456" t="s">
        <v>333</v>
      </c>
      <c r="F6" s="456"/>
      <c r="G6" s="456"/>
      <c r="H6" s="456"/>
      <c r="I6" s="456"/>
      <c r="J6" s="449" t="s">
        <v>3</v>
      </c>
      <c r="K6" s="449"/>
      <c r="L6" s="449"/>
      <c r="M6" s="449"/>
      <c r="N6" s="449" t="s">
        <v>334</v>
      </c>
      <c r="O6" s="449"/>
      <c r="P6" s="428" t="s">
        <v>335</v>
      </c>
      <c r="Q6" s="428"/>
      <c r="R6" s="291"/>
      <c r="S6" s="449" t="s">
        <v>336</v>
      </c>
      <c r="T6" s="449"/>
      <c r="U6" s="291"/>
      <c r="V6" s="292" t="s">
        <v>337</v>
      </c>
      <c r="W6" s="292" t="s">
        <v>338</v>
      </c>
      <c r="X6" s="291"/>
    </row>
    <row r="7" spans="1:24" s="89" customFormat="1" ht="12">
      <c r="A7" s="430"/>
      <c r="B7" s="430"/>
      <c r="C7" s="291"/>
      <c r="D7" s="291"/>
      <c r="E7" s="430" t="s">
        <v>339</v>
      </c>
      <c r="F7" s="430"/>
      <c r="G7" s="430"/>
      <c r="H7" s="430"/>
      <c r="I7" s="430"/>
      <c r="J7" s="428" t="s">
        <v>340</v>
      </c>
      <c r="K7" s="428"/>
      <c r="L7" s="428"/>
      <c r="M7" s="428"/>
      <c r="N7" s="428" t="s">
        <v>341</v>
      </c>
      <c r="O7" s="428"/>
      <c r="P7" s="428"/>
      <c r="Q7" s="428"/>
      <c r="R7" s="291"/>
      <c r="S7" s="428" t="s">
        <v>341</v>
      </c>
      <c r="T7" s="428"/>
      <c r="U7" s="291"/>
      <c r="V7" s="293" t="s">
        <v>342</v>
      </c>
      <c r="W7" s="293" t="s">
        <v>336</v>
      </c>
      <c r="X7" s="291"/>
    </row>
    <row r="8" spans="1:24" ht="12">
      <c r="A8" s="454" t="s">
        <v>23</v>
      </c>
      <c r="B8" s="454"/>
      <c r="C8" s="454"/>
      <c r="D8" s="454" t="s">
        <v>371</v>
      </c>
      <c r="E8" s="454"/>
      <c r="F8" s="454"/>
      <c r="G8" s="294" t="s">
        <v>344</v>
      </c>
      <c r="H8" s="454" t="s">
        <v>372</v>
      </c>
      <c r="I8" s="454"/>
      <c r="J8" s="452">
        <v>19743</v>
      </c>
      <c r="K8" s="452"/>
      <c r="L8" s="452"/>
      <c r="M8" s="452"/>
      <c r="N8" s="452">
        <v>19743</v>
      </c>
      <c r="O8" s="452"/>
      <c r="P8" s="453">
        <v>0</v>
      </c>
      <c r="Q8" s="453"/>
      <c r="R8" s="453"/>
      <c r="S8" s="452">
        <v>19743</v>
      </c>
      <c r="T8" s="452"/>
      <c r="U8" s="453">
        <v>0</v>
      </c>
      <c r="V8" s="453"/>
      <c r="W8" s="295">
        <v>100</v>
      </c>
      <c r="X8" s="291"/>
    </row>
    <row r="9" spans="1:24" ht="12">
      <c r="A9" s="454" t="s">
        <v>24</v>
      </c>
      <c r="B9" s="454"/>
      <c r="C9" s="454"/>
      <c r="D9" s="454" t="s">
        <v>371</v>
      </c>
      <c r="E9" s="454"/>
      <c r="F9" s="454"/>
      <c r="G9" s="294" t="s">
        <v>344</v>
      </c>
      <c r="H9" s="454" t="s">
        <v>372</v>
      </c>
      <c r="I9" s="454"/>
      <c r="J9" s="452">
        <v>6483.71</v>
      </c>
      <c r="K9" s="452"/>
      <c r="L9" s="452"/>
      <c r="M9" s="452"/>
      <c r="N9" s="452">
        <v>6483.71</v>
      </c>
      <c r="O9" s="452"/>
      <c r="P9" s="453">
        <v>0</v>
      </c>
      <c r="Q9" s="453"/>
      <c r="R9" s="453"/>
      <c r="S9" s="452">
        <v>6483.71</v>
      </c>
      <c r="T9" s="452"/>
      <c r="U9" s="453">
        <v>0</v>
      </c>
      <c r="V9" s="453"/>
      <c r="W9" s="295">
        <v>100</v>
      </c>
      <c r="X9" s="291"/>
    </row>
    <row r="10" spans="1:24" ht="12">
      <c r="A10" s="454" t="s">
        <v>25</v>
      </c>
      <c r="B10" s="454"/>
      <c r="C10" s="454"/>
      <c r="D10" s="454" t="s">
        <v>371</v>
      </c>
      <c r="E10" s="454"/>
      <c r="F10" s="454"/>
      <c r="G10" s="294" t="s">
        <v>344</v>
      </c>
      <c r="H10" s="454" t="s">
        <v>372</v>
      </c>
      <c r="I10" s="454"/>
      <c r="J10" s="452">
        <v>4999</v>
      </c>
      <c r="K10" s="452"/>
      <c r="L10" s="452"/>
      <c r="M10" s="452"/>
      <c r="N10" s="452">
        <v>4999</v>
      </c>
      <c r="O10" s="452"/>
      <c r="P10" s="453">
        <v>0</v>
      </c>
      <c r="Q10" s="453"/>
      <c r="R10" s="453"/>
      <c r="S10" s="452">
        <v>4999</v>
      </c>
      <c r="T10" s="452"/>
      <c r="U10" s="453">
        <v>0</v>
      </c>
      <c r="V10" s="453"/>
      <c r="W10" s="295">
        <v>100</v>
      </c>
      <c r="X10" s="291"/>
    </row>
    <row r="11" spans="1:24" ht="12">
      <c r="A11" s="454" t="s">
        <v>26</v>
      </c>
      <c r="B11" s="454"/>
      <c r="C11" s="454"/>
      <c r="D11" s="454" t="s">
        <v>371</v>
      </c>
      <c r="E11" s="454"/>
      <c r="F11" s="454"/>
      <c r="G11" s="294" t="s">
        <v>344</v>
      </c>
      <c r="H11" s="454" t="s">
        <v>372</v>
      </c>
      <c r="I11" s="454"/>
      <c r="J11" s="452">
        <v>843</v>
      </c>
      <c r="K11" s="452"/>
      <c r="L11" s="452"/>
      <c r="M11" s="452"/>
      <c r="N11" s="452">
        <v>843</v>
      </c>
      <c r="O11" s="452"/>
      <c r="P11" s="453">
        <v>0</v>
      </c>
      <c r="Q11" s="453"/>
      <c r="R11" s="453"/>
      <c r="S11" s="452">
        <v>843</v>
      </c>
      <c r="T11" s="452"/>
      <c r="U11" s="453">
        <v>0</v>
      </c>
      <c r="V11" s="453"/>
      <c r="W11" s="295">
        <v>100</v>
      </c>
      <c r="X11" s="291"/>
    </row>
    <row r="12" spans="1:24" s="96" customFormat="1" ht="12">
      <c r="A12" s="454" t="s">
        <v>27</v>
      </c>
      <c r="B12" s="454"/>
      <c r="C12" s="454"/>
      <c r="D12" s="454" t="s">
        <v>371</v>
      </c>
      <c r="E12" s="454"/>
      <c r="F12" s="454"/>
      <c r="G12" s="294" t="s">
        <v>344</v>
      </c>
      <c r="H12" s="454" t="s">
        <v>372</v>
      </c>
      <c r="I12" s="454"/>
      <c r="J12" s="452">
        <v>23187</v>
      </c>
      <c r="K12" s="452"/>
      <c r="L12" s="452"/>
      <c r="M12" s="452"/>
      <c r="N12" s="452">
        <v>23187</v>
      </c>
      <c r="O12" s="452"/>
      <c r="P12" s="453">
        <v>0</v>
      </c>
      <c r="Q12" s="453"/>
      <c r="R12" s="453"/>
      <c r="S12" s="452">
        <v>23187</v>
      </c>
      <c r="T12" s="452"/>
      <c r="U12" s="453">
        <v>0</v>
      </c>
      <c r="V12" s="453"/>
      <c r="W12" s="295">
        <v>100</v>
      </c>
      <c r="X12" s="291"/>
    </row>
    <row r="13" spans="1:24" ht="10.5" customHeight="1">
      <c r="A13" s="454" t="s">
        <v>165</v>
      </c>
      <c r="B13" s="454"/>
      <c r="C13" s="454"/>
      <c r="D13" s="454" t="s">
        <v>371</v>
      </c>
      <c r="E13" s="454"/>
      <c r="F13" s="454"/>
      <c r="G13" s="294" t="s">
        <v>344</v>
      </c>
      <c r="H13" s="454" t="s">
        <v>372</v>
      </c>
      <c r="I13" s="454"/>
      <c r="J13" s="452">
        <v>10514</v>
      </c>
      <c r="K13" s="452"/>
      <c r="L13" s="452"/>
      <c r="M13" s="452"/>
      <c r="N13" s="452">
        <v>10514</v>
      </c>
      <c r="O13" s="452"/>
      <c r="P13" s="453">
        <v>0</v>
      </c>
      <c r="Q13" s="453"/>
      <c r="R13" s="453"/>
      <c r="S13" s="452">
        <v>10514</v>
      </c>
      <c r="T13" s="452"/>
      <c r="U13" s="453">
        <v>0</v>
      </c>
      <c r="V13" s="453"/>
      <c r="W13" s="295">
        <v>100</v>
      </c>
      <c r="X13" s="291"/>
    </row>
    <row r="14" spans="1:24" s="89" customFormat="1" ht="12">
      <c r="A14" s="454" t="s">
        <v>37</v>
      </c>
      <c r="B14" s="454"/>
      <c r="C14" s="454"/>
      <c r="D14" s="454" t="s">
        <v>371</v>
      </c>
      <c r="E14" s="454"/>
      <c r="F14" s="454"/>
      <c r="G14" s="294" t="s">
        <v>344</v>
      </c>
      <c r="H14" s="454" t="s">
        <v>372</v>
      </c>
      <c r="I14" s="454"/>
      <c r="J14" s="452">
        <v>1568</v>
      </c>
      <c r="K14" s="452"/>
      <c r="L14" s="452"/>
      <c r="M14" s="452"/>
      <c r="N14" s="452">
        <v>1568</v>
      </c>
      <c r="O14" s="452"/>
      <c r="P14" s="453">
        <v>0</v>
      </c>
      <c r="Q14" s="453"/>
      <c r="R14" s="453"/>
      <c r="S14" s="452">
        <v>1568</v>
      </c>
      <c r="T14" s="452"/>
      <c r="U14" s="453">
        <v>0</v>
      </c>
      <c r="V14" s="453"/>
      <c r="W14" s="295">
        <v>100</v>
      </c>
      <c r="X14" s="291"/>
    </row>
    <row r="15" spans="1:24" ht="12">
      <c r="A15" s="454" t="s">
        <v>28</v>
      </c>
      <c r="B15" s="454"/>
      <c r="C15" s="454"/>
      <c r="D15" s="454" t="s">
        <v>371</v>
      </c>
      <c r="E15" s="454"/>
      <c r="F15" s="454"/>
      <c r="G15" s="294" t="s">
        <v>344</v>
      </c>
      <c r="H15" s="454" t="s">
        <v>372</v>
      </c>
      <c r="I15" s="454"/>
      <c r="J15" s="452">
        <v>1488.48</v>
      </c>
      <c r="K15" s="452"/>
      <c r="L15" s="452"/>
      <c r="M15" s="452"/>
      <c r="N15" s="452">
        <v>1488.48</v>
      </c>
      <c r="O15" s="452"/>
      <c r="P15" s="453">
        <v>0</v>
      </c>
      <c r="Q15" s="453"/>
      <c r="R15" s="453"/>
      <c r="S15" s="452">
        <v>1488.48</v>
      </c>
      <c r="T15" s="452"/>
      <c r="U15" s="453">
        <v>0</v>
      </c>
      <c r="V15" s="453"/>
      <c r="W15" s="295">
        <v>100</v>
      </c>
      <c r="X15" s="291"/>
    </row>
    <row r="16" spans="1:24" ht="12">
      <c r="A16" s="454" t="s">
        <v>29</v>
      </c>
      <c r="B16" s="454"/>
      <c r="C16" s="454"/>
      <c r="D16" s="454" t="s">
        <v>371</v>
      </c>
      <c r="E16" s="454"/>
      <c r="F16" s="454"/>
      <c r="G16" s="294" t="s">
        <v>344</v>
      </c>
      <c r="H16" s="454" t="s">
        <v>372</v>
      </c>
      <c r="I16" s="454"/>
      <c r="J16" s="452">
        <v>22330</v>
      </c>
      <c r="K16" s="452"/>
      <c r="L16" s="452"/>
      <c r="M16" s="452"/>
      <c r="N16" s="452">
        <v>22330</v>
      </c>
      <c r="O16" s="452"/>
      <c r="P16" s="453">
        <v>0</v>
      </c>
      <c r="Q16" s="453"/>
      <c r="R16" s="453"/>
      <c r="S16" s="452">
        <v>22330</v>
      </c>
      <c r="T16" s="452"/>
      <c r="U16" s="453">
        <v>0</v>
      </c>
      <c r="V16" s="453"/>
      <c r="W16" s="295">
        <v>100</v>
      </c>
      <c r="X16" s="291"/>
    </row>
    <row r="17" spans="1:24" ht="12">
      <c r="A17" s="454" t="s">
        <v>30</v>
      </c>
      <c r="B17" s="454"/>
      <c r="C17" s="454"/>
      <c r="D17" s="454" t="s">
        <v>371</v>
      </c>
      <c r="E17" s="454"/>
      <c r="F17" s="454"/>
      <c r="G17" s="294" t="s">
        <v>344</v>
      </c>
      <c r="H17" s="454" t="s">
        <v>372</v>
      </c>
      <c r="I17" s="454"/>
      <c r="J17" s="452">
        <v>4862</v>
      </c>
      <c r="K17" s="452"/>
      <c r="L17" s="452"/>
      <c r="M17" s="452"/>
      <c r="N17" s="452">
        <v>4862</v>
      </c>
      <c r="O17" s="452"/>
      <c r="P17" s="453">
        <v>0</v>
      </c>
      <c r="Q17" s="453"/>
      <c r="R17" s="453"/>
      <c r="S17" s="452">
        <v>4862</v>
      </c>
      <c r="T17" s="452"/>
      <c r="U17" s="453">
        <v>0</v>
      </c>
      <c r="V17" s="453"/>
      <c r="W17" s="295">
        <v>100</v>
      </c>
      <c r="X17" s="291"/>
    </row>
    <row r="18" spans="1:24" ht="12">
      <c r="A18" s="454" t="s">
        <v>31</v>
      </c>
      <c r="B18" s="454"/>
      <c r="C18" s="454"/>
      <c r="D18" s="454" t="s">
        <v>371</v>
      </c>
      <c r="E18" s="454"/>
      <c r="F18" s="454"/>
      <c r="G18" s="294" t="s">
        <v>344</v>
      </c>
      <c r="H18" s="454" t="s">
        <v>372</v>
      </c>
      <c r="I18" s="454"/>
      <c r="J18" s="452">
        <v>7147</v>
      </c>
      <c r="K18" s="452"/>
      <c r="L18" s="452"/>
      <c r="M18" s="452"/>
      <c r="N18" s="452">
        <v>7147</v>
      </c>
      <c r="O18" s="452"/>
      <c r="P18" s="453">
        <v>0</v>
      </c>
      <c r="Q18" s="453"/>
      <c r="R18" s="453"/>
      <c r="S18" s="452">
        <v>7147</v>
      </c>
      <c r="T18" s="452"/>
      <c r="U18" s="453">
        <v>0</v>
      </c>
      <c r="V18" s="453"/>
      <c r="W18" s="295">
        <v>100</v>
      </c>
      <c r="X18" s="291"/>
    </row>
    <row r="19" spans="1:24" ht="12">
      <c r="A19" s="454" t="s">
        <v>32</v>
      </c>
      <c r="B19" s="454"/>
      <c r="C19" s="454"/>
      <c r="D19" s="454" t="s">
        <v>371</v>
      </c>
      <c r="E19" s="454"/>
      <c r="F19" s="454"/>
      <c r="G19" s="294" t="s">
        <v>344</v>
      </c>
      <c r="H19" s="454" t="s">
        <v>372</v>
      </c>
      <c r="I19" s="454"/>
      <c r="J19" s="452">
        <v>12102</v>
      </c>
      <c r="K19" s="452"/>
      <c r="L19" s="452"/>
      <c r="M19" s="452"/>
      <c r="N19" s="452">
        <v>12102</v>
      </c>
      <c r="O19" s="452"/>
      <c r="P19" s="453">
        <v>0</v>
      </c>
      <c r="Q19" s="453"/>
      <c r="R19" s="453"/>
      <c r="S19" s="452">
        <v>6744</v>
      </c>
      <c r="T19" s="452"/>
      <c r="U19" s="453">
        <v>5358</v>
      </c>
      <c r="V19" s="453"/>
      <c r="W19" s="295">
        <v>55.73</v>
      </c>
      <c r="X19" s="291"/>
    </row>
    <row r="20" spans="1:24" ht="12">
      <c r="A20" s="454" t="s">
        <v>33</v>
      </c>
      <c r="B20" s="454"/>
      <c r="C20" s="454"/>
      <c r="D20" s="454" t="s">
        <v>371</v>
      </c>
      <c r="E20" s="454"/>
      <c r="F20" s="454"/>
      <c r="G20" s="294" t="s">
        <v>344</v>
      </c>
      <c r="H20" s="454" t="s">
        <v>372</v>
      </c>
      <c r="I20" s="454"/>
      <c r="J20" s="452">
        <v>18784</v>
      </c>
      <c r="K20" s="452"/>
      <c r="L20" s="452"/>
      <c r="M20" s="452"/>
      <c r="N20" s="452">
        <v>18784</v>
      </c>
      <c r="O20" s="452"/>
      <c r="P20" s="453">
        <v>0</v>
      </c>
      <c r="Q20" s="453"/>
      <c r="R20" s="453"/>
      <c r="S20" s="452">
        <v>18784</v>
      </c>
      <c r="T20" s="452"/>
      <c r="U20" s="453">
        <v>0</v>
      </c>
      <c r="V20" s="453"/>
      <c r="W20" s="295">
        <v>100</v>
      </c>
      <c r="X20" s="291"/>
    </row>
    <row r="21" spans="1:24" ht="10.5">
      <c r="A21" s="296"/>
      <c r="B21" s="296"/>
      <c r="C21" s="296"/>
      <c r="D21" s="296"/>
      <c r="E21" s="296"/>
      <c r="F21" s="296"/>
      <c r="G21" s="296"/>
      <c r="H21" s="296"/>
      <c r="I21" s="296"/>
      <c r="J21" s="296"/>
      <c r="K21" s="296"/>
      <c r="L21" s="296"/>
      <c r="M21" s="296"/>
      <c r="N21" s="296"/>
      <c r="O21" s="296"/>
      <c r="P21" s="296"/>
      <c r="Q21" s="296"/>
      <c r="R21" s="296"/>
      <c r="S21" s="296"/>
      <c r="T21" s="296"/>
      <c r="U21" s="296"/>
      <c r="V21" s="296"/>
      <c r="W21" s="296"/>
      <c r="X21" s="291"/>
    </row>
    <row r="22" spans="1:24" ht="11.25">
      <c r="A22" s="291"/>
      <c r="B22" s="291"/>
      <c r="C22" s="291"/>
      <c r="D22" s="291"/>
      <c r="E22" s="291"/>
      <c r="F22" s="291"/>
      <c r="G22" s="291"/>
      <c r="H22" s="291"/>
      <c r="I22" s="291"/>
      <c r="J22" s="451">
        <v>134051.19</v>
      </c>
      <c r="K22" s="451"/>
      <c r="L22" s="451"/>
      <c r="M22" s="451"/>
      <c r="N22" s="451">
        <v>134051.19</v>
      </c>
      <c r="O22" s="451"/>
      <c r="P22" s="451">
        <v>0</v>
      </c>
      <c r="Q22" s="451"/>
      <c r="R22" s="451"/>
      <c r="S22" s="451">
        <v>128693.19</v>
      </c>
      <c r="T22" s="451"/>
      <c r="U22" s="451">
        <v>5358</v>
      </c>
      <c r="V22" s="451"/>
      <c r="W22" s="291"/>
      <c r="X22" s="291"/>
    </row>
    <row r="23" spans="1:24" ht="12">
      <c r="A23" s="291"/>
      <c r="B23" s="430" t="s">
        <v>331</v>
      </c>
      <c r="C23" s="430"/>
      <c r="D23" s="455" t="s">
        <v>348</v>
      </c>
      <c r="E23" s="455"/>
      <c r="F23" s="455"/>
      <c r="G23" s="455"/>
      <c r="H23" s="455"/>
      <c r="I23" s="455"/>
      <c r="J23" s="455"/>
      <c r="K23" s="455"/>
      <c r="L23" s="455"/>
      <c r="M23" s="455"/>
      <c r="N23" s="291"/>
      <c r="O23" s="291"/>
      <c r="P23" s="291"/>
      <c r="Q23" s="291"/>
      <c r="R23" s="291"/>
      <c r="S23" s="291"/>
      <c r="T23" s="291"/>
      <c r="U23" s="291"/>
      <c r="V23" s="291"/>
      <c r="W23" s="291"/>
      <c r="X23" s="291"/>
    </row>
    <row r="24" spans="1:24" ht="12">
      <c r="A24" s="430" t="s">
        <v>332</v>
      </c>
      <c r="B24" s="430"/>
      <c r="C24" s="291"/>
      <c r="D24" s="291"/>
      <c r="E24" s="456" t="s">
        <v>333</v>
      </c>
      <c r="F24" s="456"/>
      <c r="G24" s="456"/>
      <c r="H24" s="456"/>
      <c r="I24" s="456"/>
      <c r="J24" s="449" t="s">
        <v>3</v>
      </c>
      <c r="K24" s="449"/>
      <c r="L24" s="449"/>
      <c r="M24" s="449"/>
      <c r="N24" s="449" t="s">
        <v>334</v>
      </c>
      <c r="O24" s="449"/>
      <c r="P24" s="428" t="s">
        <v>335</v>
      </c>
      <c r="Q24" s="428"/>
      <c r="R24" s="291"/>
      <c r="S24" s="449" t="s">
        <v>336</v>
      </c>
      <c r="T24" s="449"/>
      <c r="U24" s="291"/>
      <c r="V24" s="292" t="s">
        <v>337</v>
      </c>
      <c r="W24" s="292" t="s">
        <v>338</v>
      </c>
      <c r="X24" s="291"/>
    </row>
    <row r="25" spans="1:24" ht="12">
      <c r="A25" s="430"/>
      <c r="B25" s="430"/>
      <c r="C25" s="291"/>
      <c r="D25" s="291"/>
      <c r="E25" s="430" t="s">
        <v>339</v>
      </c>
      <c r="F25" s="430"/>
      <c r="G25" s="430"/>
      <c r="H25" s="430"/>
      <c r="I25" s="430"/>
      <c r="J25" s="428" t="s">
        <v>340</v>
      </c>
      <c r="K25" s="428"/>
      <c r="L25" s="428"/>
      <c r="M25" s="428"/>
      <c r="N25" s="428" t="s">
        <v>341</v>
      </c>
      <c r="O25" s="428"/>
      <c r="P25" s="428"/>
      <c r="Q25" s="428"/>
      <c r="R25" s="291"/>
      <c r="S25" s="428" t="s">
        <v>341</v>
      </c>
      <c r="T25" s="428"/>
      <c r="U25" s="291"/>
      <c r="V25" s="293" t="s">
        <v>342</v>
      </c>
      <c r="W25" s="293" t="s">
        <v>336</v>
      </c>
      <c r="X25" s="291"/>
    </row>
    <row r="26" spans="1:24" ht="12">
      <c r="A26" s="454" t="s">
        <v>23</v>
      </c>
      <c r="B26" s="454"/>
      <c r="C26" s="454"/>
      <c r="D26" s="454" t="s">
        <v>371</v>
      </c>
      <c r="E26" s="454"/>
      <c r="F26" s="454"/>
      <c r="G26" s="294" t="s">
        <v>344</v>
      </c>
      <c r="H26" s="454" t="s">
        <v>372</v>
      </c>
      <c r="I26" s="454"/>
      <c r="J26" s="452">
        <v>161404</v>
      </c>
      <c r="K26" s="452"/>
      <c r="L26" s="452"/>
      <c r="M26" s="452"/>
      <c r="N26" s="452">
        <v>161404</v>
      </c>
      <c r="O26" s="452"/>
      <c r="P26" s="453">
        <v>0</v>
      </c>
      <c r="Q26" s="453"/>
      <c r="R26" s="453"/>
      <c r="S26" s="452">
        <v>161404</v>
      </c>
      <c r="T26" s="452"/>
      <c r="U26" s="453">
        <v>0</v>
      </c>
      <c r="V26" s="453"/>
      <c r="W26" s="295">
        <v>100</v>
      </c>
      <c r="X26" s="291"/>
    </row>
    <row r="27" spans="1:24" ht="12">
      <c r="A27" s="454" t="s">
        <v>24</v>
      </c>
      <c r="B27" s="454"/>
      <c r="C27" s="454"/>
      <c r="D27" s="454" t="s">
        <v>371</v>
      </c>
      <c r="E27" s="454"/>
      <c r="F27" s="454"/>
      <c r="G27" s="294" t="s">
        <v>344</v>
      </c>
      <c r="H27" s="454" t="s">
        <v>372</v>
      </c>
      <c r="I27" s="454"/>
      <c r="J27" s="452">
        <v>82791</v>
      </c>
      <c r="K27" s="452"/>
      <c r="L27" s="452"/>
      <c r="M27" s="452"/>
      <c r="N27" s="452">
        <v>82791</v>
      </c>
      <c r="O27" s="452"/>
      <c r="P27" s="453">
        <v>0</v>
      </c>
      <c r="Q27" s="453"/>
      <c r="R27" s="453"/>
      <c r="S27" s="452">
        <v>82791</v>
      </c>
      <c r="T27" s="452"/>
      <c r="U27" s="453">
        <v>0</v>
      </c>
      <c r="V27" s="453"/>
      <c r="W27" s="295">
        <v>100</v>
      </c>
      <c r="X27" s="291"/>
    </row>
    <row r="28" spans="1:24" ht="12">
      <c r="A28" s="454" t="s">
        <v>25</v>
      </c>
      <c r="B28" s="454"/>
      <c r="C28" s="454"/>
      <c r="D28" s="454" t="s">
        <v>371</v>
      </c>
      <c r="E28" s="454"/>
      <c r="F28" s="454"/>
      <c r="G28" s="294" t="s">
        <v>344</v>
      </c>
      <c r="H28" s="454" t="s">
        <v>372</v>
      </c>
      <c r="I28" s="454"/>
      <c r="J28" s="452">
        <v>17060</v>
      </c>
      <c r="K28" s="452"/>
      <c r="L28" s="452"/>
      <c r="M28" s="452"/>
      <c r="N28" s="452">
        <v>17060</v>
      </c>
      <c r="O28" s="452"/>
      <c r="P28" s="453">
        <v>0</v>
      </c>
      <c r="Q28" s="453"/>
      <c r="R28" s="453"/>
      <c r="S28" s="452">
        <v>17060</v>
      </c>
      <c r="T28" s="452"/>
      <c r="U28" s="453">
        <v>0</v>
      </c>
      <c r="V28" s="453"/>
      <c r="W28" s="295">
        <v>100</v>
      </c>
      <c r="X28" s="291"/>
    </row>
    <row r="29" spans="1:24" ht="12">
      <c r="A29" s="454" t="s">
        <v>26</v>
      </c>
      <c r="B29" s="454"/>
      <c r="C29" s="454"/>
      <c r="D29" s="454" t="s">
        <v>371</v>
      </c>
      <c r="E29" s="454"/>
      <c r="F29" s="454"/>
      <c r="G29" s="294" t="s">
        <v>344</v>
      </c>
      <c r="H29" s="454" t="s">
        <v>372</v>
      </c>
      <c r="I29" s="454"/>
      <c r="J29" s="452">
        <v>3106</v>
      </c>
      <c r="K29" s="452"/>
      <c r="L29" s="452"/>
      <c r="M29" s="452"/>
      <c r="N29" s="452">
        <v>3106</v>
      </c>
      <c r="O29" s="452"/>
      <c r="P29" s="453">
        <v>0</v>
      </c>
      <c r="Q29" s="453"/>
      <c r="R29" s="453"/>
      <c r="S29" s="452">
        <v>3106</v>
      </c>
      <c r="T29" s="452"/>
      <c r="U29" s="453">
        <v>0</v>
      </c>
      <c r="V29" s="453"/>
      <c r="W29" s="295">
        <v>100</v>
      </c>
      <c r="X29" s="291"/>
    </row>
    <row r="30" spans="1:24" ht="12">
      <c r="A30" s="454" t="s">
        <v>27</v>
      </c>
      <c r="B30" s="454"/>
      <c r="C30" s="454"/>
      <c r="D30" s="454" t="s">
        <v>371</v>
      </c>
      <c r="E30" s="454"/>
      <c r="F30" s="454"/>
      <c r="G30" s="294" t="s">
        <v>344</v>
      </c>
      <c r="H30" s="454" t="s">
        <v>372</v>
      </c>
      <c r="I30" s="454"/>
      <c r="J30" s="452">
        <v>168949</v>
      </c>
      <c r="K30" s="452"/>
      <c r="L30" s="452"/>
      <c r="M30" s="452"/>
      <c r="N30" s="452">
        <v>168949</v>
      </c>
      <c r="O30" s="452"/>
      <c r="P30" s="453">
        <v>0</v>
      </c>
      <c r="Q30" s="453"/>
      <c r="R30" s="453"/>
      <c r="S30" s="452">
        <v>168949</v>
      </c>
      <c r="T30" s="452"/>
      <c r="U30" s="453">
        <v>0</v>
      </c>
      <c r="V30" s="453"/>
      <c r="W30" s="295">
        <v>100</v>
      </c>
      <c r="X30" s="291"/>
    </row>
    <row r="31" spans="1:24" s="96" customFormat="1" ht="12">
      <c r="A31" s="454" t="s">
        <v>165</v>
      </c>
      <c r="B31" s="454"/>
      <c r="C31" s="454"/>
      <c r="D31" s="454" t="s">
        <v>371</v>
      </c>
      <c r="E31" s="454"/>
      <c r="F31" s="454"/>
      <c r="G31" s="294" t="s">
        <v>344</v>
      </c>
      <c r="H31" s="454" t="s">
        <v>372</v>
      </c>
      <c r="I31" s="454"/>
      <c r="J31" s="452">
        <v>83895</v>
      </c>
      <c r="K31" s="452"/>
      <c r="L31" s="452"/>
      <c r="M31" s="452"/>
      <c r="N31" s="452">
        <v>83895</v>
      </c>
      <c r="O31" s="452"/>
      <c r="P31" s="453">
        <v>0</v>
      </c>
      <c r="Q31" s="453"/>
      <c r="R31" s="453"/>
      <c r="S31" s="452">
        <v>83895</v>
      </c>
      <c r="T31" s="452"/>
      <c r="U31" s="453">
        <v>0</v>
      </c>
      <c r="V31" s="453"/>
      <c r="W31" s="295">
        <v>100</v>
      </c>
      <c r="X31" s="291"/>
    </row>
    <row r="32" spans="1:24" ht="11.25" customHeight="1">
      <c r="A32" s="454" t="s">
        <v>37</v>
      </c>
      <c r="B32" s="454"/>
      <c r="C32" s="454"/>
      <c r="D32" s="454" t="s">
        <v>371</v>
      </c>
      <c r="E32" s="454"/>
      <c r="F32" s="454"/>
      <c r="G32" s="294" t="s">
        <v>344</v>
      </c>
      <c r="H32" s="454" t="s">
        <v>372</v>
      </c>
      <c r="I32" s="454"/>
      <c r="J32" s="452">
        <v>14780</v>
      </c>
      <c r="K32" s="452"/>
      <c r="L32" s="452"/>
      <c r="M32" s="452"/>
      <c r="N32" s="452">
        <v>14780</v>
      </c>
      <c r="O32" s="452"/>
      <c r="P32" s="453">
        <v>0</v>
      </c>
      <c r="Q32" s="453"/>
      <c r="R32" s="453"/>
      <c r="S32" s="452">
        <v>14780</v>
      </c>
      <c r="T32" s="452"/>
      <c r="U32" s="453">
        <v>0</v>
      </c>
      <c r="V32" s="453"/>
      <c r="W32" s="295">
        <v>100</v>
      </c>
      <c r="X32" s="291"/>
    </row>
    <row r="33" spans="1:24" s="89" customFormat="1" ht="12">
      <c r="A33" s="454" t="s">
        <v>28</v>
      </c>
      <c r="B33" s="454"/>
      <c r="C33" s="454"/>
      <c r="D33" s="454" t="s">
        <v>371</v>
      </c>
      <c r="E33" s="454"/>
      <c r="F33" s="454"/>
      <c r="G33" s="294" t="s">
        <v>344</v>
      </c>
      <c r="H33" s="454" t="s">
        <v>372</v>
      </c>
      <c r="I33" s="454"/>
      <c r="J33" s="452">
        <v>1234</v>
      </c>
      <c r="K33" s="452"/>
      <c r="L33" s="452"/>
      <c r="M33" s="452"/>
      <c r="N33" s="452">
        <v>1234</v>
      </c>
      <c r="O33" s="452"/>
      <c r="P33" s="453">
        <v>0</v>
      </c>
      <c r="Q33" s="453"/>
      <c r="R33" s="453"/>
      <c r="S33" s="452">
        <v>1234</v>
      </c>
      <c r="T33" s="452"/>
      <c r="U33" s="453">
        <v>0</v>
      </c>
      <c r="V33" s="453"/>
      <c r="W33" s="295">
        <v>100</v>
      </c>
      <c r="X33" s="291"/>
    </row>
    <row r="34" spans="1:24" ht="12">
      <c r="A34" s="454" t="s">
        <v>29</v>
      </c>
      <c r="B34" s="454"/>
      <c r="C34" s="454"/>
      <c r="D34" s="454" t="s">
        <v>371</v>
      </c>
      <c r="E34" s="454"/>
      <c r="F34" s="454"/>
      <c r="G34" s="294" t="s">
        <v>344</v>
      </c>
      <c r="H34" s="454" t="s">
        <v>372</v>
      </c>
      <c r="I34" s="454"/>
      <c r="J34" s="452">
        <v>210530</v>
      </c>
      <c r="K34" s="452"/>
      <c r="L34" s="452"/>
      <c r="M34" s="452"/>
      <c r="N34" s="452">
        <v>210530</v>
      </c>
      <c r="O34" s="452"/>
      <c r="P34" s="453">
        <v>0</v>
      </c>
      <c r="Q34" s="453"/>
      <c r="R34" s="453"/>
      <c r="S34" s="452">
        <v>210530</v>
      </c>
      <c r="T34" s="452"/>
      <c r="U34" s="453">
        <v>0</v>
      </c>
      <c r="V34" s="453"/>
      <c r="W34" s="295">
        <v>100</v>
      </c>
      <c r="X34" s="291"/>
    </row>
    <row r="35" spans="1:24" ht="12">
      <c r="A35" s="454" t="s">
        <v>30</v>
      </c>
      <c r="B35" s="454"/>
      <c r="C35" s="454"/>
      <c r="D35" s="454" t="s">
        <v>371</v>
      </c>
      <c r="E35" s="454"/>
      <c r="F35" s="454"/>
      <c r="G35" s="294" t="s">
        <v>344</v>
      </c>
      <c r="H35" s="454" t="s">
        <v>372</v>
      </c>
      <c r="I35" s="454"/>
      <c r="J35" s="452">
        <v>45245</v>
      </c>
      <c r="K35" s="452"/>
      <c r="L35" s="452"/>
      <c r="M35" s="452"/>
      <c r="N35" s="452">
        <v>45245</v>
      </c>
      <c r="O35" s="452"/>
      <c r="P35" s="453">
        <v>0</v>
      </c>
      <c r="Q35" s="453"/>
      <c r="R35" s="453"/>
      <c r="S35" s="452">
        <v>45245</v>
      </c>
      <c r="T35" s="452"/>
      <c r="U35" s="453">
        <v>0</v>
      </c>
      <c r="V35" s="453"/>
      <c r="W35" s="295">
        <v>100</v>
      </c>
      <c r="X35" s="291"/>
    </row>
    <row r="36" spans="1:24" ht="12">
      <c r="A36" s="454" t="s">
        <v>31</v>
      </c>
      <c r="B36" s="454"/>
      <c r="C36" s="454"/>
      <c r="D36" s="454" t="s">
        <v>371</v>
      </c>
      <c r="E36" s="454"/>
      <c r="F36" s="454"/>
      <c r="G36" s="294" t="s">
        <v>344</v>
      </c>
      <c r="H36" s="454" t="s">
        <v>372</v>
      </c>
      <c r="I36" s="454"/>
      <c r="J36" s="452">
        <v>51468</v>
      </c>
      <c r="K36" s="452"/>
      <c r="L36" s="452"/>
      <c r="M36" s="452"/>
      <c r="N36" s="452">
        <v>51468</v>
      </c>
      <c r="O36" s="452"/>
      <c r="P36" s="453">
        <v>0</v>
      </c>
      <c r="Q36" s="453"/>
      <c r="R36" s="453"/>
      <c r="S36" s="452">
        <v>51468</v>
      </c>
      <c r="T36" s="452"/>
      <c r="U36" s="453">
        <v>0</v>
      </c>
      <c r="V36" s="453"/>
      <c r="W36" s="295">
        <v>100</v>
      </c>
      <c r="X36" s="291"/>
    </row>
    <row r="37" spans="1:24" ht="12">
      <c r="A37" s="454" t="s">
        <v>32</v>
      </c>
      <c r="B37" s="454"/>
      <c r="C37" s="454"/>
      <c r="D37" s="454" t="s">
        <v>371</v>
      </c>
      <c r="E37" s="454"/>
      <c r="F37" s="454"/>
      <c r="G37" s="294" t="s">
        <v>344</v>
      </c>
      <c r="H37" s="454" t="s">
        <v>372</v>
      </c>
      <c r="I37" s="454"/>
      <c r="J37" s="452">
        <v>67093</v>
      </c>
      <c r="K37" s="452"/>
      <c r="L37" s="452"/>
      <c r="M37" s="452"/>
      <c r="N37" s="452">
        <v>67093</v>
      </c>
      <c r="O37" s="452"/>
      <c r="P37" s="453">
        <v>0</v>
      </c>
      <c r="Q37" s="453"/>
      <c r="R37" s="453"/>
      <c r="S37" s="452">
        <v>67093</v>
      </c>
      <c r="T37" s="452"/>
      <c r="U37" s="453">
        <v>0</v>
      </c>
      <c r="V37" s="453"/>
      <c r="W37" s="295">
        <v>100</v>
      </c>
      <c r="X37" s="291"/>
    </row>
    <row r="38" spans="1:24" ht="12">
      <c r="A38" s="454" t="s">
        <v>33</v>
      </c>
      <c r="B38" s="454"/>
      <c r="C38" s="454"/>
      <c r="D38" s="454" t="s">
        <v>371</v>
      </c>
      <c r="E38" s="454"/>
      <c r="F38" s="454"/>
      <c r="G38" s="294" t="s">
        <v>344</v>
      </c>
      <c r="H38" s="454" t="s">
        <v>372</v>
      </c>
      <c r="I38" s="454"/>
      <c r="J38" s="452">
        <v>209290</v>
      </c>
      <c r="K38" s="452"/>
      <c r="L38" s="452"/>
      <c r="M38" s="452"/>
      <c r="N38" s="452">
        <v>209290</v>
      </c>
      <c r="O38" s="452"/>
      <c r="P38" s="453">
        <v>0</v>
      </c>
      <c r="Q38" s="453"/>
      <c r="R38" s="453"/>
      <c r="S38" s="452">
        <v>209290</v>
      </c>
      <c r="T38" s="452"/>
      <c r="U38" s="453">
        <v>0</v>
      </c>
      <c r="V38" s="453"/>
      <c r="W38" s="295">
        <v>100</v>
      </c>
      <c r="X38" s="291"/>
    </row>
    <row r="39" spans="1:24" ht="10.5">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1"/>
    </row>
    <row r="40" spans="1:24" ht="11.25">
      <c r="A40" s="291"/>
      <c r="B40" s="291"/>
      <c r="C40" s="291"/>
      <c r="D40" s="291"/>
      <c r="E40" s="291"/>
      <c r="F40" s="291"/>
      <c r="G40" s="291"/>
      <c r="H40" s="291"/>
      <c r="I40" s="291"/>
      <c r="J40" s="451">
        <v>1116845</v>
      </c>
      <c r="K40" s="451"/>
      <c r="L40" s="451"/>
      <c r="M40" s="451"/>
      <c r="N40" s="451">
        <v>1116845</v>
      </c>
      <c r="O40" s="451"/>
      <c r="P40" s="451">
        <v>0</v>
      </c>
      <c r="Q40" s="451"/>
      <c r="R40" s="451"/>
      <c r="S40" s="451">
        <v>1116845</v>
      </c>
      <c r="T40" s="451"/>
      <c r="U40" s="451">
        <v>0</v>
      </c>
      <c r="V40" s="451"/>
      <c r="W40" s="291"/>
      <c r="X40" s="291"/>
    </row>
    <row r="41" spans="1:24" ht="12">
      <c r="A41" s="291"/>
      <c r="B41" s="430" t="s">
        <v>331</v>
      </c>
      <c r="C41" s="430"/>
      <c r="D41" s="455" t="s">
        <v>187</v>
      </c>
      <c r="E41" s="455"/>
      <c r="F41" s="455"/>
      <c r="G41" s="455"/>
      <c r="H41" s="455"/>
      <c r="I41" s="455"/>
      <c r="J41" s="455"/>
      <c r="K41" s="455"/>
      <c r="L41" s="455"/>
      <c r="M41" s="455"/>
      <c r="N41" s="291"/>
      <c r="O41" s="291"/>
      <c r="P41" s="291"/>
      <c r="Q41" s="291"/>
      <c r="R41" s="291"/>
      <c r="S41" s="291"/>
      <c r="T41" s="291"/>
      <c r="U41" s="291"/>
      <c r="V41" s="291"/>
      <c r="W41" s="291"/>
      <c r="X41" s="291"/>
    </row>
    <row r="42" spans="1:24" ht="12">
      <c r="A42" s="430" t="s">
        <v>332</v>
      </c>
      <c r="B42" s="430"/>
      <c r="C42" s="291"/>
      <c r="D42" s="291"/>
      <c r="E42" s="456" t="s">
        <v>333</v>
      </c>
      <c r="F42" s="456"/>
      <c r="G42" s="456"/>
      <c r="H42" s="456"/>
      <c r="I42" s="456"/>
      <c r="J42" s="449" t="s">
        <v>3</v>
      </c>
      <c r="K42" s="449"/>
      <c r="L42" s="449"/>
      <c r="M42" s="449"/>
      <c r="N42" s="449" t="s">
        <v>334</v>
      </c>
      <c r="O42" s="449"/>
      <c r="P42" s="428" t="s">
        <v>335</v>
      </c>
      <c r="Q42" s="428"/>
      <c r="R42" s="291"/>
      <c r="S42" s="449" t="s">
        <v>336</v>
      </c>
      <c r="T42" s="449"/>
      <c r="U42" s="291"/>
      <c r="V42" s="292" t="s">
        <v>337</v>
      </c>
      <c r="W42" s="292" t="s">
        <v>338</v>
      </c>
      <c r="X42" s="291"/>
    </row>
    <row r="43" spans="1:24" ht="12">
      <c r="A43" s="430"/>
      <c r="B43" s="430"/>
      <c r="C43" s="291"/>
      <c r="D43" s="291"/>
      <c r="E43" s="430" t="s">
        <v>339</v>
      </c>
      <c r="F43" s="430"/>
      <c r="G43" s="430"/>
      <c r="H43" s="430"/>
      <c r="I43" s="430"/>
      <c r="J43" s="428" t="s">
        <v>340</v>
      </c>
      <c r="K43" s="428"/>
      <c r="L43" s="428"/>
      <c r="M43" s="428"/>
      <c r="N43" s="428" t="s">
        <v>341</v>
      </c>
      <c r="O43" s="428"/>
      <c r="P43" s="428"/>
      <c r="Q43" s="428"/>
      <c r="R43" s="291"/>
      <c r="S43" s="428" t="s">
        <v>341</v>
      </c>
      <c r="T43" s="428"/>
      <c r="U43" s="291"/>
      <c r="V43" s="293" t="s">
        <v>342</v>
      </c>
      <c r="W43" s="293" t="s">
        <v>336</v>
      </c>
      <c r="X43" s="291"/>
    </row>
    <row r="44" spans="1:24" ht="12">
      <c r="A44" s="454" t="s">
        <v>23</v>
      </c>
      <c r="B44" s="454"/>
      <c r="C44" s="454"/>
      <c r="D44" s="454" t="s">
        <v>371</v>
      </c>
      <c r="E44" s="454"/>
      <c r="F44" s="454"/>
      <c r="G44" s="294" t="s">
        <v>344</v>
      </c>
      <c r="H44" s="454" t="s">
        <v>372</v>
      </c>
      <c r="I44" s="454"/>
      <c r="J44" s="452">
        <v>25037</v>
      </c>
      <c r="K44" s="452"/>
      <c r="L44" s="452"/>
      <c r="M44" s="452"/>
      <c r="N44" s="452">
        <v>25037</v>
      </c>
      <c r="O44" s="452"/>
      <c r="P44" s="453">
        <v>0</v>
      </c>
      <c r="Q44" s="453"/>
      <c r="R44" s="453"/>
      <c r="S44" s="452">
        <v>25037</v>
      </c>
      <c r="T44" s="452"/>
      <c r="U44" s="453">
        <v>0</v>
      </c>
      <c r="V44" s="453"/>
      <c r="W44" s="295">
        <v>100</v>
      </c>
      <c r="X44" s="291"/>
    </row>
    <row r="45" spans="1:24" ht="12">
      <c r="A45" s="454" t="s">
        <v>24</v>
      </c>
      <c r="B45" s="454"/>
      <c r="C45" s="454"/>
      <c r="D45" s="454" t="s">
        <v>371</v>
      </c>
      <c r="E45" s="454"/>
      <c r="F45" s="454"/>
      <c r="G45" s="294" t="s">
        <v>344</v>
      </c>
      <c r="H45" s="454" t="s">
        <v>372</v>
      </c>
      <c r="I45" s="454"/>
      <c r="J45" s="452">
        <v>4899.27</v>
      </c>
      <c r="K45" s="452"/>
      <c r="L45" s="452"/>
      <c r="M45" s="452"/>
      <c r="N45" s="452">
        <v>4899.27</v>
      </c>
      <c r="O45" s="452"/>
      <c r="P45" s="453">
        <v>0</v>
      </c>
      <c r="Q45" s="453"/>
      <c r="R45" s="453"/>
      <c r="S45" s="452">
        <v>4899.27</v>
      </c>
      <c r="T45" s="452"/>
      <c r="U45" s="453">
        <v>0</v>
      </c>
      <c r="V45" s="453"/>
      <c r="W45" s="295">
        <v>100</v>
      </c>
      <c r="X45" s="291"/>
    </row>
    <row r="46" spans="1:24" ht="12">
      <c r="A46" s="454" t="s">
        <v>25</v>
      </c>
      <c r="B46" s="454"/>
      <c r="C46" s="454"/>
      <c r="D46" s="454" t="s">
        <v>371</v>
      </c>
      <c r="E46" s="454"/>
      <c r="F46" s="454"/>
      <c r="G46" s="294" t="s">
        <v>344</v>
      </c>
      <c r="H46" s="454" t="s">
        <v>372</v>
      </c>
      <c r="I46" s="454"/>
      <c r="J46" s="452">
        <v>6574</v>
      </c>
      <c r="K46" s="452"/>
      <c r="L46" s="452"/>
      <c r="M46" s="452"/>
      <c r="N46" s="452">
        <v>6574</v>
      </c>
      <c r="O46" s="452"/>
      <c r="P46" s="453">
        <v>0</v>
      </c>
      <c r="Q46" s="453"/>
      <c r="R46" s="453"/>
      <c r="S46" s="452">
        <v>6574</v>
      </c>
      <c r="T46" s="452"/>
      <c r="U46" s="453">
        <v>0</v>
      </c>
      <c r="V46" s="453"/>
      <c r="W46" s="295">
        <v>100</v>
      </c>
      <c r="X46" s="291"/>
    </row>
    <row r="47" spans="1:24" ht="12">
      <c r="A47" s="454" t="s">
        <v>26</v>
      </c>
      <c r="B47" s="454"/>
      <c r="C47" s="454"/>
      <c r="D47" s="454" t="s">
        <v>371</v>
      </c>
      <c r="E47" s="454"/>
      <c r="F47" s="454"/>
      <c r="G47" s="294" t="s">
        <v>344</v>
      </c>
      <c r="H47" s="454" t="s">
        <v>372</v>
      </c>
      <c r="I47" s="454"/>
      <c r="J47" s="452">
        <v>548</v>
      </c>
      <c r="K47" s="452"/>
      <c r="L47" s="452"/>
      <c r="M47" s="452"/>
      <c r="N47" s="452">
        <v>548</v>
      </c>
      <c r="O47" s="452"/>
      <c r="P47" s="453">
        <v>0</v>
      </c>
      <c r="Q47" s="453"/>
      <c r="R47" s="453"/>
      <c r="S47" s="452">
        <v>548</v>
      </c>
      <c r="T47" s="452"/>
      <c r="U47" s="453">
        <v>0</v>
      </c>
      <c r="V47" s="453"/>
      <c r="W47" s="295">
        <v>100</v>
      </c>
      <c r="X47" s="291"/>
    </row>
    <row r="48" spans="1:24" ht="12">
      <c r="A48" s="454" t="s">
        <v>27</v>
      </c>
      <c r="B48" s="454"/>
      <c r="C48" s="454"/>
      <c r="D48" s="454" t="s">
        <v>371</v>
      </c>
      <c r="E48" s="454"/>
      <c r="F48" s="454"/>
      <c r="G48" s="294" t="s">
        <v>344</v>
      </c>
      <c r="H48" s="454" t="s">
        <v>372</v>
      </c>
      <c r="I48" s="454"/>
      <c r="J48" s="452">
        <v>30945</v>
      </c>
      <c r="K48" s="452"/>
      <c r="L48" s="452"/>
      <c r="M48" s="452"/>
      <c r="N48" s="452">
        <v>30945</v>
      </c>
      <c r="O48" s="452"/>
      <c r="P48" s="453">
        <v>0</v>
      </c>
      <c r="Q48" s="453"/>
      <c r="R48" s="453"/>
      <c r="S48" s="452">
        <v>30945</v>
      </c>
      <c r="T48" s="452"/>
      <c r="U48" s="453">
        <v>0</v>
      </c>
      <c r="V48" s="453"/>
      <c r="W48" s="295">
        <v>100</v>
      </c>
      <c r="X48" s="291"/>
    </row>
    <row r="49" spans="1:24" ht="12">
      <c r="A49" s="454" t="s">
        <v>165</v>
      </c>
      <c r="B49" s="454"/>
      <c r="C49" s="454"/>
      <c r="D49" s="454" t="s">
        <v>371</v>
      </c>
      <c r="E49" s="454"/>
      <c r="F49" s="454"/>
      <c r="G49" s="294" t="s">
        <v>344</v>
      </c>
      <c r="H49" s="454" t="s">
        <v>372</v>
      </c>
      <c r="I49" s="454"/>
      <c r="J49" s="452">
        <v>12342</v>
      </c>
      <c r="K49" s="452"/>
      <c r="L49" s="452"/>
      <c r="M49" s="452"/>
      <c r="N49" s="452">
        <v>12342</v>
      </c>
      <c r="O49" s="452"/>
      <c r="P49" s="453">
        <v>0</v>
      </c>
      <c r="Q49" s="453"/>
      <c r="R49" s="453"/>
      <c r="S49" s="452">
        <v>12342</v>
      </c>
      <c r="T49" s="452"/>
      <c r="U49" s="453">
        <v>0</v>
      </c>
      <c r="V49" s="453"/>
      <c r="W49" s="295">
        <v>100</v>
      </c>
      <c r="X49" s="291"/>
    </row>
    <row r="50" spans="1:24" s="96" customFormat="1" ht="12">
      <c r="A50" s="454" t="s">
        <v>37</v>
      </c>
      <c r="B50" s="454"/>
      <c r="C50" s="454"/>
      <c r="D50" s="454" t="s">
        <v>371</v>
      </c>
      <c r="E50" s="454"/>
      <c r="F50" s="454"/>
      <c r="G50" s="294" t="s">
        <v>344</v>
      </c>
      <c r="H50" s="454" t="s">
        <v>372</v>
      </c>
      <c r="I50" s="454"/>
      <c r="J50" s="452">
        <v>2291</v>
      </c>
      <c r="K50" s="452"/>
      <c r="L50" s="452"/>
      <c r="M50" s="452"/>
      <c r="N50" s="452">
        <v>2291</v>
      </c>
      <c r="O50" s="452"/>
      <c r="P50" s="453">
        <v>0</v>
      </c>
      <c r="Q50" s="453"/>
      <c r="R50" s="453"/>
      <c r="S50" s="452">
        <v>2291</v>
      </c>
      <c r="T50" s="452"/>
      <c r="U50" s="453">
        <v>0</v>
      </c>
      <c r="V50" s="453"/>
      <c r="W50" s="295">
        <v>100</v>
      </c>
      <c r="X50" s="291"/>
    </row>
    <row r="51" spans="1:24" ht="12" customHeight="1">
      <c r="A51" s="454" t="s">
        <v>28</v>
      </c>
      <c r="B51" s="454"/>
      <c r="C51" s="454"/>
      <c r="D51" s="454" t="s">
        <v>371</v>
      </c>
      <c r="E51" s="454"/>
      <c r="F51" s="454"/>
      <c r="G51" s="294" t="s">
        <v>344</v>
      </c>
      <c r="H51" s="454" t="s">
        <v>372</v>
      </c>
      <c r="I51" s="454"/>
      <c r="J51" s="452">
        <v>166.82</v>
      </c>
      <c r="K51" s="452"/>
      <c r="L51" s="452"/>
      <c r="M51" s="452"/>
      <c r="N51" s="452">
        <v>166.82</v>
      </c>
      <c r="O51" s="452"/>
      <c r="P51" s="453">
        <v>0</v>
      </c>
      <c r="Q51" s="453"/>
      <c r="R51" s="453"/>
      <c r="S51" s="452">
        <v>166.82</v>
      </c>
      <c r="T51" s="452"/>
      <c r="U51" s="453">
        <v>0</v>
      </c>
      <c r="V51" s="453"/>
      <c r="W51" s="295">
        <v>100</v>
      </c>
      <c r="X51" s="291"/>
    </row>
    <row r="52" spans="1:24" s="89" customFormat="1" ht="12">
      <c r="A52" s="454" t="s">
        <v>29</v>
      </c>
      <c r="B52" s="454"/>
      <c r="C52" s="454"/>
      <c r="D52" s="454" t="s">
        <v>371</v>
      </c>
      <c r="E52" s="454"/>
      <c r="F52" s="454"/>
      <c r="G52" s="294" t="s">
        <v>344</v>
      </c>
      <c r="H52" s="454" t="s">
        <v>372</v>
      </c>
      <c r="I52" s="454"/>
      <c r="J52" s="452">
        <v>52072</v>
      </c>
      <c r="K52" s="452"/>
      <c r="L52" s="452"/>
      <c r="M52" s="452"/>
      <c r="N52" s="452">
        <v>52072</v>
      </c>
      <c r="O52" s="452"/>
      <c r="P52" s="453">
        <v>0</v>
      </c>
      <c r="Q52" s="453"/>
      <c r="R52" s="453"/>
      <c r="S52" s="452">
        <v>52072</v>
      </c>
      <c r="T52" s="452"/>
      <c r="U52" s="453">
        <v>0</v>
      </c>
      <c r="V52" s="453"/>
      <c r="W52" s="295">
        <v>100</v>
      </c>
      <c r="X52" s="291"/>
    </row>
    <row r="53" spans="1:24" ht="12">
      <c r="A53" s="454" t="s">
        <v>30</v>
      </c>
      <c r="B53" s="454"/>
      <c r="C53" s="454"/>
      <c r="D53" s="454" t="s">
        <v>371</v>
      </c>
      <c r="E53" s="454"/>
      <c r="F53" s="454"/>
      <c r="G53" s="294" t="s">
        <v>344</v>
      </c>
      <c r="H53" s="454" t="s">
        <v>372</v>
      </c>
      <c r="I53" s="454"/>
      <c r="J53" s="452">
        <v>8410</v>
      </c>
      <c r="K53" s="452"/>
      <c r="L53" s="452"/>
      <c r="M53" s="452"/>
      <c r="N53" s="452">
        <v>8410</v>
      </c>
      <c r="O53" s="452"/>
      <c r="P53" s="453">
        <v>0</v>
      </c>
      <c r="Q53" s="453"/>
      <c r="R53" s="453"/>
      <c r="S53" s="452">
        <v>8410</v>
      </c>
      <c r="T53" s="452"/>
      <c r="U53" s="453">
        <v>0</v>
      </c>
      <c r="V53" s="453"/>
      <c r="W53" s="295">
        <v>100</v>
      </c>
      <c r="X53" s="291"/>
    </row>
    <row r="54" spans="1:24" ht="12">
      <c r="A54" s="454" t="s">
        <v>31</v>
      </c>
      <c r="B54" s="454"/>
      <c r="C54" s="454"/>
      <c r="D54" s="454" t="s">
        <v>371</v>
      </c>
      <c r="E54" s="454"/>
      <c r="F54" s="454"/>
      <c r="G54" s="294" t="s">
        <v>344</v>
      </c>
      <c r="H54" s="454" t="s">
        <v>372</v>
      </c>
      <c r="I54" s="454"/>
      <c r="J54" s="452">
        <v>15446</v>
      </c>
      <c r="K54" s="452"/>
      <c r="L54" s="452"/>
      <c r="M54" s="452"/>
      <c r="N54" s="452">
        <v>15446</v>
      </c>
      <c r="O54" s="452"/>
      <c r="P54" s="453">
        <v>0</v>
      </c>
      <c r="Q54" s="453"/>
      <c r="R54" s="453"/>
      <c r="S54" s="452">
        <v>15446</v>
      </c>
      <c r="T54" s="452"/>
      <c r="U54" s="453">
        <v>0</v>
      </c>
      <c r="V54" s="453"/>
      <c r="W54" s="295">
        <v>100</v>
      </c>
      <c r="X54" s="291"/>
    </row>
    <row r="55" spans="1:24" ht="12">
      <c r="A55" s="454" t="s">
        <v>32</v>
      </c>
      <c r="B55" s="454"/>
      <c r="C55" s="454"/>
      <c r="D55" s="454" t="s">
        <v>371</v>
      </c>
      <c r="E55" s="454"/>
      <c r="F55" s="454"/>
      <c r="G55" s="294" t="s">
        <v>344</v>
      </c>
      <c r="H55" s="454" t="s">
        <v>372</v>
      </c>
      <c r="I55" s="454"/>
      <c r="J55" s="452">
        <v>7443</v>
      </c>
      <c r="K55" s="452"/>
      <c r="L55" s="452"/>
      <c r="M55" s="452"/>
      <c r="N55" s="452">
        <v>7443</v>
      </c>
      <c r="O55" s="452"/>
      <c r="P55" s="453">
        <v>0</v>
      </c>
      <c r="Q55" s="453"/>
      <c r="R55" s="453"/>
      <c r="S55" s="452">
        <v>4732</v>
      </c>
      <c r="T55" s="452"/>
      <c r="U55" s="453">
        <v>2711</v>
      </c>
      <c r="V55" s="453"/>
      <c r="W55" s="295">
        <v>63.58</v>
      </c>
      <c r="X55" s="291"/>
    </row>
    <row r="56" spans="1:24" ht="12">
      <c r="A56" s="454" t="s">
        <v>33</v>
      </c>
      <c r="B56" s="454"/>
      <c r="C56" s="454"/>
      <c r="D56" s="454" t="s">
        <v>371</v>
      </c>
      <c r="E56" s="454"/>
      <c r="F56" s="454"/>
      <c r="G56" s="294" t="s">
        <v>344</v>
      </c>
      <c r="H56" s="454" t="s">
        <v>372</v>
      </c>
      <c r="I56" s="454"/>
      <c r="J56" s="452">
        <v>25461</v>
      </c>
      <c r="K56" s="452"/>
      <c r="L56" s="452"/>
      <c r="M56" s="452"/>
      <c r="N56" s="452">
        <v>25461</v>
      </c>
      <c r="O56" s="452"/>
      <c r="P56" s="453">
        <v>0</v>
      </c>
      <c r="Q56" s="453"/>
      <c r="R56" s="453"/>
      <c r="S56" s="452">
        <v>25461</v>
      </c>
      <c r="T56" s="452"/>
      <c r="U56" s="453">
        <v>0</v>
      </c>
      <c r="V56" s="453"/>
      <c r="W56" s="295">
        <v>100</v>
      </c>
      <c r="X56" s="291"/>
    </row>
    <row r="57" spans="1:24" ht="10.5">
      <c r="A57" s="296"/>
      <c r="B57" s="296"/>
      <c r="C57" s="296"/>
      <c r="D57" s="296"/>
      <c r="E57" s="296"/>
      <c r="F57" s="296"/>
      <c r="G57" s="296"/>
      <c r="H57" s="296"/>
      <c r="I57" s="296"/>
      <c r="J57" s="296"/>
      <c r="K57" s="296"/>
      <c r="L57" s="296"/>
      <c r="M57" s="296"/>
      <c r="N57" s="296"/>
      <c r="O57" s="296"/>
      <c r="P57" s="296"/>
      <c r="Q57" s="296"/>
      <c r="R57" s="296"/>
      <c r="S57" s="296"/>
      <c r="T57" s="296"/>
      <c r="U57" s="296"/>
      <c r="V57" s="296"/>
      <c r="W57" s="296"/>
      <c r="X57" s="291"/>
    </row>
    <row r="58" spans="1:24" ht="12" thickBot="1">
      <c r="A58" s="291"/>
      <c r="B58" s="291"/>
      <c r="C58" s="291"/>
      <c r="D58" s="291"/>
      <c r="E58" s="291"/>
      <c r="F58" s="291"/>
      <c r="G58" s="291"/>
      <c r="H58" s="291"/>
      <c r="I58" s="291"/>
      <c r="J58" s="451">
        <v>191635.09</v>
      </c>
      <c r="K58" s="451"/>
      <c r="L58" s="451"/>
      <c r="M58" s="451"/>
      <c r="N58" s="451">
        <v>191635.09</v>
      </c>
      <c r="O58" s="451"/>
      <c r="P58" s="451">
        <v>0</v>
      </c>
      <c r="Q58" s="451"/>
      <c r="R58" s="451"/>
      <c r="S58" s="451">
        <v>188924.09</v>
      </c>
      <c r="T58" s="451"/>
      <c r="U58" s="451">
        <v>2711</v>
      </c>
      <c r="V58" s="451"/>
      <c r="W58" s="291"/>
      <c r="X58" s="291"/>
    </row>
    <row r="59" spans="1:24" ht="11.25" thickTop="1">
      <c r="A59" s="297"/>
      <c r="B59" s="297"/>
      <c r="C59" s="297"/>
      <c r="D59" s="297"/>
      <c r="E59" s="297"/>
      <c r="F59" s="297"/>
      <c r="G59" s="297"/>
      <c r="H59" s="297"/>
      <c r="I59" s="297"/>
      <c r="J59" s="297"/>
      <c r="K59" s="297"/>
      <c r="L59" s="297"/>
      <c r="M59" s="297"/>
      <c r="N59" s="297"/>
      <c r="O59" s="297"/>
      <c r="P59" s="297"/>
      <c r="Q59" s="297"/>
      <c r="R59" s="297"/>
      <c r="S59" s="297"/>
      <c r="T59" s="297"/>
      <c r="U59" s="297"/>
      <c r="V59" s="297"/>
      <c r="W59" s="297"/>
      <c r="X59" s="291"/>
    </row>
    <row r="60" spans="1:24" ht="12">
      <c r="A60" s="449" t="s">
        <v>373</v>
      </c>
      <c r="B60" s="449"/>
      <c r="C60" s="449"/>
      <c r="D60" s="449"/>
      <c r="E60" s="449"/>
      <c r="F60" s="449"/>
      <c r="G60" s="449"/>
      <c r="H60" s="449"/>
      <c r="I60" s="291"/>
      <c r="J60" s="450">
        <v>1442531.28</v>
      </c>
      <c r="K60" s="450"/>
      <c r="L60" s="450"/>
      <c r="M60" s="450"/>
      <c r="N60" s="450">
        <v>1442531.28</v>
      </c>
      <c r="O60" s="450"/>
      <c r="P60" s="451">
        <v>0</v>
      </c>
      <c r="Q60" s="451"/>
      <c r="R60" s="451"/>
      <c r="S60" s="450">
        <v>1434462.28</v>
      </c>
      <c r="T60" s="450"/>
      <c r="U60" s="450">
        <v>8069</v>
      </c>
      <c r="V60" s="450"/>
      <c r="W60" s="291"/>
      <c r="X60" s="291"/>
    </row>
    <row r="61" spans="1:24" ht="12">
      <c r="A61" s="430" t="s">
        <v>329</v>
      </c>
      <c r="B61" s="430"/>
      <c r="C61" s="455" t="s">
        <v>374</v>
      </c>
      <c r="D61" s="455"/>
      <c r="E61" s="455"/>
      <c r="F61" s="455"/>
      <c r="G61" s="455"/>
      <c r="H61" s="455"/>
      <c r="I61" s="455"/>
      <c r="J61" s="455"/>
      <c r="K61" s="455"/>
      <c r="L61" s="291"/>
      <c r="M61" s="291"/>
      <c r="N61" s="291"/>
      <c r="O61" s="291"/>
      <c r="P61" s="291"/>
      <c r="Q61" s="291"/>
      <c r="R61" s="291"/>
      <c r="S61" s="291"/>
      <c r="T61" s="291"/>
      <c r="U61" s="291"/>
      <c r="V61" s="291"/>
      <c r="W61" s="291"/>
      <c r="X61" s="291"/>
    </row>
    <row r="62" spans="1:24" ht="10.5">
      <c r="A62" s="430"/>
      <c r="B62" s="430"/>
      <c r="C62" s="291"/>
      <c r="D62" s="291"/>
      <c r="E62" s="291"/>
      <c r="F62" s="291"/>
      <c r="G62" s="291"/>
      <c r="H62" s="291"/>
      <c r="I62" s="291"/>
      <c r="J62" s="291"/>
      <c r="K62" s="291"/>
      <c r="L62" s="291"/>
      <c r="M62" s="291"/>
      <c r="N62" s="291"/>
      <c r="O62" s="291"/>
      <c r="P62" s="291"/>
      <c r="Q62" s="291"/>
      <c r="R62" s="291"/>
      <c r="S62" s="291"/>
      <c r="T62" s="291"/>
      <c r="U62" s="291"/>
      <c r="V62" s="291"/>
      <c r="W62" s="291"/>
      <c r="X62" s="291"/>
    </row>
    <row r="63" spans="1:24" ht="12">
      <c r="A63" s="291"/>
      <c r="B63" s="430" t="s">
        <v>331</v>
      </c>
      <c r="C63" s="430"/>
      <c r="D63" s="455" t="s">
        <v>375</v>
      </c>
      <c r="E63" s="455"/>
      <c r="F63" s="455"/>
      <c r="G63" s="455"/>
      <c r="H63" s="455"/>
      <c r="I63" s="455"/>
      <c r="J63" s="455"/>
      <c r="K63" s="455"/>
      <c r="L63" s="455"/>
      <c r="M63" s="455"/>
      <c r="N63" s="291"/>
      <c r="O63" s="291"/>
      <c r="P63" s="291"/>
      <c r="Q63" s="291"/>
      <c r="R63" s="291"/>
      <c r="S63" s="291"/>
      <c r="T63" s="291"/>
      <c r="U63" s="291"/>
      <c r="V63" s="291"/>
      <c r="W63" s="291"/>
      <c r="X63" s="291"/>
    </row>
    <row r="64" spans="1:24" ht="12">
      <c r="A64" s="430" t="s">
        <v>332</v>
      </c>
      <c r="B64" s="430"/>
      <c r="C64" s="291"/>
      <c r="D64" s="291"/>
      <c r="E64" s="456" t="s">
        <v>333</v>
      </c>
      <c r="F64" s="456"/>
      <c r="G64" s="456"/>
      <c r="H64" s="456"/>
      <c r="I64" s="456"/>
      <c r="J64" s="449" t="s">
        <v>3</v>
      </c>
      <c r="K64" s="449"/>
      <c r="L64" s="449"/>
      <c r="M64" s="449"/>
      <c r="N64" s="449" t="s">
        <v>334</v>
      </c>
      <c r="O64" s="449"/>
      <c r="P64" s="428" t="s">
        <v>335</v>
      </c>
      <c r="Q64" s="428"/>
      <c r="R64" s="291"/>
      <c r="S64" s="449" t="s">
        <v>336</v>
      </c>
      <c r="T64" s="449"/>
      <c r="U64" s="291"/>
      <c r="V64" s="292" t="s">
        <v>337</v>
      </c>
      <c r="W64" s="292" t="s">
        <v>338</v>
      </c>
      <c r="X64" s="291"/>
    </row>
    <row r="65" spans="1:24" ht="12">
      <c r="A65" s="430"/>
      <c r="B65" s="430"/>
      <c r="C65" s="291"/>
      <c r="D65" s="291"/>
      <c r="E65" s="430" t="s">
        <v>339</v>
      </c>
      <c r="F65" s="430"/>
      <c r="G65" s="430"/>
      <c r="H65" s="430"/>
      <c r="I65" s="430"/>
      <c r="J65" s="428" t="s">
        <v>340</v>
      </c>
      <c r="K65" s="428"/>
      <c r="L65" s="428"/>
      <c r="M65" s="428"/>
      <c r="N65" s="428" t="s">
        <v>341</v>
      </c>
      <c r="O65" s="428"/>
      <c r="P65" s="428"/>
      <c r="Q65" s="428"/>
      <c r="R65" s="291"/>
      <c r="S65" s="428" t="s">
        <v>341</v>
      </c>
      <c r="T65" s="428"/>
      <c r="U65" s="291"/>
      <c r="V65" s="293" t="s">
        <v>342</v>
      </c>
      <c r="W65" s="293" t="s">
        <v>336</v>
      </c>
      <c r="X65" s="291"/>
    </row>
    <row r="66" spans="1:24" ht="12">
      <c r="A66" s="454" t="s">
        <v>31</v>
      </c>
      <c r="B66" s="454"/>
      <c r="C66" s="454"/>
      <c r="D66" s="454" t="s">
        <v>371</v>
      </c>
      <c r="E66" s="454"/>
      <c r="F66" s="454"/>
      <c r="G66" s="294" t="s">
        <v>344</v>
      </c>
      <c r="H66" s="454" t="s">
        <v>372</v>
      </c>
      <c r="I66" s="454"/>
      <c r="J66" s="452">
        <v>178</v>
      </c>
      <c r="K66" s="452"/>
      <c r="L66" s="452"/>
      <c r="M66" s="452"/>
      <c r="N66" s="452">
        <v>178</v>
      </c>
      <c r="O66" s="452"/>
      <c r="P66" s="453">
        <v>0</v>
      </c>
      <c r="Q66" s="453"/>
      <c r="R66" s="453"/>
      <c r="S66" s="452">
        <v>178</v>
      </c>
      <c r="T66" s="452"/>
      <c r="U66" s="453">
        <v>0</v>
      </c>
      <c r="V66" s="453"/>
      <c r="W66" s="295">
        <v>100</v>
      </c>
      <c r="X66" s="291"/>
    </row>
    <row r="67" spans="1:24" ht="10.5">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1"/>
    </row>
    <row r="68" spans="1:24" ht="11.25">
      <c r="A68" s="291"/>
      <c r="B68" s="291"/>
      <c r="C68" s="291"/>
      <c r="D68" s="291"/>
      <c r="E68" s="291"/>
      <c r="F68" s="291"/>
      <c r="G68" s="291"/>
      <c r="H68" s="291"/>
      <c r="I68" s="291"/>
      <c r="J68" s="451">
        <v>178</v>
      </c>
      <c r="K68" s="451"/>
      <c r="L68" s="451"/>
      <c r="M68" s="451"/>
      <c r="N68" s="451">
        <v>178</v>
      </c>
      <c r="O68" s="451"/>
      <c r="P68" s="451">
        <v>0</v>
      </c>
      <c r="Q68" s="451"/>
      <c r="R68" s="451"/>
      <c r="S68" s="451">
        <v>178</v>
      </c>
      <c r="T68" s="451"/>
      <c r="U68" s="451">
        <v>0</v>
      </c>
      <c r="V68" s="451"/>
      <c r="W68" s="291"/>
      <c r="X68" s="291"/>
    </row>
    <row r="69" spans="1:24" s="96" customFormat="1" ht="12">
      <c r="A69" s="291"/>
      <c r="B69" s="430" t="s">
        <v>331</v>
      </c>
      <c r="C69" s="430"/>
      <c r="D69" s="455" t="s">
        <v>376</v>
      </c>
      <c r="E69" s="455"/>
      <c r="F69" s="455"/>
      <c r="G69" s="455"/>
      <c r="H69" s="455"/>
      <c r="I69" s="455"/>
      <c r="J69" s="455"/>
      <c r="K69" s="455"/>
      <c r="L69" s="455"/>
      <c r="M69" s="455"/>
      <c r="N69" s="291"/>
      <c r="O69" s="291"/>
      <c r="P69" s="291"/>
      <c r="Q69" s="291"/>
      <c r="R69" s="291"/>
      <c r="S69" s="291"/>
      <c r="T69" s="291"/>
      <c r="U69" s="291"/>
      <c r="V69" s="291"/>
      <c r="W69" s="291"/>
      <c r="X69" s="291"/>
    </row>
    <row r="70" spans="1:24" ht="9.75" customHeight="1">
      <c r="A70" s="430" t="s">
        <v>332</v>
      </c>
      <c r="B70" s="430"/>
      <c r="C70" s="291"/>
      <c r="D70" s="291"/>
      <c r="E70" s="456" t="s">
        <v>333</v>
      </c>
      <c r="F70" s="456"/>
      <c r="G70" s="456"/>
      <c r="H70" s="456"/>
      <c r="I70" s="456"/>
      <c r="J70" s="449" t="s">
        <v>3</v>
      </c>
      <c r="K70" s="449"/>
      <c r="L70" s="449"/>
      <c r="M70" s="449"/>
      <c r="N70" s="449" t="s">
        <v>334</v>
      </c>
      <c r="O70" s="449"/>
      <c r="P70" s="428" t="s">
        <v>335</v>
      </c>
      <c r="Q70" s="428"/>
      <c r="R70" s="291"/>
      <c r="S70" s="449" t="s">
        <v>336</v>
      </c>
      <c r="T70" s="449"/>
      <c r="U70" s="291"/>
      <c r="V70" s="292" t="s">
        <v>337</v>
      </c>
      <c r="W70" s="292" t="s">
        <v>338</v>
      </c>
      <c r="X70" s="291"/>
    </row>
    <row r="71" spans="1:24" s="89" customFormat="1" ht="12">
      <c r="A71" s="430"/>
      <c r="B71" s="430"/>
      <c r="C71" s="291"/>
      <c r="D71" s="291"/>
      <c r="E71" s="430" t="s">
        <v>339</v>
      </c>
      <c r="F71" s="430"/>
      <c r="G71" s="430"/>
      <c r="H71" s="430"/>
      <c r="I71" s="430"/>
      <c r="J71" s="428" t="s">
        <v>340</v>
      </c>
      <c r="K71" s="428"/>
      <c r="L71" s="428"/>
      <c r="M71" s="428"/>
      <c r="N71" s="428" t="s">
        <v>341</v>
      </c>
      <c r="O71" s="428"/>
      <c r="P71" s="428"/>
      <c r="Q71" s="428"/>
      <c r="R71" s="291"/>
      <c r="S71" s="428" t="s">
        <v>341</v>
      </c>
      <c r="T71" s="428"/>
      <c r="U71" s="291"/>
      <c r="V71" s="293" t="s">
        <v>342</v>
      </c>
      <c r="W71" s="293" t="s">
        <v>336</v>
      </c>
      <c r="X71" s="291"/>
    </row>
    <row r="72" spans="1:24" ht="12">
      <c r="A72" s="454" t="s">
        <v>31</v>
      </c>
      <c r="B72" s="454"/>
      <c r="C72" s="454"/>
      <c r="D72" s="454" t="s">
        <v>371</v>
      </c>
      <c r="E72" s="454"/>
      <c r="F72" s="454"/>
      <c r="G72" s="294" t="s">
        <v>344</v>
      </c>
      <c r="H72" s="454" t="s">
        <v>372</v>
      </c>
      <c r="I72" s="454"/>
      <c r="J72" s="452">
        <v>1606</v>
      </c>
      <c r="K72" s="452"/>
      <c r="L72" s="452"/>
      <c r="M72" s="452"/>
      <c r="N72" s="452">
        <v>1606</v>
      </c>
      <c r="O72" s="452"/>
      <c r="P72" s="453">
        <v>0</v>
      </c>
      <c r="Q72" s="453"/>
      <c r="R72" s="453"/>
      <c r="S72" s="452">
        <v>1606</v>
      </c>
      <c r="T72" s="452"/>
      <c r="U72" s="453">
        <v>0</v>
      </c>
      <c r="V72" s="453"/>
      <c r="W72" s="295">
        <v>100</v>
      </c>
      <c r="X72" s="291"/>
    </row>
    <row r="73" spans="1:24" ht="10.5">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1"/>
    </row>
    <row r="74" spans="1:24" ht="12" thickBot="1">
      <c r="A74" s="291"/>
      <c r="B74" s="291"/>
      <c r="C74" s="291"/>
      <c r="D74" s="291"/>
      <c r="E74" s="291"/>
      <c r="F74" s="291"/>
      <c r="G74" s="291"/>
      <c r="H74" s="291"/>
      <c r="I74" s="291"/>
      <c r="J74" s="451">
        <v>1606</v>
      </c>
      <c r="K74" s="451"/>
      <c r="L74" s="451"/>
      <c r="M74" s="451"/>
      <c r="N74" s="451">
        <v>1606</v>
      </c>
      <c r="O74" s="451"/>
      <c r="P74" s="451">
        <v>0</v>
      </c>
      <c r="Q74" s="451"/>
      <c r="R74" s="451"/>
      <c r="S74" s="451">
        <v>1606</v>
      </c>
      <c r="T74" s="451"/>
      <c r="U74" s="451">
        <v>0</v>
      </c>
      <c r="V74" s="451"/>
      <c r="W74" s="291"/>
      <c r="X74" s="291"/>
    </row>
    <row r="75" spans="1:24" ht="11.25" thickTop="1">
      <c r="A75" s="297"/>
      <c r="B75" s="297"/>
      <c r="C75" s="297"/>
      <c r="D75" s="297"/>
      <c r="E75" s="297"/>
      <c r="F75" s="297"/>
      <c r="G75" s="297"/>
      <c r="H75" s="297"/>
      <c r="I75" s="297"/>
      <c r="J75" s="297"/>
      <c r="K75" s="297"/>
      <c r="L75" s="297"/>
      <c r="M75" s="297"/>
      <c r="N75" s="297"/>
      <c r="O75" s="297"/>
      <c r="P75" s="297"/>
      <c r="Q75" s="297"/>
      <c r="R75" s="297"/>
      <c r="S75" s="297"/>
      <c r="T75" s="297"/>
      <c r="U75" s="297"/>
      <c r="V75" s="297"/>
      <c r="W75" s="297"/>
      <c r="X75" s="291"/>
    </row>
    <row r="76" spans="1:24" ht="12">
      <c r="A76" s="449" t="s">
        <v>377</v>
      </c>
      <c r="B76" s="449"/>
      <c r="C76" s="449"/>
      <c r="D76" s="449"/>
      <c r="E76" s="449"/>
      <c r="F76" s="449"/>
      <c r="G76" s="449"/>
      <c r="H76" s="449"/>
      <c r="I76" s="291"/>
      <c r="J76" s="450">
        <v>1784</v>
      </c>
      <c r="K76" s="450"/>
      <c r="L76" s="450"/>
      <c r="M76" s="450"/>
      <c r="N76" s="450">
        <v>1784</v>
      </c>
      <c r="O76" s="450"/>
      <c r="P76" s="451">
        <v>0</v>
      </c>
      <c r="Q76" s="451"/>
      <c r="R76" s="451"/>
      <c r="S76" s="450">
        <v>1784</v>
      </c>
      <c r="T76" s="450"/>
      <c r="U76" s="450">
        <v>0</v>
      </c>
      <c r="V76" s="450"/>
      <c r="W76" s="291"/>
      <c r="X76" s="291"/>
    </row>
    <row r="77" spans="1:24" ht="12">
      <c r="A77" s="430" t="s">
        <v>329</v>
      </c>
      <c r="B77" s="430"/>
      <c r="C77" s="455" t="s">
        <v>378</v>
      </c>
      <c r="D77" s="455"/>
      <c r="E77" s="455"/>
      <c r="F77" s="455"/>
      <c r="G77" s="455"/>
      <c r="H77" s="455"/>
      <c r="I77" s="455"/>
      <c r="J77" s="455"/>
      <c r="K77" s="455"/>
      <c r="L77" s="291"/>
      <c r="M77" s="291"/>
      <c r="N77" s="291"/>
      <c r="O77" s="291"/>
      <c r="P77" s="291"/>
      <c r="Q77" s="291"/>
      <c r="R77" s="291"/>
      <c r="S77" s="291"/>
      <c r="T77" s="291"/>
      <c r="U77" s="291"/>
      <c r="V77" s="291"/>
      <c r="W77" s="291"/>
      <c r="X77" s="291"/>
    </row>
    <row r="78" spans="1:24" ht="10.5">
      <c r="A78" s="430"/>
      <c r="B78" s="430"/>
      <c r="C78" s="291"/>
      <c r="D78" s="291"/>
      <c r="E78" s="291"/>
      <c r="F78" s="291"/>
      <c r="G78" s="291"/>
      <c r="H78" s="291"/>
      <c r="I78" s="291"/>
      <c r="J78" s="291"/>
      <c r="K78" s="291"/>
      <c r="L78" s="291"/>
      <c r="M78" s="291"/>
      <c r="N78" s="291"/>
      <c r="O78" s="291"/>
      <c r="P78" s="291"/>
      <c r="Q78" s="291"/>
      <c r="R78" s="291"/>
      <c r="S78" s="291"/>
      <c r="T78" s="291"/>
      <c r="U78" s="291"/>
      <c r="V78" s="291"/>
      <c r="W78" s="291"/>
      <c r="X78" s="291"/>
    </row>
    <row r="79" spans="1:24" ht="12">
      <c r="A79" s="291"/>
      <c r="B79" s="430" t="s">
        <v>331</v>
      </c>
      <c r="C79" s="430"/>
      <c r="D79" s="455" t="s">
        <v>44</v>
      </c>
      <c r="E79" s="455"/>
      <c r="F79" s="455"/>
      <c r="G79" s="455"/>
      <c r="H79" s="455"/>
      <c r="I79" s="455"/>
      <c r="J79" s="455"/>
      <c r="K79" s="455"/>
      <c r="L79" s="455"/>
      <c r="M79" s="455"/>
      <c r="N79" s="291"/>
      <c r="O79" s="291"/>
      <c r="P79" s="291"/>
      <c r="Q79" s="291"/>
      <c r="R79" s="291"/>
      <c r="S79" s="291"/>
      <c r="T79" s="291"/>
      <c r="U79" s="291"/>
      <c r="V79" s="291"/>
      <c r="W79" s="291"/>
      <c r="X79" s="291"/>
    </row>
    <row r="80" spans="1:24" ht="12">
      <c r="A80" s="430" t="s">
        <v>332</v>
      </c>
      <c r="B80" s="430"/>
      <c r="C80" s="291"/>
      <c r="D80" s="291"/>
      <c r="E80" s="456" t="s">
        <v>333</v>
      </c>
      <c r="F80" s="456"/>
      <c r="G80" s="456"/>
      <c r="H80" s="456"/>
      <c r="I80" s="456"/>
      <c r="J80" s="449" t="s">
        <v>3</v>
      </c>
      <c r="K80" s="449"/>
      <c r="L80" s="449"/>
      <c r="M80" s="449"/>
      <c r="N80" s="449" t="s">
        <v>334</v>
      </c>
      <c r="O80" s="449"/>
      <c r="P80" s="428" t="s">
        <v>335</v>
      </c>
      <c r="Q80" s="428"/>
      <c r="R80" s="291"/>
      <c r="S80" s="449" t="s">
        <v>336</v>
      </c>
      <c r="T80" s="449"/>
      <c r="U80" s="291"/>
      <c r="V80" s="292" t="s">
        <v>337</v>
      </c>
      <c r="W80" s="292" t="s">
        <v>338</v>
      </c>
      <c r="X80" s="291"/>
    </row>
    <row r="81" spans="1:24" s="96" customFormat="1" ht="12">
      <c r="A81" s="430"/>
      <c r="B81" s="430"/>
      <c r="C81" s="291"/>
      <c r="D81" s="291"/>
      <c r="E81" s="430" t="s">
        <v>339</v>
      </c>
      <c r="F81" s="430"/>
      <c r="G81" s="430"/>
      <c r="H81" s="430"/>
      <c r="I81" s="430"/>
      <c r="J81" s="428" t="s">
        <v>340</v>
      </c>
      <c r="K81" s="428"/>
      <c r="L81" s="428"/>
      <c r="M81" s="428"/>
      <c r="N81" s="428" t="s">
        <v>341</v>
      </c>
      <c r="O81" s="428"/>
      <c r="P81" s="428"/>
      <c r="Q81" s="428"/>
      <c r="R81" s="291"/>
      <c r="S81" s="428" t="s">
        <v>341</v>
      </c>
      <c r="T81" s="428"/>
      <c r="U81" s="291"/>
      <c r="V81" s="293" t="s">
        <v>342</v>
      </c>
      <c r="W81" s="293" t="s">
        <v>336</v>
      </c>
      <c r="X81" s="291"/>
    </row>
    <row r="82" spans="1:24" ht="15" customHeight="1">
      <c r="A82" s="454" t="s">
        <v>34</v>
      </c>
      <c r="B82" s="454"/>
      <c r="C82" s="454"/>
      <c r="D82" s="454" t="s">
        <v>371</v>
      </c>
      <c r="E82" s="454"/>
      <c r="F82" s="454"/>
      <c r="G82" s="294" t="s">
        <v>344</v>
      </c>
      <c r="H82" s="454" t="s">
        <v>372</v>
      </c>
      <c r="I82" s="454"/>
      <c r="J82" s="452">
        <v>49963</v>
      </c>
      <c r="K82" s="452"/>
      <c r="L82" s="452"/>
      <c r="M82" s="452"/>
      <c r="N82" s="452">
        <v>49963</v>
      </c>
      <c r="O82" s="452"/>
      <c r="P82" s="453">
        <v>0</v>
      </c>
      <c r="Q82" s="453"/>
      <c r="R82" s="453"/>
      <c r="S82" s="452">
        <v>49963</v>
      </c>
      <c r="T82" s="452"/>
      <c r="U82" s="453">
        <v>0</v>
      </c>
      <c r="V82" s="453"/>
      <c r="W82" s="295">
        <v>100</v>
      </c>
      <c r="X82" s="291"/>
    </row>
    <row r="83" spans="1:24" s="89" customFormat="1" ht="12">
      <c r="A83" s="454" t="s">
        <v>35</v>
      </c>
      <c r="B83" s="454"/>
      <c r="C83" s="454"/>
      <c r="D83" s="454" t="s">
        <v>371</v>
      </c>
      <c r="E83" s="454"/>
      <c r="F83" s="454"/>
      <c r="G83" s="294" t="s">
        <v>344</v>
      </c>
      <c r="H83" s="454" t="s">
        <v>372</v>
      </c>
      <c r="I83" s="454"/>
      <c r="J83" s="452">
        <v>38550</v>
      </c>
      <c r="K83" s="452"/>
      <c r="L83" s="452"/>
      <c r="M83" s="452"/>
      <c r="N83" s="452">
        <v>38550</v>
      </c>
      <c r="O83" s="452"/>
      <c r="P83" s="453">
        <v>0</v>
      </c>
      <c r="Q83" s="453"/>
      <c r="R83" s="453"/>
      <c r="S83" s="452">
        <v>38550</v>
      </c>
      <c r="T83" s="452"/>
      <c r="U83" s="453">
        <v>0</v>
      </c>
      <c r="V83" s="453"/>
      <c r="W83" s="295">
        <v>100</v>
      </c>
      <c r="X83" s="291"/>
    </row>
    <row r="84" spans="1:24" ht="12">
      <c r="A84" s="454" t="s">
        <v>29</v>
      </c>
      <c r="B84" s="454"/>
      <c r="C84" s="454"/>
      <c r="D84" s="454" t="s">
        <v>371</v>
      </c>
      <c r="E84" s="454"/>
      <c r="F84" s="454"/>
      <c r="G84" s="294" t="s">
        <v>344</v>
      </c>
      <c r="H84" s="454" t="s">
        <v>372</v>
      </c>
      <c r="I84" s="454"/>
      <c r="J84" s="452">
        <v>65417</v>
      </c>
      <c r="K84" s="452"/>
      <c r="L84" s="452"/>
      <c r="M84" s="452"/>
      <c r="N84" s="452">
        <v>65417</v>
      </c>
      <c r="O84" s="452"/>
      <c r="P84" s="453">
        <v>0</v>
      </c>
      <c r="Q84" s="453"/>
      <c r="R84" s="453"/>
      <c r="S84" s="452">
        <v>65417</v>
      </c>
      <c r="T84" s="452"/>
      <c r="U84" s="453">
        <v>0</v>
      </c>
      <c r="V84" s="453"/>
      <c r="W84" s="295">
        <v>100</v>
      </c>
      <c r="X84" s="291"/>
    </row>
    <row r="85" spans="1:24" ht="12">
      <c r="A85" s="454" t="s">
        <v>30</v>
      </c>
      <c r="B85" s="454"/>
      <c r="C85" s="454"/>
      <c r="D85" s="454" t="s">
        <v>371</v>
      </c>
      <c r="E85" s="454"/>
      <c r="F85" s="454"/>
      <c r="G85" s="294" t="s">
        <v>344</v>
      </c>
      <c r="H85" s="454" t="s">
        <v>372</v>
      </c>
      <c r="I85" s="454"/>
      <c r="J85" s="452">
        <v>20589</v>
      </c>
      <c r="K85" s="452"/>
      <c r="L85" s="452"/>
      <c r="M85" s="452"/>
      <c r="N85" s="452">
        <v>20589</v>
      </c>
      <c r="O85" s="452"/>
      <c r="P85" s="453">
        <v>0</v>
      </c>
      <c r="Q85" s="453"/>
      <c r="R85" s="453"/>
      <c r="S85" s="452">
        <v>20589</v>
      </c>
      <c r="T85" s="452"/>
      <c r="U85" s="453">
        <v>0</v>
      </c>
      <c r="V85" s="453"/>
      <c r="W85" s="295">
        <v>100</v>
      </c>
      <c r="X85" s="291"/>
    </row>
    <row r="86" spans="1:24" ht="12">
      <c r="A86" s="454" t="s">
        <v>36</v>
      </c>
      <c r="B86" s="454"/>
      <c r="C86" s="454"/>
      <c r="D86" s="454" t="s">
        <v>371</v>
      </c>
      <c r="E86" s="454"/>
      <c r="F86" s="454"/>
      <c r="G86" s="294" t="s">
        <v>344</v>
      </c>
      <c r="H86" s="454" t="s">
        <v>372</v>
      </c>
      <c r="I86" s="454"/>
      <c r="J86" s="452">
        <v>5571</v>
      </c>
      <c r="K86" s="452"/>
      <c r="L86" s="452"/>
      <c r="M86" s="452"/>
      <c r="N86" s="452">
        <v>5571</v>
      </c>
      <c r="O86" s="452"/>
      <c r="P86" s="453">
        <v>0</v>
      </c>
      <c r="Q86" s="453"/>
      <c r="R86" s="453"/>
      <c r="S86" s="452">
        <v>5571</v>
      </c>
      <c r="T86" s="452"/>
      <c r="U86" s="453">
        <v>0</v>
      </c>
      <c r="V86" s="453"/>
      <c r="W86" s="295">
        <v>100</v>
      </c>
      <c r="X86" s="291"/>
    </row>
    <row r="87" spans="1:24" ht="10.5">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1"/>
    </row>
    <row r="88" spans="1:24" ht="11.25">
      <c r="A88" s="291"/>
      <c r="B88" s="291"/>
      <c r="C88" s="291"/>
      <c r="D88" s="291"/>
      <c r="E88" s="291"/>
      <c r="F88" s="291"/>
      <c r="G88" s="291"/>
      <c r="H88" s="291"/>
      <c r="I88" s="291"/>
      <c r="J88" s="451">
        <v>180090</v>
      </c>
      <c r="K88" s="451"/>
      <c r="L88" s="451"/>
      <c r="M88" s="451"/>
      <c r="N88" s="451">
        <v>180090</v>
      </c>
      <c r="O88" s="451"/>
      <c r="P88" s="451">
        <v>0</v>
      </c>
      <c r="Q88" s="451"/>
      <c r="R88" s="451"/>
      <c r="S88" s="451">
        <v>180090</v>
      </c>
      <c r="T88" s="451"/>
      <c r="U88" s="451">
        <v>0</v>
      </c>
      <c r="V88" s="451"/>
      <c r="W88" s="291"/>
      <c r="X88" s="291"/>
    </row>
    <row r="89" spans="1:24" ht="12">
      <c r="A89" s="291"/>
      <c r="B89" s="430" t="s">
        <v>331</v>
      </c>
      <c r="C89" s="430"/>
      <c r="D89" s="455" t="s">
        <v>348</v>
      </c>
      <c r="E89" s="455"/>
      <c r="F89" s="455"/>
      <c r="G89" s="455"/>
      <c r="H89" s="455"/>
      <c r="I89" s="455"/>
      <c r="J89" s="455"/>
      <c r="K89" s="455"/>
      <c r="L89" s="455"/>
      <c r="M89" s="455"/>
      <c r="N89" s="291"/>
      <c r="O89" s="291"/>
      <c r="P89" s="291"/>
      <c r="Q89" s="291"/>
      <c r="R89" s="291"/>
      <c r="S89" s="291"/>
      <c r="T89" s="291"/>
      <c r="U89" s="291"/>
      <c r="V89" s="291"/>
      <c r="W89" s="291"/>
      <c r="X89" s="291"/>
    </row>
    <row r="90" spans="1:24" ht="12">
      <c r="A90" s="430" t="s">
        <v>332</v>
      </c>
      <c r="B90" s="430"/>
      <c r="C90" s="291"/>
      <c r="D90" s="291"/>
      <c r="E90" s="456" t="s">
        <v>333</v>
      </c>
      <c r="F90" s="456"/>
      <c r="G90" s="456"/>
      <c r="H90" s="456"/>
      <c r="I90" s="456"/>
      <c r="J90" s="449" t="s">
        <v>3</v>
      </c>
      <c r="K90" s="449"/>
      <c r="L90" s="449"/>
      <c r="M90" s="449"/>
      <c r="N90" s="449" t="s">
        <v>334</v>
      </c>
      <c r="O90" s="449"/>
      <c r="P90" s="428" t="s">
        <v>335</v>
      </c>
      <c r="Q90" s="428"/>
      <c r="R90" s="291"/>
      <c r="S90" s="449" t="s">
        <v>336</v>
      </c>
      <c r="T90" s="449"/>
      <c r="U90" s="291"/>
      <c r="V90" s="292" t="s">
        <v>337</v>
      </c>
      <c r="W90" s="292" t="s">
        <v>338</v>
      </c>
      <c r="X90" s="291"/>
    </row>
    <row r="91" spans="1:24" ht="12">
      <c r="A91" s="430"/>
      <c r="B91" s="430"/>
      <c r="C91" s="291"/>
      <c r="D91" s="291"/>
      <c r="E91" s="430" t="s">
        <v>339</v>
      </c>
      <c r="F91" s="430"/>
      <c r="G91" s="430"/>
      <c r="H91" s="430"/>
      <c r="I91" s="430"/>
      <c r="J91" s="428" t="s">
        <v>340</v>
      </c>
      <c r="K91" s="428"/>
      <c r="L91" s="428"/>
      <c r="M91" s="428"/>
      <c r="N91" s="428" t="s">
        <v>341</v>
      </c>
      <c r="O91" s="428"/>
      <c r="P91" s="428"/>
      <c r="Q91" s="428"/>
      <c r="R91" s="291"/>
      <c r="S91" s="428" t="s">
        <v>341</v>
      </c>
      <c r="T91" s="428"/>
      <c r="U91" s="291"/>
      <c r="V91" s="293" t="s">
        <v>342</v>
      </c>
      <c r="W91" s="293" t="s">
        <v>336</v>
      </c>
      <c r="X91" s="291"/>
    </row>
    <row r="92" spans="1:24" s="96" customFormat="1" ht="12">
      <c r="A92" s="454" t="s">
        <v>34</v>
      </c>
      <c r="B92" s="454"/>
      <c r="C92" s="454"/>
      <c r="D92" s="454" t="s">
        <v>371</v>
      </c>
      <c r="E92" s="454"/>
      <c r="F92" s="454"/>
      <c r="G92" s="294" t="s">
        <v>344</v>
      </c>
      <c r="H92" s="454" t="s">
        <v>372</v>
      </c>
      <c r="I92" s="454"/>
      <c r="J92" s="452">
        <v>414178</v>
      </c>
      <c r="K92" s="452"/>
      <c r="L92" s="452"/>
      <c r="M92" s="452"/>
      <c r="N92" s="452">
        <v>414178</v>
      </c>
      <c r="O92" s="452"/>
      <c r="P92" s="453">
        <v>0</v>
      </c>
      <c r="Q92" s="453"/>
      <c r="R92" s="453"/>
      <c r="S92" s="452">
        <v>414178</v>
      </c>
      <c r="T92" s="452"/>
      <c r="U92" s="453">
        <v>0</v>
      </c>
      <c r="V92" s="453"/>
      <c r="W92" s="295">
        <v>100</v>
      </c>
      <c r="X92" s="291"/>
    </row>
    <row r="93" spans="1:24" ht="13.5" customHeight="1">
      <c r="A93" s="454" t="s">
        <v>35</v>
      </c>
      <c r="B93" s="454"/>
      <c r="C93" s="454"/>
      <c r="D93" s="454" t="s">
        <v>371</v>
      </c>
      <c r="E93" s="454"/>
      <c r="F93" s="454"/>
      <c r="G93" s="294" t="s">
        <v>344</v>
      </c>
      <c r="H93" s="454" t="s">
        <v>372</v>
      </c>
      <c r="I93" s="454"/>
      <c r="J93" s="452">
        <v>376017</v>
      </c>
      <c r="K93" s="452"/>
      <c r="L93" s="452"/>
      <c r="M93" s="452"/>
      <c r="N93" s="452">
        <v>376017</v>
      </c>
      <c r="O93" s="452"/>
      <c r="P93" s="453">
        <v>0</v>
      </c>
      <c r="Q93" s="453"/>
      <c r="R93" s="453"/>
      <c r="S93" s="452">
        <v>376017</v>
      </c>
      <c r="T93" s="452"/>
      <c r="U93" s="453">
        <v>0</v>
      </c>
      <c r="V93" s="453"/>
      <c r="W93" s="295">
        <v>100</v>
      </c>
      <c r="X93" s="291"/>
    </row>
    <row r="94" spans="1:24" s="89" customFormat="1" ht="12">
      <c r="A94" s="454" t="s">
        <v>29</v>
      </c>
      <c r="B94" s="454"/>
      <c r="C94" s="454"/>
      <c r="D94" s="454" t="s">
        <v>371</v>
      </c>
      <c r="E94" s="454"/>
      <c r="F94" s="454"/>
      <c r="G94" s="294" t="s">
        <v>344</v>
      </c>
      <c r="H94" s="454" t="s">
        <v>372</v>
      </c>
      <c r="I94" s="454"/>
      <c r="J94" s="452">
        <v>601605</v>
      </c>
      <c r="K94" s="452"/>
      <c r="L94" s="452"/>
      <c r="M94" s="452"/>
      <c r="N94" s="452">
        <v>601605</v>
      </c>
      <c r="O94" s="452"/>
      <c r="P94" s="453">
        <v>0</v>
      </c>
      <c r="Q94" s="453"/>
      <c r="R94" s="453"/>
      <c r="S94" s="452">
        <v>601605</v>
      </c>
      <c r="T94" s="452"/>
      <c r="U94" s="453">
        <v>0</v>
      </c>
      <c r="V94" s="453"/>
      <c r="W94" s="295">
        <v>100</v>
      </c>
      <c r="X94" s="291"/>
    </row>
    <row r="95" spans="1:24" ht="12">
      <c r="A95" s="454" t="s">
        <v>30</v>
      </c>
      <c r="B95" s="454"/>
      <c r="C95" s="454"/>
      <c r="D95" s="454" t="s">
        <v>371</v>
      </c>
      <c r="E95" s="454"/>
      <c r="F95" s="454"/>
      <c r="G95" s="294" t="s">
        <v>344</v>
      </c>
      <c r="H95" s="454" t="s">
        <v>372</v>
      </c>
      <c r="I95" s="454"/>
      <c r="J95" s="452">
        <v>261432</v>
      </c>
      <c r="K95" s="452"/>
      <c r="L95" s="452"/>
      <c r="M95" s="452"/>
      <c r="N95" s="452">
        <v>261432</v>
      </c>
      <c r="O95" s="452"/>
      <c r="P95" s="453">
        <v>0</v>
      </c>
      <c r="Q95" s="453"/>
      <c r="R95" s="453"/>
      <c r="S95" s="452">
        <v>261432</v>
      </c>
      <c r="T95" s="452"/>
      <c r="U95" s="453">
        <v>0</v>
      </c>
      <c r="V95" s="453"/>
      <c r="W95" s="295">
        <v>100</v>
      </c>
      <c r="X95" s="291"/>
    </row>
    <row r="96" spans="1:24" ht="12">
      <c r="A96" s="454" t="s">
        <v>36</v>
      </c>
      <c r="B96" s="454"/>
      <c r="C96" s="454"/>
      <c r="D96" s="454" t="s">
        <v>371</v>
      </c>
      <c r="E96" s="454"/>
      <c r="F96" s="454"/>
      <c r="G96" s="294" t="s">
        <v>344</v>
      </c>
      <c r="H96" s="454" t="s">
        <v>372</v>
      </c>
      <c r="I96" s="454"/>
      <c r="J96" s="452">
        <v>50130</v>
      </c>
      <c r="K96" s="452"/>
      <c r="L96" s="452"/>
      <c r="M96" s="452"/>
      <c r="N96" s="452">
        <v>50130</v>
      </c>
      <c r="O96" s="452"/>
      <c r="P96" s="453">
        <v>0</v>
      </c>
      <c r="Q96" s="453"/>
      <c r="R96" s="453"/>
      <c r="S96" s="452">
        <v>50130</v>
      </c>
      <c r="T96" s="452"/>
      <c r="U96" s="453">
        <v>0</v>
      </c>
      <c r="V96" s="453"/>
      <c r="W96" s="295">
        <v>100</v>
      </c>
      <c r="X96" s="291"/>
    </row>
    <row r="97" spans="1:24" ht="10.5">
      <c r="A97" s="296"/>
      <c r="B97" s="296"/>
      <c r="C97" s="296"/>
      <c r="D97" s="296"/>
      <c r="E97" s="296"/>
      <c r="F97" s="296"/>
      <c r="G97" s="296"/>
      <c r="H97" s="296"/>
      <c r="I97" s="296"/>
      <c r="J97" s="296"/>
      <c r="K97" s="296"/>
      <c r="L97" s="296"/>
      <c r="M97" s="296"/>
      <c r="N97" s="296"/>
      <c r="O97" s="296"/>
      <c r="P97" s="296"/>
      <c r="Q97" s="296"/>
      <c r="R97" s="296"/>
      <c r="S97" s="296"/>
      <c r="T97" s="296"/>
      <c r="U97" s="296"/>
      <c r="V97" s="296"/>
      <c r="W97" s="296"/>
      <c r="X97" s="291"/>
    </row>
    <row r="98" spans="1:24" ht="11.25">
      <c r="A98" s="291"/>
      <c r="B98" s="291"/>
      <c r="C98" s="291"/>
      <c r="D98" s="291"/>
      <c r="E98" s="291"/>
      <c r="F98" s="291"/>
      <c r="G98" s="291"/>
      <c r="H98" s="291"/>
      <c r="I98" s="291"/>
      <c r="J98" s="451">
        <v>1703362</v>
      </c>
      <c r="K98" s="451"/>
      <c r="L98" s="451"/>
      <c r="M98" s="451"/>
      <c r="N98" s="451">
        <v>1703362</v>
      </c>
      <c r="O98" s="451"/>
      <c r="P98" s="451">
        <v>0</v>
      </c>
      <c r="Q98" s="451"/>
      <c r="R98" s="451"/>
      <c r="S98" s="451">
        <v>1703362</v>
      </c>
      <c r="T98" s="451"/>
      <c r="U98" s="451">
        <v>0</v>
      </c>
      <c r="V98" s="451"/>
      <c r="W98" s="291"/>
      <c r="X98" s="291"/>
    </row>
    <row r="99" spans="1:24" ht="12">
      <c r="A99" s="291"/>
      <c r="B99" s="430" t="s">
        <v>331</v>
      </c>
      <c r="C99" s="430"/>
      <c r="D99" s="455" t="s">
        <v>187</v>
      </c>
      <c r="E99" s="455"/>
      <c r="F99" s="455"/>
      <c r="G99" s="455"/>
      <c r="H99" s="455"/>
      <c r="I99" s="455"/>
      <c r="J99" s="455"/>
      <c r="K99" s="455"/>
      <c r="L99" s="455"/>
      <c r="M99" s="455"/>
      <c r="N99" s="291"/>
      <c r="O99" s="291"/>
      <c r="P99" s="291"/>
      <c r="Q99" s="291"/>
      <c r="R99" s="291"/>
      <c r="S99" s="291"/>
      <c r="T99" s="291"/>
      <c r="U99" s="291"/>
      <c r="V99" s="291"/>
      <c r="W99" s="291"/>
      <c r="X99" s="291"/>
    </row>
    <row r="100" spans="1:24" ht="12">
      <c r="A100" s="430" t="s">
        <v>332</v>
      </c>
      <c r="B100" s="430"/>
      <c r="C100" s="291"/>
      <c r="D100" s="291"/>
      <c r="E100" s="456" t="s">
        <v>333</v>
      </c>
      <c r="F100" s="456"/>
      <c r="G100" s="456"/>
      <c r="H100" s="456"/>
      <c r="I100" s="456"/>
      <c r="J100" s="449" t="s">
        <v>3</v>
      </c>
      <c r="K100" s="449"/>
      <c r="L100" s="449"/>
      <c r="M100" s="449"/>
      <c r="N100" s="449" t="s">
        <v>334</v>
      </c>
      <c r="O100" s="449"/>
      <c r="P100" s="428" t="s">
        <v>335</v>
      </c>
      <c r="Q100" s="428"/>
      <c r="R100" s="291"/>
      <c r="S100" s="449" t="s">
        <v>336</v>
      </c>
      <c r="T100" s="449"/>
      <c r="U100" s="291"/>
      <c r="V100" s="292" t="s">
        <v>337</v>
      </c>
      <c r="W100" s="292" t="s">
        <v>338</v>
      </c>
      <c r="X100" s="291"/>
    </row>
    <row r="101" spans="1:24" ht="12">
      <c r="A101" s="430"/>
      <c r="B101" s="430"/>
      <c r="C101" s="291"/>
      <c r="D101" s="291"/>
      <c r="E101" s="430" t="s">
        <v>339</v>
      </c>
      <c r="F101" s="430"/>
      <c r="G101" s="430"/>
      <c r="H101" s="430"/>
      <c r="I101" s="430"/>
      <c r="J101" s="428" t="s">
        <v>340</v>
      </c>
      <c r="K101" s="428"/>
      <c r="L101" s="428"/>
      <c r="M101" s="428"/>
      <c r="N101" s="428" t="s">
        <v>341</v>
      </c>
      <c r="O101" s="428"/>
      <c r="P101" s="428"/>
      <c r="Q101" s="428"/>
      <c r="R101" s="291"/>
      <c r="S101" s="428" t="s">
        <v>341</v>
      </c>
      <c r="T101" s="428"/>
      <c r="U101" s="291"/>
      <c r="V101" s="293" t="s">
        <v>342</v>
      </c>
      <c r="W101" s="293" t="s">
        <v>336</v>
      </c>
      <c r="X101" s="291"/>
    </row>
    <row r="102" spans="1:24" ht="12">
      <c r="A102" s="454" t="s">
        <v>34</v>
      </c>
      <c r="B102" s="454"/>
      <c r="C102" s="454"/>
      <c r="D102" s="454" t="s">
        <v>371</v>
      </c>
      <c r="E102" s="454"/>
      <c r="F102" s="454"/>
      <c r="G102" s="294" t="s">
        <v>344</v>
      </c>
      <c r="H102" s="454" t="s">
        <v>372</v>
      </c>
      <c r="I102" s="454"/>
      <c r="J102" s="452">
        <v>89544</v>
      </c>
      <c r="K102" s="452"/>
      <c r="L102" s="452"/>
      <c r="M102" s="452"/>
      <c r="N102" s="452">
        <v>89544</v>
      </c>
      <c r="O102" s="452"/>
      <c r="P102" s="453">
        <v>0</v>
      </c>
      <c r="Q102" s="453"/>
      <c r="R102" s="453"/>
      <c r="S102" s="452">
        <v>89544</v>
      </c>
      <c r="T102" s="452"/>
      <c r="U102" s="453">
        <v>0</v>
      </c>
      <c r="V102" s="453"/>
      <c r="W102" s="295">
        <v>100</v>
      </c>
      <c r="X102" s="291"/>
    </row>
    <row r="103" spans="1:24" ht="12">
      <c r="A103" s="454" t="s">
        <v>35</v>
      </c>
      <c r="B103" s="454"/>
      <c r="C103" s="454"/>
      <c r="D103" s="454" t="s">
        <v>371</v>
      </c>
      <c r="E103" s="454"/>
      <c r="F103" s="454"/>
      <c r="G103" s="294" t="s">
        <v>344</v>
      </c>
      <c r="H103" s="454" t="s">
        <v>372</v>
      </c>
      <c r="I103" s="454"/>
      <c r="J103" s="452">
        <v>51432</v>
      </c>
      <c r="K103" s="452"/>
      <c r="L103" s="452"/>
      <c r="M103" s="452"/>
      <c r="N103" s="452">
        <v>51432</v>
      </c>
      <c r="O103" s="452"/>
      <c r="P103" s="453">
        <v>0</v>
      </c>
      <c r="Q103" s="453"/>
      <c r="R103" s="453"/>
      <c r="S103" s="452">
        <v>51432</v>
      </c>
      <c r="T103" s="452"/>
      <c r="U103" s="453">
        <v>0</v>
      </c>
      <c r="V103" s="453"/>
      <c r="W103" s="295">
        <v>100</v>
      </c>
      <c r="X103" s="291"/>
    </row>
    <row r="104" spans="1:24" ht="13.5" customHeight="1">
      <c r="A104" s="454" t="s">
        <v>29</v>
      </c>
      <c r="B104" s="454"/>
      <c r="C104" s="454"/>
      <c r="D104" s="454" t="s">
        <v>371</v>
      </c>
      <c r="E104" s="454"/>
      <c r="F104" s="454"/>
      <c r="G104" s="294" t="s">
        <v>344</v>
      </c>
      <c r="H104" s="454" t="s">
        <v>372</v>
      </c>
      <c r="I104" s="454"/>
      <c r="J104" s="452">
        <v>149263</v>
      </c>
      <c r="K104" s="452"/>
      <c r="L104" s="452"/>
      <c r="M104" s="452"/>
      <c r="N104" s="452">
        <v>149263</v>
      </c>
      <c r="O104" s="452"/>
      <c r="P104" s="453">
        <v>0</v>
      </c>
      <c r="Q104" s="453"/>
      <c r="R104" s="453"/>
      <c r="S104" s="452">
        <v>149263</v>
      </c>
      <c r="T104" s="452"/>
      <c r="U104" s="453">
        <v>0</v>
      </c>
      <c r="V104" s="453"/>
      <c r="W104" s="295">
        <v>100</v>
      </c>
      <c r="X104" s="291"/>
    </row>
    <row r="105" spans="1:24" s="89" customFormat="1" ht="12">
      <c r="A105" s="454" t="s">
        <v>30</v>
      </c>
      <c r="B105" s="454"/>
      <c r="C105" s="454"/>
      <c r="D105" s="454" t="s">
        <v>371</v>
      </c>
      <c r="E105" s="454"/>
      <c r="F105" s="454"/>
      <c r="G105" s="294" t="s">
        <v>344</v>
      </c>
      <c r="H105" s="454" t="s">
        <v>372</v>
      </c>
      <c r="I105" s="454"/>
      <c r="J105" s="452">
        <v>26260</v>
      </c>
      <c r="K105" s="452"/>
      <c r="L105" s="452"/>
      <c r="M105" s="452"/>
      <c r="N105" s="452">
        <v>26260</v>
      </c>
      <c r="O105" s="452"/>
      <c r="P105" s="453">
        <v>0</v>
      </c>
      <c r="Q105" s="453"/>
      <c r="R105" s="453"/>
      <c r="S105" s="452">
        <v>26260</v>
      </c>
      <c r="T105" s="452"/>
      <c r="U105" s="453">
        <v>0</v>
      </c>
      <c r="V105" s="453"/>
      <c r="W105" s="295">
        <v>100</v>
      </c>
      <c r="X105" s="291"/>
    </row>
    <row r="106" spans="1:24" ht="12">
      <c r="A106" s="454" t="s">
        <v>36</v>
      </c>
      <c r="B106" s="454"/>
      <c r="C106" s="454"/>
      <c r="D106" s="454" t="s">
        <v>371</v>
      </c>
      <c r="E106" s="454"/>
      <c r="F106" s="454"/>
      <c r="G106" s="294" t="s">
        <v>344</v>
      </c>
      <c r="H106" s="454" t="s">
        <v>372</v>
      </c>
      <c r="I106" s="454"/>
      <c r="J106" s="452">
        <v>7300</v>
      </c>
      <c r="K106" s="452"/>
      <c r="L106" s="452"/>
      <c r="M106" s="452"/>
      <c r="N106" s="452">
        <v>7300</v>
      </c>
      <c r="O106" s="452"/>
      <c r="P106" s="453">
        <v>0</v>
      </c>
      <c r="Q106" s="453"/>
      <c r="R106" s="453"/>
      <c r="S106" s="452">
        <v>7300</v>
      </c>
      <c r="T106" s="452"/>
      <c r="U106" s="453">
        <v>0</v>
      </c>
      <c r="V106" s="453"/>
      <c r="W106" s="295">
        <v>100</v>
      </c>
      <c r="X106" s="291"/>
    </row>
    <row r="107" spans="1:24" ht="10.5">
      <c r="A107" s="296"/>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1"/>
    </row>
    <row r="108" spans="1:24" ht="12" thickBot="1">
      <c r="A108" s="291"/>
      <c r="B108" s="291"/>
      <c r="C108" s="291"/>
      <c r="D108" s="291"/>
      <c r="E108" s="291"/>
      <c r="F108" s="291"/>
      <c r="G108" s="291"/>
      <c r="H108" s="291"/>
      <c r="I108" s="291"/>
      <c r="J108" s="451">
        <v>323799</v>
      </c>
      <c r="K108" s="451"/>
      <c r="L108" s="451"/>
      <c r="M108" s="451"/>
      <c r="N108" s="451">
        <v>323799</v>
      </c>
      <c r="O108" s="451"/>
      <c r="P108" s="451">
        <v>0</v>
      </c>
      <c r="Q108" s="451"/>
      <c r="R108" s="451"/>
      <c r="S108" s="451">
        <v>323799</v>
      </c>
      <c r="T108" s="451"/>
      <c r="U108" s="451">
        <v>0</v>
      </c>
      <c r="V108" s="451"/>
      <c r="W108" s="291"/>
      <c r="X108" s="291"/>
    </row>
    <row r="109" spans="1:24" ht="11.25" thickTop="1">
      <c r="A109" s="297"/>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1"/>
    </row>
    <row r="110" spans="1:24" ht="12">
      <c r="A110" s="449" t="s">
        <v>379</v>
      </c>
      <c r="B110" s="449"/>
      <c r="C110" s="449"/>
      <c r="D110" s="449"/>
      <c r="E110" s="449"/>
      <c r="F110" s="449"/>
      <c r="G110" s="449"/>
      <c r="H110" s="449"/>
      <c r="I110" s="291"/>
      <c r="J110" s="450">
        <v>2207251</v>
      </c>
      <c r="K110" s="450"/>
      <c r="L110" s="450"/>
      <c r="M110" s="450"/>
      <c r="N110" s="450">
        <v>2207251</v>
      </c>
      <c r="O110" s="450"/>
      <c r="P110" s="451">
        <v>0</v>
      </c>
      <c r="Q110" s="451"/>
      <c r="R110" s="451"/>
      <c r="S110" s="450">
        <v>2207251</v>
      </c>
      <c r="T110" s="450"/>
      <c r="U110" s="450">
        <v>0</v>
      </c>
      <c r="V110" s="450"/>
      <c r="W110" s="291"/>
      <c r="X110" s="291"/>
    </row>
    <row r="111" spans="1:24" ht="12">
      <c r="A111" s="430" t="s">
        <v>329</v>
      </c>
      <c r="B111" s="430"/>
      <c r="C111" s="455" t="s">
        <v>380</v>
      </c>
      <c r="D111" s="455"/>
      <c r="E111" s="455"/>
      <c r="F111" s="455"/>
      <c r="G111" s="455"/>
      <c r="H111" s="455"/>
      <c r="I111" s="455"/>
      <c r="J111" s="455"/>
      <c r="K111" s="455"/>
      <c r="L111" s="291"/>
      <c r="M111" s="291"/>
      <c r="N111" s="291"/>
      <c r="O111" s="291"/>
      <c r="P111" s="291"/>
      <c r="Q111" s="291"/>
      <c r="R111" s="291"/>
      <c r="S111" s="291"/>
      <c r="T111" s="291"/>
      <c r="U111" s="291"/>
      <c r="V111" s="291"/>
      <c r="W111" s="291"/>
      <c r="X111" s="291"/>
    </row>
    <row r="112" spans="1:24" ht="10.5">
      <c r="A112" s="430"/>
      <c r="B112" s="430"/>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row>
    <row r="113" spans="1:24" ht="12">
      <c r="A113" s="291"/>
      <c r="B113" s="430" t="s">
        <v>331</v>
      </c>
      <c r="C113" s="430"/>
      <c r="D113" s="455" t="s">
        <v>44</v>
      </c>
      <c r="E113" s="455"/>
      <c r="F113" s="455"/>
      <c r="G113" s="455"/>
      <c r="H113" s="455"/>
      <c r="I113" s="455"/>
      <c r="J113" s="455"/>
      <c r="K113" s="455"/>
      <c r="L113" s="455"/>
      <c r="M113" s="455"/>
      <c r="N113" s="291"/>
      <c r="O113" s="291"/>
      <c r="P113" s="291"/>
      <c r="Q113" s="291"/>
      <c r="R113" s="291"/>
      <c r="S113" s="291"/>
      <c r="T113" s="291"/>
      <c r="U113" s="291"/>
      <c r="V113" s="291"/>
      <c r="W113" s="291"/>
      <c r="X113" s="291"/>
    </row>
    <row r="114" spans="1:24" ht="12">
      <c r="A114" s="430" t="s">
        <v>332</v>
      </c>
      <c r="B114" s="430"/>
      <c r="C114" s="291"/>
      <c r="D114" s="291"/>
      <c r="E114" s="456" t="s">
        <v>333</v>
      </c>
      <c r="F114" s="456"/>
      <c r="G114" s="456"/>
      <c r="H114" s="456"/>
      <c r="I114" s="456"/>
      <c r="J114" s="449" t="s">
        <v>3</v>
      </c>
      <c r="K114" s="449"/>
      <c r="L114" s="449"/>
      <c r="M114" s="449"/>
      <c r="N114" s="449" t="s">
        <v>334</v>
      </c>
      <c r="O114" s="449"/>
      <c r="P114" s="428" t="s">
        <v>335</v>
      </c>
      <c r="Q114" s="428"/>
      <c r="R114" s="291"/>
      <c r="S114" s="449" t="s">
        <v>336</v>
      </c>
      <c r="T114" s="449"/>
      <c r="U114" s="291"/>
      <c r="V114" s="292" t="s">
        <v>337</v>
      </c>
      <c r="W114" s="292" t="s">
        <v>338</v>
      </c>
      <c r="X114" s="291"/>
    </row>
    <row r="115" spans="1:24" ht="12">
      <c r="A115" s="430"/>
      <c r="B115" s="430"/>
      <c r="C115" s="291"/>
      <c r="D115" s="291"/>
      <c r="E115" s="430" t="s">
        <v>339</v>
      </c>
      <c r="F115" s="430"/>
      <c r="G115" s="430"/>
      <c r="H115" s="430"/>
      <c r="I115" s="430"/>
      <c r="J115" s="428" t="s">
        <v>340</v>
      </c>
      <c r="K115" s="428"/>
      <c r="L115" s="428"/>
      <c r="M115" s="428"/>
      <c r="N115" s="428" t="s">
        <v>341</v>
      </c>
      <c r="O115" s="428"/>
      <c r="P115" s="428"/>
      <c r="Q115" s="428"/>
      <c r="R115" s="291"/>
      <c r="S115" s="428" t="s">
        <v>341</v>
      </c>
      <c r="T115" s="428"/>
      <c r="U115" s="291"/>
      <c r="V115" s="293" t="s">
        <v>342</v>
      </c>
      <c r="W115" s="293" t="s">
        <v>336</v>
      </c>
      <c r="X115" s="291"/>
    </row>
    <row r="116" spans="1:24" ht="12">
      <c r="A116" s="454" t="s">
        <v>196</v>
      </c>
      <c r="B116" s="454"/>
      <c r="C116" s="454"/>
      <c r="D116" s="454" t="s">
        <v>371</v>
      </c>
      <c r="E116" s="454"/>
      <c r="F116" s="454"/>
      <c r="G116" s="294" t="s">
        <v>344</v>
      </c>
      <c r="H116" s="454" t="s">
        <v>381</v>
      </c>
      <c r="I116" s="454"/>
      <c r="J116" s="452">
        <v>41205</v>
      </c>
      <c r="K116" s="452"/>
      <c r="L116" s="452"/>
      <c r="M116" s="452"/>
      <c r="N116" s="452">
        <v>41205</v>
      </c>
      <c r="O116" s="452"/>
      <c r="P116" s="453">
        <v>0</v>
      </c>
      <c r="Q116" s="453"/>
      <c r="R116" s="453"/>
      <c r="S116" s="452">
        <v>41205</v>
      </c>
      <c r="T116" s="452"/>
      <c r="U116" s="453">
        <v>0</v>
      </c>
      <c r="V116" s="453"/>
      <c r="W116" s="295">
        <v>100</v>
      </c>
      <c r="X116" s="291"/>
    </row>
    <row r="117" spans="1:24" ht="10.5">
      <c r="A117" s="296"/>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1"/>
    </row>
    <row r="118" spans="1:24" ht="12" thickBot="1">
      <c r="A118" s="291"/>
      <c r="B118" s="291"/>
      <c r="C118" s="291"/>
      <c r="D118" s="291"/>
      <c r="E118" s="291"/>
      <c r="F118" s="291"/>
      <c r="G118" s="291"/>
      <c r="H118" s="291"/>
      <c r="I118" s="291"/>
      <c r="J118" s="451">
        <v>41205</v>
      </c>
      <c r="K118" s="451"/>
      <c r="L118" s="451"/>
      <c r="M118" s="451"/>
      <c r="N118" s="451">
        <v>41205</v>
      </c>
      <c r="O118" s="451"/>
      <c r="P118" s="451">
        <v>0</v>
      </c>
      <c r="Q118" s="451"/>
      <c r="R118" s="451"/>
      <c r="S118" s="451">
        <v>41205</v>
      </c>
      <c r="T118" s="451"/>
      <c r="U118" s="451">
        <v>0</v>
      </c>
      <c r="V118" s="451"/>
      <c r="W118" s="291"/>
      <c r="X118" s="291"/>
    </row>
    <row r="119" spans="1:24" ht="11.25" thickTop="1">
      <c r="A119" s="297"/>
      <c r="B119" s="297"/>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1"/>
    </row>
    <row r="120" spans="1:24" ht="12">
      <c r="A120" s="449" t="s">
        <v>382</v>
      </c>
      <c r="B120" s="449"/>
      <c r="C120" s="449"/>
      <c r="D120" s="449"/>
      <c r="E120" s="449"/>
      <c r="F120" s="449"/>
      <c r="G120" s="449"/>
      <c r="H120" s="449"/>
      <c r="I120" s="291"/>
      <c r="J120" s="450">
        <v>41205</v>
      </c>
      <c r="K120" s="450"/>
      <c r="L120" s="450"/>
      <c r="M120" s="450"/>
      <c r="N120" s="450">
        <v>41205</v>
      </c>
      <c r="O120" s="450"/>
      <c r="P120" s="451">
        <v>0</v>
      </c>
      <c r="Q120" s="451"/>
      <c r="R120" s="451"/>
      <c r="S120" s="450">
        <v>41205</v>
      </c>
      <c r="T120" s="450"/>
      <c r="U120" s="450">
        <v>0</v>
      </c>
      <c r="V120" s="450"/>
      <c r="W120" s="291"/>
      <c r="X120" s="291"/>
    </row>
    <row r="121" spans="1:24" ht="12">
      <c r="A121" s="430" t="s">
        <v>329</v>
      </c>
      <c r="B121" s="430"/>
      <c r="C121" s="455" t="s">
        <v>383</v>
      </c>
      <c r="D121" s="455"/>
      <c r="E121" s="455"/>
      <c r="F121" s="455"/>
      <c r="G121" s="455"/>
      <c r="H121" s="455"/>
      <c r="I121" s="455"/>
      <c r="J121" s="455"/>
      <c r="K121" s="455"/>
      <c r="L121" s="291"/>
      <c r="M121" s="291"/>
      <c r="N121" s="291"/>
      <c r="O121" s="291"/>
      <c r="P121" s="291"/>
      <c r="Q121" s="291"/>
      <c r="R121" s="291"/>
      <c r="S121" s="291"/>
      <c r="T121" s="291"/>
      <c r="U121" s="291"/>
      <c r="V121" s="291"/>
      <c r="W121" s="291"/>
      <c r="X121" s="291"/>
    </row>
    <row r="122" spans="1:24" ht="10.5">
      <c r="A122" s="430"/>
      <c r="B122" s="430"/>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row>
    <row r="123" spans="1:24" ht="12">
      <c r="A123" s="291"/>
      <c r="B123" s="430" t="s">
        <v>331</v>
      </c>
      <c r="C123" s="430"/>
      <c r="D123" s="455" t="s">
        <v>44</v>
      </c>
      <c r="E123" s="455"/>
      <c r="F123" s="455"/>
      <c r="G123" s="455"/>
      <c r="H123" s="455"/>
      <c r="I123" s="455"/>
      <c r="J123" s="455"/>
      <c r="K123" s="455"/>
      <c r="L123" s="455"/>
      <c r="M123" s="455"/>
      <c r="N123" s="291"/>
      <c r="O123" s="291"/>
      <c r="P123" s="291"/>
      <c r="Q123" s="291"/>
      <c r="R123" s="291"/>
      <c r="S123" s="291"/>
      <c r="T123" s="291"/>
      <c r="U123" s="291"/>
      <c r="V123" s="291"/>
      <c r="W123" s="291"/>
      <c r="X123" s="291"/>
    </row>
    <row r="124" spans="1:24" ht="12">
      <c r="A124" s="430" t="s">
        <v>332</v>
      </c>
      <c r="B124" s="430"/>
      <c r="C124" s="291"/>
      <c r="D124" s="291"/>
      <c r="E124" s="456" t="s">
        <v>333</v>
      </c>
      <c r="F124" s="456"/>
      <c r="G124" s="456"/>
      <c r="H124" s="456"/>
      <c r="I124" s="456"/>
      <c r="J124" s="449" t="s">
        <v>3</v>
      </c>
      <c r="K124" s="449"/>
      <c r="L124" s="449"/>
      <c r="M124" s="449"/>
      <c r="N124" s="449" t="s">
        <v>334</v>
      </c>
      <c r="O124" s="449"/>
      <c r="P124" s="428" t="s">
        <v>335</v>
      </c>
      <c r="Q124" s="428"/>
      <c r="R124" s="291"/>
      <c r="S124" s="449" t="s">
        <v>336</v>
      </c>
      <c r="T124" s="449"/>
      <c r="U124" s="291"/>
      <c r="V124" s="292" t="s">
        <v>337</v>
      </c>
      <c r="W124" s="292" t="s">
        <v>338</v>
      </c>
      <c r="X124" s="291"/>
    </row>
    <row r="125" spans="1:24" ht="12">
      <c r="A125" s="430"/>
      <c r="B125" s="430"/>
      <c r="C125" s="291"/>
      <c r="D125" s="291"/>
      <c r="E125" s="430" t="s">
        <v>339</v>
      </c>
      <c r="F125" s="430"/>
      <c r="G125" s="430"/>
      <c r="H125" s="430"/>
      <c r="I125" s="430"/>
      <c r="J125" s="428" t="s">
        <v>340</v>
      </c>
      <c r="K125" s="428"/>
      <c r="L125" s="428"/>
      <c r="M125" s="428"/>
      <c r="N125" s="428" t="s">
        <v>341</v>
      </c>
      <c r="O125" s="428"/>
      <c r="P125" s="428"/>
      <c r="Q125" s="428"/>
      <c r="R125" s="291"/>
      <c r="S125" s="428" t="s">
        <v>341</v>
      </c>
      <c r="T125" s="428"/>
      <c r="U125" s="291"/>
      <c r="V125" s="293" t="s">
        <v>342</v>
      </c>
      <c r="W125" s="293" t="s">
        <v>336</v>
      </c>
      <c r="X125" s="291"/>
    </row>
    <row r="126" spans="1:24" ht="12">
      <c r="A126" s="454" t="s">
        <v>23</v>
      </c>
      <c r="B126" s="454"/>
      <c r="C126" s="454"/>
      <c r="D126" s="454" t="s">
        <v>384</v>
      </c>
      <c r="E126" s="454"/>
      <c r="F126" s="454"/>
      <c r="G126" s="294" t="s">
        <v>344</v>
      </c>
      <c r="H126" s="454" t="s">
        <v>385</v>
      </c>
      <c r="I126" s="454"/>
      <c r="J126" s="452">
        <v>60378.74</v>
      </c>
      <c r="K126" s="452"/>
      <c r="L126" s="452"/>
      <c r="M126" s="452"/>
      <c r="N126" s="452">
        <v>60378.74</v>
      </c>
      <c r="O126" s="452"/>
      <c r="P126" s="453">
        <v>0</v>
      </c>
      <c r="Q126" s="453"/>
      <c r="R126" s="453"/>
      <c r="S126" s="452">
        <v>60378.74</v>
      </c>
      <c r="T126" s="452"/>
      <c r="U126" s="453">
        <v>0</v>
      </c>
      <c r="V126" s="453"/>
      <c r="W126" s="295">
        <v>100</v>
      </c>
      <c r="X126" s="291"/>
    </row>
    <row r="127" spans="1:24" ht="12">
      <c r="A127" s="454" t="s">
        <v>24</v>
      </c>
      <c r="B127" s="454"/>
      <c r="C127" s="454"/>
      <c r="D127" s="454" t="s">
        <v>384</v>
      </c>
      <c r="E127" s="454"/>
      <c r="F127" s="454"/>
      <c r="G127" s="294" t="s">
        <v>344</v>
      </c>
      <c r="H127" s="454" t="s">
        <v>385</v>
      </c>
      <c r="I127" s="454"/>
      <c r="J127" s="452">
        <v>20043.27</v>
      </c>
      <c r="K127" s="452"/>
      <c r="L127" s="452"/>
      <c r="M127" s="452"/>
      <c r="N127" s="452">
        <v>20043.27</v>
      </c>
      <c r="O127" s="452"/>
      <c r="P127" s="453">
        <v>0</v>
      </c>
      <c r="Q127" s="453"/>
      <c r="R127" s="453"/>
      <c r="S127" s="452">
        <v>20043.27</v>
      </c>
      <c r="T127" s="452"/>
      <c r="U127" s="453">
        <v>0</v>
      </c>
      <c r="V127" s="453"/>
      <c r="W127" s="295">
        <v>100</v>
      </c>
      <c r="X127" s="291"/>
    </row>
    <row r="128" spans="1:24" ht="12">
      <c r="A128" s="454" t="s">
        <v>25</v>
      </c>
      <c r="B128" s="454"/>
      <c r="C128" s="454"/>
      <c r="D128" s="454" t="s">
        <v>384</v>
      </c>
      <c r="E128" s="454"/>
      <c r="F128" s="454"/>
      <c r="G128" s="294" t="s">
        <v>344</v>
      </c>
      <c r="H128" s="454" t="s">
        <v>385</v>
      </c>
      <c r="I128" s="454"/>
      <c r="J128" s="452">
        <v>26061</v>
      </c>
      <c r="K128" s="452"/>
      <c r="L128" s="452"/>
      <c r="M128" s="452"/>
      <c r="N128" s="452">
        <v>26061</v>
      </c>
      <c r="O128" s="452"/>
      <c r="P128" s="453">
        <v>0</v>
      </c>
      <c r="Q128" s="453"/>
      <c r="R128" s="453"/>
      <c r="S128" s="452">
        <v>26061</v>
      </c>
      <c r="T128" s="452"/>
      <c r="U128" s="453">
        <v>0</v>
      </c>
      <c r="V128" s="453"/>
      <c r="W128" s="295">
        <v>100</v>
      </c>
      <c r="X128" s="291"/>
    </row>
    <row r="129" spans="1:24" ht="12">
      <c r="A129" s="454" t="s">
        <v>26</v>
      </c>
      <c r="B129" s="454"/>
      <c r="C129" s="454"/>
      <c r="D129" s="454" t="s">
        <v>384</v>
      </c>
      <c r="E129" s="454"/>
      <c r="F129" s="454"/>
      <c r="G129" s="294" t="s">
        <v>344</v>
      </c>
      <c r="H129" s="454" t="s">
        <v>385</v>
      </c>
      <c r="I129" s="454"/>
      <c r="J129" s="452">
        <v>5437</v>
      </c>
      <c r="K129" s="452"/>
      <c r="L129" s="452"/>
      <c r="M129" s="452"/>
      <c r="N129" s="452">
        <v>5437</v>
      </c>
      <c r="O129" s="452"/>
      <c r="P129" s="453">
        <v>0</v>
      </c>
      <c r="Q129" s="453"/>
      <c r="R129" s="453"/>
      <c r="S129" s="452">
        <v>5437</v>
      </c>
      <c r="T129" s="452"/>
      <c r="U129" s="453">
        <v>0</v>
      </c>
      <c r="V129" s="453"/>
      <c r="W129" s="295">
        <v>100</v>
      </c>
      <c r="X129" s="291"/>
    </row>
    <row r="130" spans="1:24" ht="12">
      <c r="A130" s="454" t="s">
        <v>27</v>
      </c>
      <c r="B130" s="454"/>
      <c r="C130" s="454"/>
      <c r="D130" s="454" t="s">
        <v>384</v>
      </c>
      <c r="E130" s="454"/>
      <c r="F130" s="454"/>
      <c r="G130" s="294" t="s">
        <v>344</v>
      </c>
      <c r="H130" s="454" t="s">
        <v>385</v>
      </c>
      <c r="I130" s="454"/>
      <c r="J130" s="452">
        <v>125334</v>
      </c>
      <c r="K130" s="452"/>
      <c r="L130" s="452"/>
      <c r="M130" s="452"/>
      <c r="N130" s="452">
        <v>125334</v>
      </c>
      <c r="O130" s="452"/>
      <c r="P130" s="453">
        <v>0</v>
      </c>
      <c r="Q130" s="453"/>
      <c r="R130" s="453"/>
      <c r="S130" s="452">
        <v>125334</v>
      </c>
      <c r="T130" s="452"/>
      <c r="U130" s="453">
        <v>0</v>
      </c>
      <c r="V130" s="453"/>
      <c r="W130" s="295">
        <v>100</v>
      </c>
      <c r="X130" s="291"/>
    </row>
    <row r="131" spans="1:24" ht="12">
      <c r="A131" s="454" t="s">
        <v>165</v>
      </c>
      <c r="B131" s="454"/>
      <c r="C131" s="454"/>
      <c r="D131" s="454" t="s">
        <v>384</v>
      </c>
      <c r="E131" s="454"/>
      <c r="F131" s="454"/>
      <c r="G131" s="294" t="s">
        <v>344</v>
      </c>
      <c r="H131" s="454" t="s">
        <v>385</v>
      </c>
      <c r="I131" s="454"/>
      <c r="J131" s="452">
        <v>47901</v>
      </c>
      <c r="K131" s="452"/>
      <c r="L131" s="452"/>
      <c r="M131" s="452"/>
      <c r="N131" s="452">
        <v>47901</v>
      </c>
      <c r="O131" s="452"/>
      <c r="P131" s="453">
        <v>0</v>
      </c>
      <c r="Q131" s="453"/>
      <c r="R131" s="453"/>
      <c r="S131" s="452">
        <v>47901</v>
      </c>
      <c r="T131" s="452"/>
      <c r="U131" s="453">
        <v>0</v>
      </c>
      <c r="V131" s="453"/>
      <c r="W131" s="295">
        <v>100</v>
      </c>
      <c r="X131" s="291"/>
    </row>
    <row r="132" spans="1:24" ht="12">
      <c r="A132" s="454" t="s">
        <v>37</v>
      </c>
      <c r="B132" s="454"/>
      <c r="C132" s="454"/>
      <c r="D132" s="454" t="s">
        <v>384</v>
      </c>
      <c r="E132" s="454"/>
      <c r="F132" s="454"/>
      <c r="G132" s="294" t="s">
        <v>344</v>
      </c>
      <c r="H132" s="454" t="s">
        <v>385</v>
      </c>
      <c r="I132" s="454"/>
      <c r="J132" s="452">
        <v>8216</v>
      </c>
      <c r="K132" s="452"/>
      <c r="L132" s="452"/>
      <c r="M132" s="452"/>
      <c r="N132" s="452">
        <v>8216</v>
      </c>
      <c r="O132" s="452"/>
      <c r="P132" s="453">
        <v>0</v>
      </c>
      <c r="Q132" s="453"/>
      <c r="R132" s="453"/>
      <c r="S132" s="452">
        <v>8216</v>
      </c>
      <c r="T132" s="452"/>
      <c r="U132" s="453">
        <v>0</v>
      </c>
      <c r="V132" s="453"/>
      <c r="W132" s="295">
        <v>100</v>
      </c>
      <c r="X132" s="291"/>
    </row>
    <row r="133" spans="1:24" ht="12">
      <c r="A133" s="454" t="s">
        <v>28</v>
      </c>
      <c r="B133" s="454"/>
      <c r="C133" s="454"/>
      <c r="D133" s="454" t="s">
        <v>384</v>
      </c>
      <c r="E133" s="454"/>
      <c r="F133" s="454"/>
      <c r="G133" s="294" t="s">
        <v>344</v>
      </c>
      <c r="H133" s="454" t="s">
        <v>385</v>
      </c>
      <c r="I133" s="454"/>
      <c r="J133" s="452">
        <v>10798</v>
      </c>
      <c r="K133" s="452"/>
      <c r="L133" s="452"/>
      <c r="M133" s="452"/>
      <c r="N133" s="452">
        <v>10798</v>
      </c>
      <c r="O133" s="452"/>
      <c r="P133" s="453">
        <v>0</v>
      </c>
      <c r="Q133" s="453"/>
      <c r="R133" s="453"/>
      <c r="S133" s="452">
        <v>10798</v>
      </c>
      <c r="T133" s="452"/>
      <c r="U133" s="453">
        <v>0</v>
      </c>
      <c r="V133" s="453"/>
      <c r="W133" s="295">
        <v>100</v>
      </c>
      <c r="X133" s="291"/>
    </row>
    <row r="134" spans="1:24" ht="12">
      <c r="A134" s="454" t="s">
        <v>29</v>
      </c>
      <c r="B134" s="454"/>
      <c r="C134" s="454"/>
      <c r="D134" s="454" t="s">
        <v>384</v>
      </c>
      <c r="E134" s="454"/>
      <c r="F134" s="454"/>
      <c r="G134" s="294" t="s">
        <v>344</v>
      </c>
      <c r="H134" s="454" t="s">
        <v>385</v>
      </c>
      <c r="I134" s="454"/>
      <c r="J134" s="452">
        <v>88138.24</v>
      </c>
      <c r="K134" s="452"/>
      <c r="L134" s="452"/>
      <c r="M134" s="452"/>
      <c r="N134" s="452">
        <v>88138.24</v>
      </c>
      <c r="O134" s="452"/>
      <c r="P134" s="453">
        <v>0</v>
      </c>
      <c r="Q134" s="453"/>
      <c r="R134" s="453"/>
      <c r="S134" s="452">
        <v>88138.24</v>
      </c>
      <c r="T134" s="452"/>
      <c r="U134" s="453">
        <v>0</v>
      </c>
      <c r="V134" s="453"/>
      <c r="W134" s="295">
        <v>100</v>
      </c>
      <c r="X134" s="291"/>
    </row>
    <row r="135" spans="1:24" ht="12">
      <c r="A135" s="454" t="s">
        <v>30</v>
      </c>
      <c r="B135" s="454"/>
      <c r="C135" s="454"/>
      <c r="D135" s="454" t="s">
        <v>384</v>
      </c>
      <c r="E135" s="454"/>
      <c r="F135" s="454"/>
      <c r="G135" s="294" t="s">
        <v>344</v>
      </c>
      <c r="H135" s="454" t="s">
        <v>385</v>
      </c>
      <c r="I135" s="454"/>
      <c r="J135" s="452">
        <v>18911</v>
      </c>
      <c r="K135" s="452"/>
      <c r="L135" s="452"/>
      <c r="M135" s="452"/>
      <c r="N135" s="452">
        <v>18911</v>
      </c>
      <c r="O135" s="452"/>
      <c r="P135" s="453">
        <v>0</v>
      </c>
      <c r="Q135" s="453"/>
      <c r="R135" s="453"/>
      <c r="S135" s="452">
        <v>18911</v>
      </c>
      <c r="T135" s="452"/>
      <c r="U135" s="453">
        <v>0</v>
      </c>
      <c r="V135" s="453"/>
      <c r="W135" s="295">
        <v>100</v>
      </c>
      <c r="X135" s="291"/>
    </row>
    <row r="136" spans="1:24" ht="12">
      <c r="A136" s="454" t="s">
        <v>31</v>
      </c>
      <c r="B136" s="454"/>
      <c r="C136" s="454"/>
      <c r="D136" s="454" t="s">
        <v>384</v>
      </c>
      <c r="E136" s="454"/>
      <c r="F136" s="454"/>
      <c r="G136" s="294" t="s">
        <v>344</v>
      </c>
      <c r="H136" s="454" t="s">
        <v>385</v>
      </c>
      <c r="I136" s="454"/>
      <c r="J136" s="452">
        <v>51960</v>
      </c>
      <c r="K136" s="452"/>
      <c r="L136" s="452"/>
      <c r="M136" s="452"/>
      <c r="N136" s="452">
        <v>51960</v>
      </c>
      <c r="O136" s="452"/>
      <c r="P136" s="453">
        <v>0</v>
      </c>
      <c r="Q136" s="453"/>
      <c r="R136" s="453"/>
      <c r="S136" s="452">
        <v>51960</v>
      </c>
      <c r="T136" s="452"/>
      <c r="U136" s="453">
        <v>0</v>
      </c>
      <c r="V136" s="453"/>
      <c r="W136" s="295">
        <v>100</v>
      </c>
      <c r="X136" s="291"/>
    </row>
    <row r="137" spans="1:24" ht="12">
      <c r="A137" s="454" t="s">
        <v>32</v>
      </c>
      <c r="B137" s="454"/>
      <c r="C137" s="454"/>
      <c r="D137" s="454" t="s">
        <v>384</v>
      </c>
      <c r="E137" s="454"/>
      <c r="F137" s="454"/>
      <c r="G137" s="294" t="s">
        <v>344</v>
      </c>
      <c r="H137" s="454" t="s">
        <v>385</v>
      </c>
      <c r="I137" s="454"/>
      <c r="J137" s="452">
        <v>29350</v>
      </c>
      <c r="K137" s="452"/>
      <c r="L137" s="452"/>
      <c r="M137" s="452"/>
      <c r="N137" s="452">
        <v>29350</v>
      </c>
      <c r="O137" s="452"/>
      <c r="P137" s="453">
        <v>0</v>
      </c>
      <c r="Q137" s="453"/>
      <c r="R137" s="453"/>
      <c r="S137" s="452">
        <v>29350</v>
      </c>
      <c r="T137" s="452"/>
      <c r="U137" s="453">
        <v>0</v>
      </c>
      <c r="V137" s="453"/>
      <c r="W137" s="295">
        <v>100</v>
      </c>
      <c r="X137" s="291"/>
    </row>
    <row r="138" spans="1:24" ht="12">
      <c r="A138" s="454" t="s">
        <v>33</v>
      </c>
      <c r="B138" s="454"/>
      <c r="C138" s="454"/>
      <c r="D138" s="454" t="s">
        <v>384</v>
      </c>
      <c r="E138" s="454"/>
      <c r="F138" s="454"/>
      <c r="G138" s="294" t="s">
        <v>344</v>
      </c>
      <c r="H138" s="454" t="s">
        <v>385</v>
      </c>
      <c r="I138" s="454"/>
      <c r="J138" s="452">
        <v>99232</v>
      </c>
      <c r="K138" s="452"/>
      <c r="L138" s="452"/>
      <c r="M138" s="452"/>
      <c r="N138" s="452">
        <v>99232</v>
      </c>
      <c r="O138" s="452"/>
      <c r="P138" s="453">
        <v>0</v>
      </c>
      <c r="Q138" s="453"/>
      <c r="R138" s="453"/>
      <c r="S138" s="452">
        <v>99232</v>
      </c>
      <c r="T138" s="452"/>
      <c r="U138" s="453">
        <v>0</v>
      </c>
      <c r="V138" s="453"/>
      <c r="W138" s="295">
        <v>100</v>
      </c>
      <c r="X138" s="291"/>
    </row>
    <row r="139" spans="1:24" ht="10.5">
      <c r="A139" s="296"/>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1"/>
    </row>
    <row r="140" spans="1:24" ht="11.25">
      <c r="A140" s="291"/>
      <c r="B140" s="291"/>
      <c r="C140" s="291"/>
      <c r="D140" s="291"/>
      <c r="E140" s="291"/>
      <c r="F140" s="291"/>
      <c r="G140" s="291"/>
      <c r="H140" s="291"/>
      <c r="I140" s="291"/>
      <c r="J140" s="451">
        <v>591760.25</v>
      </c>
      <c r="K140" s="451"/>
      <c r="L140" s="451"/>
      <c r="M140" s="451"/>
      <c r="N140" s="451">
        <v>591760.25</v>
      </c>
      <c r="O140" s="451"/>
      <c r="P140" s="451">
        <v>0</v>
      </c>
      <c r="Q140" s="451"/>
      <c r="R140" s="451"/>
      <c r="S140" s="451">
        <v>591760.25</v>
      </c>
      <c r="T140" s="451"/>
      <c r="U140" s="451">
        <v>0</v>
      </c>
      <c r="V140" s="451"/>
      <c r="W140" s="291"/>
      <c r="X140" s="291"/>
    </row>
    <row r="141" spans="1:24" ht="12">
      <c r="A141" s="291"/>
      <c r="B141" s="430" t="s">
        <v>331</v>
      </c>
      <c r="C141" s="430"/>
      <c r="D141" s="455" t="s">
        <v>348</v>
      </c>
      <c r="E141" s="455"/>
      <c r="F141" s="455"/>
      <c r="G141" s="455"/>
      <c r="H141" s="455"/>
      <c r="I141" s="455"/>
      <c r="J141" s="455"/>
      <c r="K141" s="455"/>
      <c r="L141" s="455"/>
      <c r="M141" s="455"/>
      <c r="N141" s="291"/>
      <c r="O141" s="291"/>
      <c r="P141" s="291"/>
      <c r="Q141" s="291"/>
      <c r="R141" s="291"/>
      <c r="S141" s="291"/>
      <c r="T141" s="291"/>
      <c r="U141" s="291"/>
      <c r="V141" s="291"/>
      <c r="W141" s="291"/>
      <c r="X141" s="291"/>
    </row>
    <row r="142" spans="1:24" ht="12">
      <c r="A142" s="430" t="s">
        <v>332</v>
      </c>
      <c r="B142" s="430"/>
      <c r="C142" s="291"/>
      <c r="D142" s="291"/>
      <c r="E142" s="456" t="s">
        <v>333</v>
      </c>
      <c r="F142" s="456"/>
      <c r="G142" s="456"/>
      <c r="H142" s="456"/>
      <c r="I142" s="456"/>
      <c r="J142" s="449" t="s">
        <v>3</v>
      </c>
      <c r="K142" s="449"/>
      <c r="L142" s="449"/>
      <c r="M142" s="449"/>
      <c r="N142" s="449" t="s">
        <v>334</v>
      </c>
      <c r="O142" s="449"/>
      <c r="P142" s="428" t="s">
        <v>335</v>
      </c>
      <c r="Q142" s="428"/>
      <c r="R142" s="291"/>
      <c r="S142" s="449" t="s">
        <v>336</v>
      </c>
      <c r="T142" s="449"/>
      <c r="U142" s="291"/>
      <c r="V142" s="292" t="s">
        <v>337</v>
      </c>
      <c r="W142" s="292" t="s">
        <v>338</v>
      </c>
      <c r="X142" s="291"/>
    </row>
    <row r="143" spans="1:24" ht="12">
      <c r="A143" s="430"/>
      <c r="B143" s="430"/>
      <c r="C143" s="291"/>
      <c r="D143" s="291"/>
      <c r="E143" s="430" t="s">
        <v>339</v>
      </c>
      <c r="F143" s="430"/>
      <c r="G143" s="430"/>
      <c r="H143" s="430"/>
      <c r="I143" s="430"/>
      <c r="J143" s="428" t="s">
        <v>340</v>
      </c>
      <c r="K143" s="428"/>
      <c r="L143" s="428"/>
      <c r="M143" s="428"/>
      <c r="N143" s="428" t="s">
        <v>341</v>
      </c>
      <c r="O143" s="428"/>
      <c r="P143" s="428"/>
      <c r="Q143" s="428"/>
      <c r="R143" s="291"/>
      <c r="S143" s="428" t="s">
        <v>341</v>
      </c>
      <c r="T143" s="428"/>
      <c r="U143" s="291"/>
      <c r="V143" s="293" t="s">
        <v>342</v>
      </c>
      <c r="W143" s="293" t="s">
        <v>336</v>
      </c>
      <c r="X143" s="291"/>
    </row>
    <row r="144" spans="1:24" ht="12">
      <c r="A144" s="454" t="s">
        <v>23</v>
      </c>
      <c r="B144" s="454"/>
      <c r="C144" s="454"/>
      <c r="D144" s="454" t="s">
        <v>384</v>
      </c>
      <c r="E144" s="454"/>
      <c r="F144" s="454"/>
      <c r="G144" s="294" t="s">
        <v>344</v>
      </c>
      <c r="H144" s="454" t="s">
        <v>385</v>
      </c>
      <c r="I144" s="454"/>
      <c r="J144" s="452">
        <v>632893</v>
      </c>
      <c r="K144" s="452"/>
      <c r="L144" s="452"/>
      <c r="M144" s="452"/>
      <c r="N144" s="452">
        <v>632893</v>
      </c>
      <c r="O144" s="452"/>
      <c r="P144" s="453">
        <v>0</v>
      </c>
      <c r="Q144" s="453"/>
      <c r="R144" s="453"/>
      <c r="S144" s="452">
        <v>632893</v>
      </c>
      <c r="T144" s="452"/>
      <c r="U144" s="453">
        <v>0</v>
      </c>
      <c r="V144" s="453"/>
      <c r="W144" s="295">
        <v>100</v>
      </c>
      <c r="X144" s="291"/>
    </row>
    <row r="145" spans="1:24" ht="12">
      <c r="A145" s="454" t="s">
        <v>24</v>
      </c>
      <c r="B145" s="454"/>
      <c r="C145" s="454"/>
      <c r="D145" s="454" t="s">
        <v>384</v>
      </c>
      <c r="E145" s="454"/>
      <c r="F145" s="454"/>
      <c r="G145" s="294" t="s">
        <v>344</v>
      </c>
      <c r="H145" s="454" t="s">
        <v>385</v>
      </c>
      <c r="I145" s="454"/>
      <c r="J145" s="452">
        <v>272619</v>
      </c>
      <c r="K145" s="452"/>
      <c r="L145" s="452"/>
      <c r="M145" s="452"/>
      <c r="N145" s="452">
        <v>272619</v>
      </c>
      <c r="O145" s="452"/>
      <c r="P145" s="453">
        <v>0</v>
      </c>
      <c r="Q145" s="453"/>
      <c r="R145" s="453"/>
      <c r="S145" s="452">
        <v>272619</v>
      </c>
      <c r="T145" s="452"/>
      <c r="U145" s="453">
        <v>0</v>
      </c>
      <c r="V145" s="453"/>
      <c r="W145" s="295">
        <v>100</v>
      </c>
      <c r="X145" s="291"/>
    </row>
    <row r="146" spans="1:24" ht="12">
      <c r="A146" s="454" t="s">
        <v>25</v>
      </c>
      <c r="B146" s="454"/>
      <c r="C146" s="454"/>
      <c r="D146" s="454" t="s">
        <v>384</v>
      </c>
      <c r="E146" s="454"/>
      <c r="F146" s="454"/>
      <c r="G146" s="294" t="s">
        <v>344</v>
      </c>
      <c r="H146" s="454" t="s">
        <v>385</v>
      </c>
      <c r="I146" s="454"/>
      <c r="J146" s="452">
        <v>182991</v>
      </c>
      <c r="K146" s="452"/>
      <c r="L146" s="452"/>
      <c r="M146" s="452"/>
      <c r="N146" s="452">
        <v>182991</v>
      </c>
      <c r="O146" s="452"/>
      <c r="P146" s="453">
        <v>0</v>
      </c>
      <c r="Q146" s="453"/>
      <c r="R146" s="453"/>
      <c r="S146" s="452">
        <v>182991</v>
      </c>
      <c r="T146" s="452"/>
      <c r="U146" s="453">
        <v>0</v>
      </c>
      <c r="V146" s="453"/>
      <c r="W146" s="295">
        <v>100</v>
      </c>
      <c r="X146" s="291"/>
    </row>
    <row r="147" spans="1:24" ht="12">
      <c r="A147" s="454" t="s">
        <v>26</v>
      </c>
      <c r="B147" s="454"/>
      <c r="C147" s="454"/>
      <c r="D147" s="454" t="s">
        <v>384</v>
      </c>
      <c r="E147" s="454"/>
      <c r="F147" s="454"/>
      <c r="G147" s="294" t="s">
        <v>344</v>
      </c>
      <c r="H147" s="454" t="s">
        <v>385</v>
      </c>
      <c r="I147" s="454"/>
      <c r="J147" s="452">
        <v>45503</v>
      </c>
      <c r="K147" s="452"/>
      <c r="L147" s="452"/>
      <c r="M147" s="452"/>
      <c r="N147" s="452">
        <v>45503</v>
      </c>
      <c r="O147" s="452"/>
      <c r="P147" s="453">
        <v>0</v>
      </c>
      <c r="Q147" s="453"/>
      <c r="R147" s="453"/>
      <c r="S147" s="452">
        <v>45503</v>
      </c>
      <c r="T147" s="452"/>
      <c r="U147" s="453">
        <v>0</v>
      </c>
      <c r="V147" s="453"/>
      <c r="W147" s="295">
        <v>100</v>
      </c>
      <c r="X147" s="291"/>
    </row>
    <row r="148" spans="1:24" ht="12">
      <c r="A148" s="454" t="s">
        <v>27</v>
      </c>
      <c r="B148" s="454"/>
      <c r="C148" s="454"/>
      <c r="D148" s="454" t="s">
        <v>384</v>
      </c>
      <c r="E148" s="454"/>
      <c r="F148" s="454"/>
      <c r="G148" s="294" t="s">
        <v>344</v>
      </c>
      <c r="H148" s="454" t="s">
        <v>385</v>
      </c>
      <c r="I148" s="454"/>
      <c r="J148" s="452">
        <v>910361</v>
      </c>
      <c r="K148" s="452"/>
      <c r="L148" s="452"/>
      <c r="M148" s="452"/>
      <c r="N148" s="452">
        <v>910361</v>
      </c>
      <c r="O148" s="452"/>
      <c r="P148" s="453">
        <v>0</v>
      </c>
      <c r="Q148" s="453"/>
      <c r="R148" s="453"/>
      <c r="S148" s="452">
        <v>910361</v>
      </c>
      <c r="T148" s="452"/>
      <c r="U148" s="453">
        <v>0</v>
      </c>
      <c r="V148" s="453"/>
      <c r="W148" s="295">
        <v>100</v>
      </c>
      <c r="X148" s="291"/>
    </row>
    <row r="149" spans="1:24" ht="12">
      <c r="A149" s="454" t="s">
        <v>165</v>
      </c>
      <c r="B149" s="454"/>
      <c r="C149" s="454"/>
      <c r="D149" s="454" t="s">
        <v>384</v>
      </c>
      <c r="E149" s="454"/>
      <c r="F149" s="454"/>
      <c r="G149" s="294" t="s">
        <v>344</v>
      </c>
      <c r="H149" s="454" t="s">
        <v>385</v>
      </c>
      <c r="I149" s="454"/>
      <c r="J149" s="452">
        <v>310269</v>
      </c>
      <c r="K149" s="452"/>
      <c r="L149" s="452"/>
      <c r="M149" s="452"/>
      <c r="N149" s="452">
        <v>310269</v>
      </c>
      <c r="O149" s="452"/>
      <c r="P149" s="453">
        <v>0</v>
      </c>
      <c r="Q149" s="453"/>
      <c r="R149" s="453"/>
      <c r="S149" s="452">
        <v>310269</v>
      </c>
      <c r="T149" s="452"/>
      <c r="U149" s="453">
        <v>0</v>
      </c>
      <c r="V149" s="453"/>
      <c r="W149" s="295">
        <v>100</v>
      </c>
      <c r="X149" s="291"/>
    </row>
    <row r="150" spans="1:24" ht="12">
      <c r="A150" s="454" t="s">
        <v>37</v>
      </c>
      <c r="B150" s="454"/>
      <c r="C150" s="454"/>
      <c r="D150" s="454" t="s">
        <v>384</v>
      </c>
      <c r="E150" s="454"/>
      <c r="F150" s="454"/>
      <c r="G150" s="294" t="s">
        <v>344</v>
      </c>
      <c r="H150" s="454" t="s">
        <v>385</v>
      </c>
      <c r="I150" s="454"/>
      <c r="J150" s="452">
        <v>72745</v>
      </c>
      <c r="K150" s="452"/>
      <c r="L150" s="452"/>
      <c r="M150" s="452"/>
      <c r="N150" s="452">
        <v>72745</v>
      </c>
      <c r="O150" s="452"/>
      <c r="P150" s="453">
        <v>0</v>
      </c>
      <c r="Q150" s="453"/>
      <c r="R150" s="453"/>
      <c r="S150" s="452">
        <v>72745</v>
      </c>
      <c r="T150" s="452"/>
      <c r="U150" s="453">
        <v>0</v>
      </c>
      <c r="V150" s="453"/>
      <c r="W150" s="295">
        <v>100</v>
      </c>
      <c r="X150" s="291"/>
    </row>
    <row r="151" spans="1:24" ht="12">
      <c r="A151" s="454" t="s">
        <v>28</v>
      </c>
      <c r="B151" s="454"/>
      <c r="C151" s="454"/>
      <c r="D151" s="454" t="s">
        <v>384</v>
      </c>
      <c r="E151" s="454"/>
      <c r="F151" s="454"/>
      <c r="G151" s="294" t="s">
        <v>344</v>
      </c>
      <c r="H151" s="454" t="s">
        <v>385</v>
      </c>
      <c r="I151" s="454"/>
      <c r="J151" s="452">
        <v>81317</v>
      </c>
      <c r="K151" s="452"/>
      <c r="L151" s="452"/>
      <c r="M151" s="452"/>
      <c r="N151" s="452">
        <v>81317</v>
      </c>
      <c r="O151" s="452"/>
      <c r="P151" s="453">
        <v>0</v>
      </c>
      <c r="Q151" s="453"/>
      <c r="R151" s="453"/>
      <c r="S151" s="452">
        <v>81317</v>
      </c>
      <c r="T151" s="452"/>
      <c r="U151" s="453">
        <v>0</v>
      </c>
      <c r="V151" s="453"/>
      <c r="W151" s="295">
        <v>100</v>
      </c>
      <c r="X151" s="291"/>
    </row>
    <row r="152" spans="1:24" ht="12">
      <c r="A152" s="454" t="s">
        <v>29</v>
      </c>
      <c r="B152" s="454"/>
      <c r="C152" s="454"/>
      <c r="D152" s="454" t="s">
        <v>384</v>
      </c>
      <c r="E152" s="454"/>
      <c r="F152" s="454"/>
      <c r="G152" s="294" t="s">
        <v>344</v>
      </c>
      <c r="H152" s="454" t="s">
        <v>385</v>
      </c>
      <c r="I152" s="454"/>
      <c r="J152" s="452">
        <v>826506</v>
      </c>
      <c r="K152" s="452"/>
      <c r="L152" s="452"/>
      <c r="M152" s="452"/>
      <c r="N152" s="452">
        <v>826506</v>
      </c>
      <c r="O152" s="452"/>
      <c r="P152" s="453">
        <v>0</v>
      </c>
      <c r="Q152" s="453"/>
      <c r="R152" s="453"/>
      <c r="S152" s="452">
        <v>826506</v>
      </c>
      <c r="T152" s="452"/>
      <c r="U152" s="453">
        <v>0</v>
      </c>
      <c r="V152" s="453"/>
      <c r="W152" s="295">
        <v>100</v>
      </c>
      <c r="X152" s="291"/>
    </row>
    <row r="153" spans="1:24" ht="12">
      <c r="A153" s="454" t="s">
        <v>30</v>
      </c>
      <c r="B153" s="454"/>
      <c r="C153" s="454"/>
      <c r="D153" s="454" t="s">
        <v>384</v>
      </c>
      <c r="E153" s="454"/>
      <c r="F153" s="454"/>
      <c r="G153" s="294" t="s">
        <v>344</v>
      </c>
      <c r="H153" s="454" t="s">
        <v>385</v>
      </c>
      <c r="I153" s="454"/>
      <c r="J153" s="452">
        <v>189340</v>
      </c>
      <c r="K153" s="452"/>
      <c r="L153" s="452"/>
      <c r="M153" s="452"/>
      <c r="N153" s="452">
        <v>189340</v>
      </c>
      <c r="O153" s="452"/>
      <c r="P153" s="453">
        <v>0</v>
      </c>
      <c r="Q153" s="453"/>
      <c r="R153" s="453"/>
      <c r="S153" s="452">
        <v>189340</v>
      </c>
      <c r="T153" s="452"/>
      <c r="U153" s="453">
        <v>0</v>
      </c>
      <c r="V153" s="453"/>
      <c r="W153" s="295">
        <v>100</v>
      </c>
      <c r="X153" s="291"/>
    </row>
    <row r="154" spans="1:24" ht="12">
      <c r="A154" s="454" t="s">
        <v>31</v>
      </c>
      <c r="B154" s="454"/>
      <c r="C154" s="454"/>
      <c r="D154" s="454" t="s">
        <v>384</v>
      </c>
      <c r="E154" s="454"/>
      <c r="F154" s="454"/>
      <c r="G154" s="294" t="s">
        <v>344</v>
      </c>
      <c r="H154" s="454" t="s">
        <v>385</v>
      </c>
      <c r="I154" s="454"/>
      <c r="J154" s="452">
        <v>688512</v>
      </c>
      <c r="K154" s="452"/>
      <c r="L154" s="452"/>
      <c r="M154" s="452"/>
      <c r="N154" s="452">
        <v>688512</v>
      </c>
      <c r="O154" s="452"/>
      <c r="P154" s="453">
        <v>0</v>
      </c>
      <c r="Q154" s="453"/>
      <c r="R154" s="453"/>
      <c r="S154" s="452">
        <v>688512</v>
      </c>
      <c r="T154" s="452"/>
      <c r="U154" s="453">
        <v>0</v>
      </c>
      <c r="V154" s="453"/>
      <c r="W154" s="295">
        <v>100</v>
      </c>
      <c r="X154" s="291"/>
    </row>
    <row r="155" spans="1:24" ht="12">
      <c r="A155" s="454" t="s">
        <v>32</v>
      </c>
      <c r="B155" s="454"/>
      <c r="C155" s="454"/>
      <c r="D155" s="454" t="s">
        <v>384</v>
      </c>
      <c r="E155" s="454"/>
      <c r="F155" s="454"/>
      <c r="G155" s="294" t="s">
        <v>344</v>
      </c>
      <c r="H155" s="454" t="s">
        <v>385</v>
      </c>
      <c r="I155" s="454"/>
      <c r="J155" s="452">
        <v>215210</v>
      </c>
      <c r="K155" s="452"/>
      <c r="L155" s="452"/>
      <c r="M155" s="452"/>
      <c r="N155" s="452">
        <v>215210</v>
      </c>
      <c r="O155" s="452"/>
      <c r="P155" s="453">
        <v>0</v>
      </c>
      <c r="Q155" s="453"/>
      <c r="R155" s="453"/>
      <c r="S155" s="452">
        <v>215210</v>
      </c>
      <c r="T155" s="452"/>
      <c r="U155" s="453">
        <v>0</v>
      </c>
      <c r="V155" s="453"/>
      <c r="W155" s="295">
        <v>100</v>
      </c>
      <c r="X155" s="291"/>
    </row>
    <row r="156" spans="1:24" ht="12">
      <c r="A156" s="454" t="s">
        <v>33</v>
      </c>
      <c r="B156" s="454"/>
      <c r="C156" s="454"/>
      <c r="D156" s="454" t="s">
        <v>384</v>
      </c>
      <c r="E156" s="454"/>
      <c r="F156" s="454"/>
      <c r="G156" s="294" t="s">
        <v>344</v>
      </c>
      <c r="H156" s="454" t="s">
        <v>385</v>
      </c>
      <c r="I156" s="454"/>
      <c r="J156" s="452">
        <v>746408.18</v>
      </c>
      <c r="K156" s="452"/>
      <c r="L156" s="452"/>
      <c r="M156" s="452"/>
      <c r="N156" s="452">
        <v>746408.18</v>
      </c>
      <c r="O156" s="452"/>
      <c r="P156" s="453">
        <v>0</v>
      </c>
      <c r="Q156" s="453"/>
      <c r="R156" s="453"/>
      <c r="S156" s="452">
        <v>746408.18</v>
      </c>
      <c r="T156" s="452"/>
      <c r="U156" s="453">
        <v>0</v>
      </c>
      <c r="V156" s="453"/>
      <c r="W156" s="295">
        <v>100</v>
      </c>
      <c r="X156" s="291"/>
    </row>
    <row r="157" spans="1:24" ht="10.5">
      <c r="A157" s="296"/>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1"/>
    </row>
    <row r="158" spans="1:24" ht="11.25">
      <c r="A158" s="291"/>
      <c r="B158" s="291"/>
      <c r="C158" s="291"/>
      <c r="D158" s="291"/>
      <c r="E158" s="291"/>
      <c r="F158" s="291"/>
      <c r="G158" s="291"/>
      <c r="H158" s="291"/>
      <c r="I158" s="291"/>
      <c r="J158" s="451">
        <v>5174674.18</v>
      </c>
      <c r="K158" s="451"/>
      <c r="L158" s="451"/>
      <c r="M158" s="451"/>
      <c r="N158" s="451">
        <v>5174674.18</v>
      </c>
      <c r="O158" s="451"/>
      <c r="P158" s="451">
        <v>0</v>
      </c>
      <c r="Q158" s="451"/>
      <c r="R158" s="451"/>
      <c r="S158" s="451">
        <v>5174674.18</v>
      </c>
      <c r="T158" s="451"/>
      <c r="U158" s="451">
        <v>0</v>
      </c>
      <c r="V158" s="451"/>
      <c r="W158" s="291"/>
      <c r="X158" s="291"/>
    </row>
    <row r="159" spans="1:24" ht="12">
      <c r="A159" s="291"/>
      <c r="B159" s="430" t="s">
        <v>331</v>
      </c>
      <c r="C159" s="430"/>
      <c r="D159" s="455" t="s">
        <v>187</v>
      </c>
      <c r="E159" s="455"/>
      <c r="F159" s="455"/>
      <c r="G159" s="455"/>
      <c r="H159" s="455"/>
      <c r="I159" s="455"/>
      <c r="J159" s="455"/>
      <c r="K159" s="455"/>
      <c r="L159" s="455"/>
      <c r="M159" s="455"/>
      <c r="N159" s="291"/>
      <c r="O159" s="291"/>
      <c r="P159" s="291"/>
      <c r="Q159" s="291"/>
      <c r="R159" s="291"/>
      <c r="S159" s="291"/>
      <c r="T159" s="291"/>
      <c r="U159" s="291"/>
      <c r="V159" s="291"/>
      <c r="W159" s="291"/>
      <c r="X159" s="291"/>
    </row>
    <row r="160" spans="1:24" ht="12">
      <c r="A160" s="430" t="s">
        <v>332</v>
      </c>
      <c r="B160" s="430"/>
      <c r="C160" s="291"/>
      <c r="D160" s="291"/>
      <c r="E160" s="456" t="s">
        <v>333</v>
      </c>
      <c r="F160" s="456"/>
      <c r="G160" s="456"/>
      <c r="H160" s="456"/>
      <c r="I160" s="456"/>
      <c r="J160" s="449" t="s">
        <v>3</v>
      </c>
      <c r="K160" s="449"/>
      <c r="L160" s="449"/>
      <c r="M160" s="449"/>
      <c r="N160" s="449" t="s">
        <v>334</v>
      </c>
      <c r="O160" s="449"/>
      <c r="P160" s="428" t="s">
        <v>335</v>
      </c>
      <c r="Q160" s="428"/>
      <c r="R160" s="291"/>
      <c r="S160" s="449" t="s">
        <v>336</v>
      </c>
      <c r="T160" s="449"/>
      <c r="U160" s="291"/>
      <c r="V160" s="292" t="s">
        <v>337</v>
      </c>
      <c r="W160" s="292" t="s">
        <v>338</v>
      </c>
      <c r="X160" s="291"/>
    </row>
    <row r="161" spans="1:24" ht="12">
      <c r="A161" s="430"/>
      <c r="B161" s="430"/>
      <c r="C161" s="291"/>
      <c r="D161" s="291"/>
      <c r="E161" s="430" t="s">
        <v>339</v>
      </c>
      <c r="F161" s="430"/>
      <c r="G161" s="430"/>
      <c r="H161" s="430"/>
      <c r="I161" s="430"/>
      <c r="J161" s="428" t="s">
        <v>340</v>
      </c>
      <c r="K161" s="428"/>
      <c r="L161" s="428"/>
      <c r="M161" s="428"/>
      <c r="N161" s="428" t="s">
        <v>341</v>
      </c>
      <c r="O161" s="428"/>
      <c r="P161" s="428"/>
      <c r="Q161" s="428"/>
      <c r="R161" s="291"/>
      <c r="S161" s="428" t="s">
        <v>341</v>
      </c>
      <c r="T161" s="428"/>
      <c r="U161" s="291"/>
      <c r="V161" s="293" t="s">
        <v>342</v>
      </c>
      <c r="W161" s="293" t="s">
        <v>336</v>
      </c>
      <c r="X161" s="291"/>
    </row>
    <row r="162" spans="1:24" ht="12">
      <c r="A162" s="454" t="s">
        <v>23</v>
      </c>
      <c r="B162" s="454"/>
      <c r="C162" s="454"/>
      <c r="D162" s="454" t="s">
        <v>384</v>
      </c>
      <c r="E162" s="454"/>
      <c r="F162" s="454"/>
      <c r="G162" s="294" t="s">
        <v>344</v>
      </c>
      <c r="H162" s="454" t="s">
        <v>385</v>
      </c>
      <c r="I162" s="454"/>
      <c r="J162" s="452">
        <v>125386.87</v>
      </c>
      <c r="K162" s="452"/>
      <c r="L162" s="452"/>
      <c r="M162" s="452"/>
      <c r="N162" s="452">
        <v>125386.87</v>
      </c>
      <c r="O162" s="452"/>
      <c r="P162" s="453">
        <v>0</v>
      </c>
      <c r="Q162" s="453"/>
      <c r="R162" s="453"/>
      <c r="S162" s="452">
        <v>125386.87</v>
      </c>
      <c r="T162" s="452"/>
      <c r="U162" s="453">
        <v>0</v>
      </c>
      <c r="V162" s="453"/>
      <c r="W162" s="295">
        <v>100</v>
      </c>
      <c r="X162" s="291"/>
    </row>
    <row r="163" spans="1:24" ht="12">
      <c r="A163" s="454" t="s">
        <v>24</v>
      </c>
      <c r="B163" s="454"/>
      <c r="C163" s="454"/>
      <c r="D163" s="454" t="s">
        <v>384</v>
      </c>
      <c r="E163" s="454"/>
      <c r="F163" s="454"/>
      <c r="G163" s="294" t="s">
        <v>344</v>
      </c>
      <c r="H163" s="454" t="s">
        <v>385</v>
      </c>
      <c r="I163" s="454"/>
      <c r="J163" s="452">
        <v>20268.14</v>
      </c>
      <c r="K163" s="452"/>
      <c r="L163" s="452"/>
      <c r="M163" s="452"/>
      <c r="N163" s="452">
        <v>20268.14</v>
      </c>
      <c r="O163" s="452"/>
      <c r="P163" s="453">
        <v>0</v>
      </c>
      <c r="Q163" s="453"/>
      <c r="R163" s="453"/>
      <c r="S163" s="452">
        <v>20268.14</v>
      </c>
      <c r="T163" s="452"/>
      <c r="U163" s="453">
        <v>0</v>
      </c>
      <c r="V163" s="453"/>
      <c r="W163" s="295">
        <v>100</v>
      </c>
      <c r="X163" s="291"/>
    </row>
    <row r="164" spans="1:24" ht="12">
      <c r="A164" s="454" t="s">
        <v>25</v>
      </c>
      <c r="B164" s="454"/>
      <c r="C164" s="454"/>
      <c r="D164" s="454" t="s">
        <v>384</v>
      </c>
      <c r="E164" s="454"/>
      <c r="F164" s="454"/>
      <c r="G164" s="294" t="s">
        <v>344</v>
      </c>
      <c r="H164" s="454" t="s">
        <v>385</v>
      </c>
      <c r="I164" s="454"/>
      <c r="J164" s="452">
        <v>29555</v>
      </c>
      <c r="K164" s="452"/>
      <c r="L164" s="452"/>
      <c r="M164" s="452"/>
      <c r="N164" s="452">
        <v>29555</v>
      </c>
      <c r="O164" s="452"/>
      <c r="P164" s="453">
        <v>0</v>
      </c>
      <c r="Q164" s="453"/>
      <c r="R164" s="453"/>
      <c r="S164" s="452">
        <v>29555</v>
      </c>
      <c r="T164" s="452"/>
      <c r="U164" s="453">
        <v>0</v>
      </c>
      <c r="V164" s="453"/>
      <c r="W164" s="295">
        <v>100</v>
      </c>
      <c r="X164" s="291"/>
    </row>
    <row r="165" spans="1:24" ht="12">
      <c r="A165" s="454" t="s">
        <v>26</v>
      </c>
      <c r="B165" s="454"/>
      <c r="C165" s="454"/>
      <c r="D165" s="454" t="s">
        <v>384</v>
      </c>
      <c r="E165" s="454"/>
      <c r="F165" s="454"/>
      <c r="G165" s="294" t="s">
        <v>344</v>
      </c>
      <c r="H165" s="454" t="s">
        <v>385</v>
      </c>
      <c r="I165" s="454"/>
      <c r="J165" s="452">
        <v>3770</v>
      </c>
      <c r="K165" s="452"/>
      <c r="L165" s="452"/>
      <c r="M165" s="452"/>
      <c r="N165" s="452">
        <v>3770</v>
      </c>
      <c r="O165" s="452"/>
      <c r="P165" s="453">
        <v>0</v>
      </c>
      <c r="Q165" s="453"/>
      <c r="R165" s="453"/>
      <c r="S165" s="452">
        <v>3770</v>
      </c>
      <c r="T165" s="452"/>
      <c r="U165" s="453">
        <v>0</v>
      </c>
      <c r="V165" s="453"/>
      <c r="W165" s="295">
        <v>100</v>
      </c>
      <c r="X165" s="291"/>
    </row>
    <row r="166" spans="1:24" ht="12">
      <c r="A166" s="454" t="s">
        <v>27</v>
      </c>
      <c r="B166" s="454"/>
      <c r="C166" s="454"/>
      <c r="D166" s="454" t="s">
        <v>384</v>
      </c>
      <c r="E166" s="454"/>
      <c r="F166" s="454"/>
      <c r="G166" s="294" t="s">
        <v>344</v>
      </c>
      <c r="H166" s="454" t="s">
        <v>385</v>
      </c>
      <c r="I166" s="454"/>
      <c r="J166" s="452">
        <v>191057</v>
      </c>
      <c r="K166" s="452"/>
      <c r="L166" s="452"/>
      <c r="M166" s="452"/>
      <c r="N166" s="452">
        <v>191057</v>
      </c>
      <c r="O166" s="452"/>
      <c r="P166" s="453">
        <v>0</v>
      </c>
      <c r="Q166" s="453"/>
      <c r="R166" s="453"/>
      <c r="S166" s="452">
        <v>191057</v>
      </c>
      <c r="T166" s="452"/>
      <c r="U166" s="453">
        <v>0</v>
      </c>
      <c r="V166" s="453"/>
      <c r="W166" s="295">
        <v>100</v>
      </c>
      <c r="X166" s="291"/>
    </row>
    <row r="167" spans="1:24" ht="12">
      <c r="A167" s="454" t="s">
        <v>165</v>
      </c>
      <c r="B167" s="454"/>
      <c r="C167" s="454"/>
      <c r="D167" s="454" t="s">
        <v>384</v>
      </c>
      <c r="E167" s="454"/>
      <c r="F167" s="454"/>
      <c r="G167" s="294" t="s">
        <v>344</v>
      </c>
      <c r="H167" s="454" t="s">
        <v>385</v>
      </c>
      <c r="I167" s="454"/>
      <c r="J167" s="452">
        <v>41890</v>
      </c>
      <c r="K167" s="452"/>
      <c r="L167" s="452"/>
      <c r="M167" s="452"/>
      <c r="N167" s="452">
        <v>41890</v>
      </c>
      <c r="O167" s="452"/>
      <c r="P167" s="453">
        <v>0</v>
      </c>
      <c r="Q167" s="453"/>
      <c r="R167" s="453"/>
      <c r="S167" s="452">
        <v>41890</v>
      </c>
      <c r="T167" s="452"/>
      <c r="U167" s="453">
        <v>0</v>
      </c>
      <c r="V167" s="453"/>
      <c r="W167" s="295">
        <v>100</v>
      </c>
      <c r="X167" s="291"/>
    </row>
    <row r="168" spans="1:24" ht="12">
      <c r="A168" s="454" t="s">
        <v>37</v>
      </c>
      <c r="B168" s="454"/>
      <c r="C168" s="454"/>
      <c r="D168" s="454" t="s">
        <v>384</v>
      </c>
      <c r="E168" s="454"/>
      <c r="F168" s="454"/>
      <c r="G168" s="294" t="s">
        <v>344</v>
      </c>
      <c r="H168" s="454" t="s">
        <v>385</v>
      </c>
      <c r="I168" s="454"/>
      <c r="J168" s="452">
        <v>8668</v>
      </c>
      <c r="K168" s="452"/>
      <c r="L168" s="452"/>
      <c r="M168" s="452"/>
      <c r="N168" s="452">
        <v>8668</v>
      </c>
      <c r="O168" s="452"/>
      <c r="P168" s="453">
        <v>0</v>
      </c>
      <c r="Q168" s="453"/>
      <c r="R168" s="453"/>
      <c r="S168" s="452">
        <v>8668</v>
      </c>
      <c r="T168" s="452"/>
      <c r="U168" s="453">
        <v>0</v>
      </c>
      <c r="V168" s="453"/>
      <c r="W168" s="295">
        <v>100</v>
      </c>
      <c r="X168" s="291"/>
    </row>
    <row r="169" spans="1:24" ht="12">
      <c r="A169" s="454" t="s">
        <v>28</v>
      </c>
      <c r="B169" s="454"/>
      <c r="C169" s="454"/>
      <c r="D169" s="454" t="s">
        <v>384</v>
      </c>
      <c r="E169" s="454"/>
      <c r="F169" s="454"/>
      <c r="G169" s="294" t="s">
        <v>344</v>
      </c>
      <c r="H169" s="454" t="s">
        <v>385</v>
      </c>
      <c r="I169" s="454"/>
      <c r="J169" s="452">
        <v>11140</v>
      </c>
      <c r="K169" s="452"/>
      <c r="L169" s="452"/>
      <c r="M169" s="452"/>
      <c r="N169" s="452">
        <v>11140</v>
      </c>
      <c r="O169" s="452"/>
      <c r="P169" s="453">
        <v>0</v>
      </c>
      <c r="Q169" s="453"/>
      <c r="R169" s="453"/>
      <c r="S169" s="452">
        <v>11140</v>
      </c>
      <c r="T169" s="452"/>
      <c r="U169" s="453">
        <v>0</v>
      </c>
      <c r="V169" s="453"/>
      <c r="W169" s="295">
        <v>100</v>
      </c>
      <c r="X169" s="291"/>
    </row>
    <row r="170" spans="1:24" ht="12">
      <c r="A170" s="454" t="s">
        <v>29</v>
      </c>
      <c r="B170" s="454"/>
      <c r="C170" s="454"/>
      <c r="D170" s="454" t="s">
        <v>384</v>
      </c>
      <c r="E170" s="454"/>
      <c r="F170" s="454"/>
      <c r="G170" s="294" t="s">
        <v>344</v>
      </c>
      <c r="H170" s="454" t="s">
        <v>385</v>
      </c>
      <c r="I170" s="454"/>
      <c r="J170" s="452">
        <v>160216.76</v>
      </c>
      <c r="K170" s="452"/>
      <c r="L170" s="452"/>
      <c r="M170" s="452"/>
      <c r="N170" s="452">
        <v>160216.76</v>
      </c>
      <c r="O170" s="452"/>
      <c r="P170" s="453">
        <v>0</v>
      </c>
      <c r="Q170" s="453"/>
      <c r="R170" s="453"/>
      <c r="S170" s="452">
        <v>160216.76</v>
      </c>
      <c r="T170" s="452"/>
      <c r="U170" s="453">
        <v>0</v>
      </c>
      <c r="V170" s="453"/>
      <c r="W170" s="295">
        <v>100</v>
      </c>
      <c r="X170" s="291"/>
    </row>
    <row r="171" spans="1:24" ht="12">
      <c r="A171" s="454" t="s">
        <v>30</v>
      </c>
      <c r="B171" s="454"/>
      <c r="C171" s="454"/>
      <c r="D171" s="454" t="s">
        <v>384</v>
      </c>
      <c r="E171" s="454"/>
      <c r="F171" s="454"/>
      <c r="G171" s="294" t="s">
        <v>344</v>
      </c>
      <c r="H171" s="454" t="s">
        <v>385</v>
      </c>
      <c r="I171" s="454"/>
      <c r="J171" s="452">
        <v>39919</v>
      </c>
      <c r="K171" s="452"/>
      <c r="L171" s="452"/>
      <c r="M171" s="452"/>
      <c r="N171" s="452">
        <v>39919</v>
      </c>
      <c r="O171" s="452"/>
      <c r="P171" s="453">
        <v>0</v>
      </c>
      <c r="Q171" s="453"/>
      <c r="R171" s="453"/>
      <c r="S171" s="452">
        <v>39919</v>
      </c>
      <c r="T171" s="452"/>
      <c r="U171" s="453">
        <v>0</v>
      </c>
      <c r="V171" s="453"/>
      <c r="W171" s="295">
        <v>100</v>
      </c>
      <c r="X171" s="291"/>
    </row>
    <row r="172" spans="1:24" ht="12">
      <c r="A172" s="454" t="s">
        <v>31</v>
      </c>
      <c r="B172" s="454"/>
      <c r="C172" s="454"/>
      <c r="D172" s="454" t="s">
        <v>384</v>
      </c>
      <c r="E172" s="454"/>
      <c r="F172" s="454"/>
      <c r="G172" s="294" t="s">
        <v>344</v>
      </c>
      <c r="H172" s="454" t="s">
        <v>385</v>
      </c>
      <c r="I172" s="454"/>
      <c r="J172" s="452">
        <v>64799</v>
      </c>
      <c r="K172" s="452"/>
      <c r="L172" s="452"/>
      <c r="M172" s="452"/>
      <c r="N172" s="452">
        <v>64799</v>
      </c>
      <c r="O172" s="452"/>
      <c r="P172" s="453">
        <v>0</v>
      </c>
      <c r="Q172" s="453"/>
      <c r="R172" s="453"/>
      <c r="S172" s="452">
        <v>64799</v>
      </c>
      <c r="T172" s="452"/>
      <c r="U172" s="453">
        <v>0</v>
      </c>
      <c r="V172" s="453"/>
      <c r="W172" s="295">
        <v>100</v>
      </c>
      <c r="X172" s="291"/>
    </row>
    <row r="173" spans="1:24" ht="12">
      <c r="A173" s="454" t="s">
        <v>32</v>
      </c>
      <c r="B173" s="454"/>
      <c r="C173" s="454"/>
      <c r="D173" s="454" t="s">
        <v>384</v>
      </c>
      <c r="E173" s="454"/>
      <c r="F173" s="454"/>
      <c r="G173" s="294" t="s">
        <v>344</v>
      </c>
      <c r="H173" s="454" t="s">
        <v>385</v>
      </c>
      <c r="I173" s="454"/>
      <c r="J173" s="452">
        <v>46328</v>
      </c>
      <c r="K173" s="452"/>
      <c r="L173" s="452"/>
      <c r="M173" s="452"/>
      <c r="N173" s="452">
        <v>46328</v>
      </c>
      <c r="O173" s="452"/>
      <c r="P173" s="453">
        <v>0</v>
      </c>
      <c r="Q173" s="453"/>
      <c r="R173" s="453"/>
      <c r="S173" s="452">
        <v>46328</v>
      </c>
      <c r="T173" s="452"/>
      <c r="U173" s="453">
        <v>0</v>
      </c>
      <c r="V173" s="453"/>
      <c r="W173" s="295">
        <v>100</v>
      </c>
      <c r="X173" s="291"/>
    </row>
    <row r="174" spans="1:24" ht="12">
      <c r="A174" s="454" t="s">
        <v>33</v>
      </c>
      <c r="B174" s="454"/>
      <c r="C174" s="454"/>
      <c r="D174" s="454" t="s">
        <v>384</v>
      </c>
      <c r="E174" s="454"/>
      <c r="F174" s="454"/>
      <c r="G174" s="294" t="s">
        <v>344</v>
      </c>
      <c r="H174" s="454" t="s">
        <v>385</v>
      </c>
      <c r="I174" s="454"/>
      <c r="J174" s="452">
        <v>128225</v>
      </c>
      <c r="K174" s="452"/>
      <c r="L174" s="452"/>
      <c r="M174" s="452"/>
      <c r="N174" s="452">
        <v>128225</v>
      </c>
      <c r="O174" s="452"/>
      <c r="P174" s="453">
        <v>0</v>
      </c>
      <c r="Q174" s="453"/>
      <c r="R174" s="453"/>
      <c r="S174" s="452">
        <v>128225</v>
      </c>
      <c r="T174" s="452"/>
      <c r="U174" s="453">
        <v>0</v>
      </c>
      <c r="V174" s="453"/>
      <c r="W174" s="295">
        <v>100</v>
      </c>
      <c r="X174" s="291"/>
    </row>
    <row r="175" spans="1:24" ht="10.5">
      <c r="A175" s="296"/>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1"/>
    </row>
    <row r="176" spans="1:24" ht="12" thickBot="1">
      <c r="A176" s="291"/>
      <c r="B176" s="291"/>
      <c r="C176" s="291"/>
      <c r="D176" s="291"/>
      <c r="E176" s="291"/>
      <c r="F176" s="291"/>
      <c r="G176" s="291"/>
      <c r="H176" s="291"/>
      <c r="I176" s="291"/>
      <c r="J176" s="451">
        <v>871222.77</v>
      </c>
      <c r="K176" s="451"/>
      <c r="L176" s="451"/>
      <c r="M176" s="451"/>
      <c r="N176" s="451">
        <v>871222.77</v>
      </c>
      <c r="O176" s="451"/>
      <c r="P176" s="451">
        <v>0</v>
      </c>
      <c r="Q176" s="451"/>
      <c r="R176" s="451"/>
      <c r="S176" s="451">
        <v>871222.77</v>
      </c>
      <c r="T176" s="451"/>
      <c r="U176" s="451">
        <v>0</v>
      </c>
      <c r="V176" s="451"/>
      <c r="W176" s="291"/>
      <c r="X176" s="291"/>
    </row>
    <row r="177" spans="1:24" ht="11.25" thickTop="1">
      <c r="A177" s="297"/>
      <c r="B177" s="297"/>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1"/>
    </row>
    <row r="178" spans="1:24" ht="12">
      <c r="A178" s="449" t="s">
        <v>386</v>
      </c>
      <c r="B178" s="449"/>
      <c r="C178" s="449"/>
      <c r="D178" s="449"/>
      <c r="E178" s="449"/>
      <c r="F178" s="449"/>
      <c r="G178" s="449"/>
      <c r="H178" s="449"/>
      <c r="I178" s="291"/>
      <c r="J178" s="450">
        <v>6637657.2</v>
      </c>
      <c r="K178" s="450"/>
      <c r="L178" s="450"/>
      <c r="M178" s="450"/>
      <c r="N178" s="450">
        <v>6637657.2</v>
      </c>
      <c r="O178" s="450"/>
      <c r="P178" s="451">
        <v>0</v>
      </c>
      <c r="Q178" s="451"/>
      <c r="R178" s="451"/>
      <c r="S178" s="450">
        <v>6637657.2</v>
      </c>
      <c r="T178" s="450"/>
      <c r="U178" s="450">
        <v>0</v>
      </c>
      <c r="V178" s="450"/>
      <c r="W178" s="291"/>
      <c r="X178" s="291"/>
    </row>
    <row r="179" spans="1:24" ht="12">
      <c r="A179" s="430" t="s">
        <v>329</v>
      </c>
      <c r="B179" s="430"/>
      <c r="C179" s="455" t="s">
        <v>387</v>
      </c>
      <c r="D179" s="455"/>
      <c r="E179" s="455"/>
      <c r="F179" s="455"/>
      <c r="G179" s="455"/>
      <c r="H179" s="455"/>
      <c r="I179" s="455"/>
      <c r="J179" s="455"/>
      <c r="K179" s="455"/>
      <c r="L179" s="291"/>
      <c r="M179" s="291"/>
      <c r="N179" s="291"/>
      <c r="O179" s="291"/>
      <c r="P179" s="291"/>
      <c r="Q179" s="291"/>
      <c r="R179" s="291"/>
      <c r="S179" s="291"/>
      <c r="T179" s="291"/>
      <c r="U179" s="291"/>
      <c r="V179" s="291"/>
      <c r="W179" s="291"/>
      <c r="X179" s="291"/>
    </row>
    <row r="180" spans="1:24" ht="10.5">
      <c r="A180" s="430"/>
      <c r="B180" s="430"/>
      <c r="C180" s="291"/>
      <c r="D180" s="291"/>
      <c r="E180" s="291"/>
      <c r="F180" s="291"/>
      <c r="G180" s="291"/>
      <c r="H180" s="291"/>
      <c r="I180" s="291"/>
      <c r="J180" s="291"/>
      <c r="K180" s="291"/>
      <c r="L180" s="291"/>
      <c r="M180" s="291"/>
      <c r="N180" s="291"/>
      <c r="O180" s="291"/>
      <c r="P180" s="291"/>
      <c r="Q180" s="291"/>
      <c r="R180" s="291"/>
      <c r="S180" s="291"/>
      <c r="T180" s="291"/>
      <c r="U180" s="291"/>
      <c r="V180" s="291"/>
      <c r="W180" s="291"/>
      <c r="X180" s="291"/>
    </row>
    <row r="181" spans="1:24" ht="12">
      <c r="A181" s="291"/>
      <c r="B181" s="430" t="s">
        <v>331</v>
      </c>
      <c r="C181" s="430"/>
      <c r="D181" s="455" t="s">
        <v>44</v>
      </c>
      <c r="E181" s="455"/>
      <c r="F181" s="455"/>
      <c r="G181" s="455"/>
      <c r="H181" s="455"/>
      <c r="I181" s="455"/>
      <c r="J181" s="455"/>
      <c r="K181" s="455"/>
      <c r="L181" s="455"/>
      <c r="M181" s="455"/>
      <c r="N181" s="291"/>
      <c r="O181" s="291"/>
      <c r="P181" s="291"/>
      <c r="Q181" s="291"/>
      <c r="R181" s="291"/>
      <c r="S181" s="291"/>
      <c r="T181" s="291"/>
      <c r="U181" s="291"/>
      <c r="V181" s="291"/>
      <c r="W181" s="291"/>
      <c r="X181" s="291"/>
    </row>
    <row r="182" spans="1:24" ht="12">
      <c r="A182" s="430" t="s">
        <v>332</v>
      </c>
      <c r="B182" s="430"/>
      <c r="C182" s="291"/>
      <c r="D182" s="291"/>
      <c r="E182" s="456" t="s">
        <v>333</v>
      </c>
      <c r="F182" s="456"/>
      <c r="G182" s="456"/>
      <c r="H182" s="456"/>
      <c r="I182" s="456"/>
      <c r="J182" s="449" t="s">
        <v>3</v>
      </c>
      <c r="K182" s="449"/>
      <c r="L182" s="449"/>
      <c r="M182" s="449"/>
      <c r="N182" s="449" t="s">
        <v>334</v>
      </c>
      <c r="O182" s="449"/>
      <c r="P182" s="428" t="s">
        <v>335</v>
      </c>
      <c r="Q182" s="428"/>
      <c r="R182" s="291"/>
      <c r="S182" s="449" t="s">
        <v>336</v>
      </c>
      <c r="T182" s="449"/>
      <c r="U182" s="291"/>
      <c r="V182" s="292" t="s">
        <v>337</v>
      </c>
      <c r="W182" s="292" t="s">
        <v>338</v>
      </c>
      <c r="X182" s="291"/>
    </row>
    <row r="183" spans="1:24" ht="12">
      <c r="A183" s="430"/>
      <c r="B183" s="430"/>
      <c r="C183" s="291"/>
      <c r="D183" s="291"/>
      <c r="E183" s="430" t="s">
        <v>339</v>
      </c>
      <c r="F183" s="430"/>
      <c r="G183" s="430"/>
      <c r="H183" s="430"/>
      <c r="I183" s="430"/>
      <c r="J183" s="428" t="s">
        <v>340</v>
      </c>
      <c r="K183" s="428"/>
      <c r="L183" s="428"/>
      <c r="M183" s="428"/>
      <c r="N183" s="428" t="s">
        <v>341</v>
      </c>
      <c r="O183" s="428"/>
      <c r="P183" s="428"/>
      <c r="Q183" s="428"/>
      <c r="R183" s="291"/>
      <c r="S183" s="428" t="s">
        <v>341</v>
      </c>
      <c r="T183" s="428"/>
      <c r="U183" s="291"/>
      <c r="V183" s="293" t="s">
        <v>342</v>
      </c>
      <c r="W183" s="293" t="s">
        <v>336</v>
      </c>
      <c r="X183" s="291"/>
    </row>
    <row r="184" spans="1:24" ht="12">
      <c r="A184" s="454" t="s">
        <v>34</v>
      </c>
      <c r="B184" s="454"/>
      <c r="C184" s="454"/>
      <c r="D184" s="454" t="s">
        <v>384</v>
      </c>
      <c r="E184" s="454"/>
      <c r="F184" s="454"/>
      <c r="G184" s="294" t="s">
        <v>344</v>
      </c>
      <c r="H184" s="454" t="s">
        <v>385</v>
      </c>
      <c r="I184" s="454"/>
      <c r="J184" s="452">
        <v>288163</v>
      </c>
      <c r="K184" s="452"/>
      <c r="L184" s="452"/>
      <c r="M184" s="452"/>
      <c r="N184" s="452">
        <v>288163</v>
      </c>
      <c r="O184" s="452"/>
      <c r="P184" s="453">
        <v>0</v>
      </c>
      <c r="Q184" s="453"/>
      <c r="R184" s="453"/>
      <c r="S184" s="452">
        <v>288163</v>
      </c>
      <c r="T184" s="452"/>
      <c r="U184" s="453">
        <v>0</v>
      </c>
      <c r="V184" s="453"/>
      <c r="W184" s="295">
        <v>100</v>
      </c>
      <c r="X184" s="291"/>
    </row>
    <row r="185" spans="1:24" ht="12">
      <c r="A185" s="454" t="s">
        <v>35</v>
      </c>
      <c r="B185" s="454"/>
      <c r="C185" s="454"/>
      <c r="D185" s="454" t="s">
        <v>384</v>
      </c>
      <c r="E185" s="454"/>
      <c r="F185" s="454"/>
      <c r="G185" s="294" t="s">
        <v>344</v>
      </c>
      <c r="H185" s="454" t="s">
        <v>385</v>
      </c>
      <c r="I185" s="454"/>
      <c r="J185" s="452">
        <v>177681.59</v>
      </c>
      <c r="K185" s="452"/>
      <c r="L185" s="452"/>
      <c r="M185" s="452"/>
      <c r="N185" s="452">
        <v>177681.59</v>
      </c>
      <c r="O185" s="452"/>
      <c r="P185" s="453">
        <v>0</v>
      </c>
      <c r="Q185" s="453"/>
      <c r="R185" s="453"/>
      <c r="S185" s="452">
        <v>177681.59</v>
      </c>
      <c r="T185" s="452"/>
      <c r="U185" s="453">
        <v>0</v>
      </c>
      <c r="V185" s="453"/>
      <c r="W185" s="295">
        <v>100</v>
      </c>
      <c r="X185" s="291"/>
    </row>
    <row r="186" spans="1:24" ht="12">
      <c r="A186" s="454" t="s">
        <v>29</v>
      </c>
      <c r="B186" s="454"/>
      <c r="C186" s="454"/>
      <c r="D186" s="454" t="s">
        <v>384</v>
      </c>
      <c r="E186" s="454"/>
      <c r="F186" s="454"/>
      <c r="G186" s="294" t="s">
        <v>344</v>
      </c>
      <c r="H186" s="454" t="s">
        <v>385</v>
      </c>
      <c r="I186" s="454"/>
      <c r="J186" s="452">
        <v>278101.23</v>
      </c>
      <c r="K186" s="452"/>
      <c r="L186" s="452"/>
      <c r="M186" s="452"/>
      <c r="N186" s="452">
        <v>278101.23</v>
      </c>
      <c r="O186" s="452"/>
      <c r="P186" s="453">
        <v>0</v>
      </c>
      <c r="Q186" s="453"/>
      <c r="R186" s="453"/>
      <c r="S186" s="452">
        <v>278101.23</v>
      </c>
      <c r="T186" s="452"/>
      <c r="U186" s="453">
        <v>0</v>
      </c>
      <c r="V186" s="453"/>
      <c r="W186" s="295">
        <v>100</v>
      </c>
      <c r="X186" s="291"/>
    </row>
    <row r="187" spans="1:24" ht="12">
      <c r="A187" s="454" t="s">
        <v>30</v>
      </c>
      <c r="B187" s="454"/>
      <c r="C187" s="454"/>
      <c r="D187" s="454" t="s">
        <v>384</v>
      </c>
      <c r="E187" s="454"/>
      <c r="F187" s="454"/>
      <c r="G187" s="294" t="s">
        <v>344</v>
      </c>
      <c r="H187" s="454" t="s">
        <v>385</v>
      </c>
      <c r="I187" s="454"/>
      <c r="J187" s="452">
        <v>104377</v>
      </c>
      <c r="K187" s="452"/>
      <c r="L187" s="452"/>
      <c r="M187" s="452"/>
      <c r="N187" s="452">
        <v>104377</v>
      </c>
      <c r="O187" s="452"/>
      <c r="P187" s="453">
        <v>0</v>
      </c>
      <c r="Q187" s="453"/>
      <c r="R187" s="453"/>
      <c r="S187" s="452">
        <v>104377</v>
      </c>
      <c r="T187" s="452"/>
      <c r="U187" s="453">
        <v>0</v>
      </c>
      <c r="V187" s="453"/>
      <c r="W187" s="295">
        <v>100</v>
      </c>
      <c r="X187" s="291"/>
    </row>
    <row r="188" spans="1:24" ht="12">
      <c r="A188" s="454" t="s">
        <v>36</v>
      </c>
      <c r="B188" s="454"/>
      <c r="C188" s="454"/>
      <c r="D188" s="454" t="s">
        <v>384</v>
      </c>
      <c r="E188" s="454"/>
      <c r="F188" s="454"/>
      <c r="G188" s="294" t="s">
        <v>344</v>
      </c>
      <c r="H188" s="454" t="s">
        <v>385</v>
      </c>
      <c r="I188" s="454"/>
      <c r="J188" s="452">
        <v>31765</v>
      </c>
      <c r="K188" s="452"/>
      <c r="L188" s="452"/>
      <c r="M188" s="452"/>
      <c r="N188" s="452">
        <v>31765</v>
      </c>
      <c r="O188" s="452"/>
      <c r="P188" s="453">
        <v>0</v>
      </c>
      <c r="Q188" s="453"/>
      <c r="R188" s="453"/>
      <c r="S188" s="452">
        <v>31765</v>
      </c>
      <c r="T188" s="452"/>
      <c r="U188" s="453">
        <v>0</v>
      </c>
      <c r="V188" s="453"/>
      <c r="W188" s="295">
        <v>100</v>
      </c>
      <c r="X188" s="291"/>
    </row>
    <row r="189" spans="1:24" ht="10.5">
      <c r="A189" s="296"/>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1"/>
    </row>
    <row r="190" spans="1:24" ht="11.25">
      <c r="A190" s="291"/>
      <c r="B190" s="291"/>
      <c r="C190" s="291"/>
      <c r="D190" s="291"/>
      <c r="E190" s="291"/>
      <c r="F190" s="291"/>
      <c r="G190" s="291"/>
      <c r="H190" s="291"/>
      <c r="I190" s="291"/>
      <c r="J190" s="451">
        <v>880087.82</v>
      </c>
      <c r="K190" s="451"/>
      <c r="L190" s="451"/>
      <c r="M190" s="451"/>
      <c r="N190" s="451">
        <v>880087.82</v>
      </c>
      <c r="O190" s="451"/>
      <c r="P190" s="451">
        <v>0</v>
      </c>
      <c r="Q190" s="451"/>
      <c r="R190" s="451"/>
      <c r="S190" s="451">
        <v>880087.82</v>
      </c>
      <c r="T190" s="451"/>
      <c r="U190" s="451">
        <v>0</v>
      </c>
      <c r="V190" s="451"/>
      <c r="W190" s="291"/>
      <c r="X190" s="291"/>
    </row>
    <row r="191" spans="1:24" ht="12">
      <c r="A191" s="291"/>
      <c r="B191" s="430" t="s">
        <v>331</v>
      </c>
      <c r="C191" s="430"/>
      <c r="D191" s="455" t="s">
        <v>348</v>
      </c>
      <c r="E191" s="455"/>
      <c r="F191" s="455"/>
      <c r="G191" s="455"/>
      <c r="H191" s="455"/>
      <c r="I191" s="455"/>
      <c r="J191" s="455"/>
      <c r="K191" s="455"/>
      <c r="L191" s="455"/>
      <c r="M191" s="455"/>
      <c r="N191" s="291"/>
      <c r="O191" s="291"/>
      <c r="P191" s="291"/>
      <c r="Q191" s="291"/>
      <c r="R191" s="291"/>
      <c r="S191" s="291"/>
      <c r="T191" s="291"/>
      <c r="U191" s="291"/>
      <c r="V191" s="291"/>
      <c r="W191" s="291"/>
      <c r="X191" s="291"/>
    </row>
    <row r="192" spans="1:24" ht="12">
      <c r="A192" s="430" t="s">
        <v>332</v>
      </c>
      <c r="B192" s="430"/>
      <c r="C192" s="291"/>
      <c r="D192" s="291"/>
      <c r="E192" s="456" t="s">
        <v>333</v>
      </c>
      <c r="F192" s="456"/>
      <c r="G192" s="456"/>
      <c r="H192" s="456"/>
      <c r="I192" s="456"/>
      <c r="J192" s="449" t="s">
        <v>3</v>
      </c>
      <c r="K192" s="449"/>
      <c r="L192" s="449"/>
      <c r="M192" s="449"/>
      <c r="N192" s="449" t="s">
        <v>334</v>
      </c>
      <c r="O192" s="449"/>
      <c r="P192" s="428" t="s">
        <v>335</v>
      </c>
      <c r="Q192" s="428"/>
      <c r="R192" s="291"/>
      <c r="S192" s="449" t="s">
        <v>336</v>
      </c>
      <c r="T192" s="449"/>
      <c r="U192" s="291"/>
      <c r="V192" s="292" t="s">
        <v>337</v>
      </c>
      <c r="W192" s="292" t="s">
        <v>338</v>
      </c>
      <c r="X192" s="291"/>
    </row>
    <row r="193" spans="1:24" ht="12">
      <c r="A193" s="430"/>
      <c r="B193" s="430"/>
      <c r="C193" s="291"/>
      <c r="D193" s="291"/>
      <c r="E193" s="430" t="s">
        <v>339</v>
      </c>
      <c r="F193" s="430"/>
      <c r="G193" s="430"/>
      <c r="H193" s="430"/>
      <c r="I193" s="430"/>
      <c r="J193" s="428" t="s">
        <v>340</v>
      </c>
      <c r="K193" s="428"/>
      <c r="L193" s="428"/>
      <c r="M193" s="428"/>
      <c r="N193" s="428" t="s">
        <v>341</v>
      </c>
      <c r="O193" s="428"/>
      <c r="P193" s="428"/>
      <c r="Q193" s="428"/>
      <c r="R193" s="291"/>
      <c r="S193" s="428" t="s">
        <v>341</v>
      </c>
      <c r="T193" s="428"/>
      <c r="U193" s="291"/>
      <c r="V193" s="293" t="s">
        <v>342</v>
      </c>
      <c r="W193" s="293" t="s">
        <v>336</v>
      </c>
      <c r="X193" s="291"/>
    </row>
    <row r="194" spans="1:24" ht="12">
      <c r="A194" s="454" t="s">
        <v>34</v>
      </c>
      <c r="B194" s="454"/>
      <c r="C194" s="454"/>
      <c r="D194" s="454" t="s">
        <v>384</v>
      </c>
      <c r="E194" s="454"/>
      <c r="F194" s="454"/>
      <c r="G194" s="294" t="s">
        <v>344</v>
      </c>
      <c r="H194" s="454" t="s">
        <v>385</v>
      </c>
      <c r="I194" s="454"/>
      <c r="J194" s="452">
        <v>2193369</v>
      </c>
      <c r="K194" s="452"/>
      <c r="L194" s="452"/>
      <c r="M194" s="452"/>
      <c r="N194" s="452">
        <v>2193369</v>
      </c>
      <c r="O194" s="452"/>
      <c r="P194" s="453">
        <v>0</v>
      </c>
      <c r="Q194" s="453"/>
      <c r="R194" s="453"/>
      <c r="S194" s="452">
        <v>2193369</v>
      </c>
      <c r="T194" s="452"/>
      <c r="U194" s="453">
        <v>0</v>
      </c>
      <c r="V194" s="453"/>
      <c r="W194" s="295">
        <v>100</v>
      </c>
      <c r="X194" s="291"/>
    </row>
    <row r="195" spans="1:24" ht="12">
      <c r="A195" s="454" t="s">
        <v>35</v>
      </c>
      <c r="B195" s="454"/>
      <c r="C195" s="454"/>
      <c r="D195" s="454" t="s">
        <v>384</v>
      </c>
      <c r="E195" s="454"/>
      <c r="F195" s="454"/>
      <c r="G195" s="294" t="s">
        <v>344</v>
      </c>
      <c r="H195" s="454" t="s">
        <v>385</v>
      </c>
      <c r="I195" s="454"/>
      <c r="J195" s="452">
        <v>1468809</v>
      </c>
      <c r="K195" s="452"/>
      <c r="L195" s="452"/>
      <c r="M195" s="452"/>
      <c r="N195" s="452">
        <v>1468809</v>
      </c>
      <c r="O195" s="452"/>
      <c r="P195" s="453">
        <v>0</v>
      </c>
      <c r="Q195" s="453"/>
      <c r="R195" s="453"/>
      <c r="S195" s="452">
        <v>1468809</v>
      </c>
      <c r="T195" s="452"/>
      <c r="U195" s="453">
        <v>0</v>
      </c>
      <c r="V195" s="453"/>
      <c r="W195" s="295">
        <v>100</v>
      </c>
      <c r="X195" s="291"/>
    </row>
    <row r="196" spans="1:24" ht="12">
      <c r="A196" s="454" t="s">
        <v>29</v>
      </c>
      <c r="B196" s="454"/>
      <c r="C196" s="454"/>
      <c r="D196" s="454" t="s">
        <v>384</v>
      </c>
      <c r="E196" s="454"/>
      <c r="F196" s="454"/>
      <c r="G196" s="294" t="s">
        <v>344</v>
      </c>
      <c r="H196" s="454" t="s">
        <v>385</v>
      </c>
      <c r="I196" s="454"/>
      <c r="J196" s="452">
        <v>2592438</v>
      </c>
      <c r="K196" s="452"/>
      <c r="L196" s="452"/>
      <c r="M196" s="452"/>
      <c r="N196" s="452">
        <v>2592438</v>
      </c>
      <c r="O196" s="452"/>
      <c r="P196" s="453">
        <v>0</v>
      </c>
      <c r="Q196" s="453"/>
      <c r="R196" s="453"/>
      <c r="S196" s="452">
        <v>2592438</v>
      </c>
      <c r="T196" s="452"/>
      <c r="U196" s="453">
        <v>0</v>
      </c>
      <c r="V196" s="453"/>
      <c r="W196" s="295">
        <v>100</v>
      </c>
      <c r="X196" s="291"/>
    </row>
    <row r="197" spans="1:24" ht="12">
      <c r="A197" s="454" t="s">
        <v>30</v>
      </c>
      <c r="B197" s="454"/>
      <c r="C197" s="454"/>
      <c r="D197" s="454" t="s">
        <v>384</v>
      </c>
      <c r="E197" s="454"/>
      <c r="F197" s="454"/>
      <c r="G197" s="294" t="s">
        <v>344</v>
      </c>
      <c r="H197" s="454" t="s">
        <v>385</v>
      </c>
      <c r="I197" s="454"/>
      <c r="J197" s="452">
        <v>1283833</v>
      </c>
      <c r="K197" s="452"/>
      <c r="L197" s="452"/>
      <c r="M197" s="452"/>
      <c r="N197" s="452">
        <v>1283833</v>
      </c>
      <c r="O197" s="452"/>
      <c r="P197" s="453">
        <v>0</v>
      </c>
      <c r="Q197" s="453"/>
      <c r="R197" s="453"/>
      <c r="S197" s="452">
        <v>1283833</v>
      </c>
      <c r="T197" s="452"/>
      <c r="U197" s="453">
        <v>0</v>
      </c>
      <c r="V197" s="453"/>
      <c r="W197" s="295">
        <v>100</v>
      </c>
      <c r="X197" s="291"/>
    </row>
    <row r="198" spans="1:24" ht="12">
      <c r="A198" s="454" t="s">
        <v>36</v>
      </c>
      <c r="B198" s="454"/>
      <c r="C198" s="454"/>
      <c r="D198" s="454" t="s">
        <v>384</v>
      </c>
      <c r="E198" s="454"/>
      <c r="F198" s="454"/>
      <c r="G198" s="294" t="s">
        <v>344</v>
      </c>
      <c r="H198" s="454" t="s">
        <v>385</v>
      </c>
      <c r="I198" s="454"/>
      <c r="J198" s="452">
        <v>255445</v>
      </c>
      <c r="K198" s="452"/>
      <c r="L198" s="452"/>
      <c r="M198" s="452"/>
      <c r="N198" s="452">
        <v>255445</v>
      </c>
      <c r="O198" s="452"/>
      <c r="P198" s="453">
        <v>0</v>
      </c>
      <c r="Q198" s="453"/>
      <c r="R198" s="453"/>
      <c r="S198" s="452">
        <v>255445</v>
      </c>
      <c r="T198" s="452"/>
      <c r="U198" s="453">
        <v>0</v>
      </c>
      <c r="V198" s="453"/>
      <c r="W198" s="295">
        <v>100</v>
      </c>
      <c r="X198" s="291"/>
    </row>
    <row r="199" spans="1:24" ht="10.5">
      <c r="A199" s="296"/>
      <c r="B199" s="296"/>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1"/>
    </row>
    <row r="200" spans="1:24" ht="11.25">
      <c r="A200" s="291"/>
      <c r="B200" s="291"/>
      <c r="C200" s="291"/>
      <c r="D200" s="291"/>
      <c r="E200" s="291"/>
      <c r="F200" s="291"/>
      <c r="G200" s="291"/>
      <c r="H200" s="291"/>
      <c r="I200" s="291"/>
      <c r="J200" s="451">
        <v>7793894</v>
      </c>
      <c r="K200" s="451"/>
      <c r="L200" s="451"/>
      <c r="M200" s="451"/>
      <c r="N200" s="451">
        <v>7793894</v>
      </c>
      <c r="O200" s="451"/>
      <c r="P200" s="451">
        <v>0</v>
      </c>
      <c r="Q200" s="451"/>
      <c r="R200" s="451"/>
      <c r="S200" s="451">
        <v>7793894</v>
      </c>
      <c r="T200" s="451"/>
      <c r="U200" s="451">
        <v>0</v>
      </c>
      <c r="V200" s="451"/>
      <c r="W200" s="291"/>
      <c r="X200" s="291"/>
    </row>
    <row r="201" spans="1:24" ht="12">
      <c r="A201" s="291"/>
      <c r="B201" s="430" t="s">
        <v>331</v>
      </c>
      <c r="C201" s="430"/>
      <c r="D201" s="455" t="s">
        <v>187</v>
      </c>
      <c r="E201" s="455"/>
      <c r="F201" s="455"/>
      <c r="G201" s="455"/>
      <c r="H201" s="455"/>
      <c r="I201" s="455"/>
      <c r="J201" s="455"/>
      <c r="K201" s="455"/>
      <c r="L201" s="455"/>
      <c r="M201" s="455"/>
      <c r="N201" s="291"/>
      <c r="O201" s="291"/>
      <c r="P201" s="291"/>
      <c r="Q201" s="291"/>
      <c r="R201" s="291"/>
      <c r="S201" s="291"/>
      <c r="T201" s="291"/>
      <c r="U201" s="291"/>
      <c r="V201" s="291"/>
      <c r="W201" s="291"/>
      <c r="X201" s="291"/>
    </row>
    <row r="202" spans="1:24" ht="12">
      <c r="A202" s="430" t="s">
        <v>332</v>
      </c>
      <c r="B202" s="430"/>
      <c r="C202" s="291"/>
      <c r="D202" s="291"/>
      <c r="E202" s="456" t="s">
        <v>333</v>
      </c>
      <c r="F202" s="456"/>
      <c r="G202" s="456"/>
      <c r="H202" s="456"/>
      <c r="I202" s="456"/>
      <c r="J202" s="449" t="s">
        <v>3</v>
      </c>
      <c r="K202" s="449"/>
      <c r="L202" s="449"/>
      <c r="M202" s="449"/>
      <c r="N202" s="449" t="s">
        <v>334</v>
      </c>
      <c r="O202" s="449"/>
      <c r="P202" s="428" t="s">
        <v>335</v>
      </c>
      <c r="Q202" s="428"/>
      <c r="R202" s="291"/>
      <c r="S202" s="449" t="s">
        <v>336</v>
      </c>
      <c r="T202" s="449"/>
      <c r="U202" s="291"/>
      <c r="V202" s="292" t="s">
        <v>337</v>
      </c>
      <c r="W202" s="292" t="s">
        <v>338</v>
      </c>
      <c r="X202" s="291"/>
    </row>
    <row r="203" spans="1:24" ht="12">
      <c r="A203" s="430"/>
      <c r="B203" s="430"/>
      <c r="C203" s="291"/>
      <c r="D203" s="291"/>
      <c r="E203" s="430" t="s">
        <v>339</v>
      </c>
      <c r="F203" s="430"/>
      <c r="G203" s="430"/>
      <c r="H203" s="430"/>
      <c r="I203" s="430"/>
      <c r="J203" s="428" t="s">
        <v>340</v>
      </c>
      <c r="K203" s="428"/>
      <c r="L203" s="428"/>
      <c r="M203" s="428"/>
      <c r="N203" s="428" t="s">
        <v>341</v>
      </c>
      <c r="O203" s="428"/>
      <c r="P203" s="428"/>
      <c r="Q203" s="428"/>
      <c r="R203" s="291"/>
      <c r="S203" s="428" t="s">
        <v>341</v>
      </c>
      <c r="T203" s="428"/>
      <c r="U203" s="291"/>
      <c r="V203" s="293" t="s">
        <v>342</v>
      </c>
      <c r="W203" s="293" t="s">
        <v>336</v>
      </c>
      <c r="X203" s="291"/>
    </row>
    <row r="204" spans="1:24" ht="12">
      <c r="A204" s="454" t="s">
        <v>34</v>
      </c>
      <c r="B204" s="454"/>
      <c r="C204" s="454"/>
      <c r="D204" s="454" t="s">
        <v>384</v>
      </c>
      <c r="E204" s="454"/>
      <c r="F204" s="454"/>
      <c r="G204" s="294" t="s">
        <v>344</v>
      </c>
      <c r="H204" s="454" t="s">
        <v>385</v>
      </c>
      <c r="I204" s="454"/>
      <c r="J204" s="452">
        <v>400102</v>
      </c>
      <c r="K204" s="452"/>
      <c r="L204" s="452"/>
      <c r="M204" s="452"/>
      <c r="N204" s="452">
        <v>400102</v>
      </c>
      <c r="O204" s="452"/>
      <c r="P204" s="453">
        <v>0</v>
      </c>
      <c r="Q204" s="453"/>
      <c r="R204" s="453"/>
      <c r="S204" s="452">
        <v>400102</v>
      </c>
      <c r="T204" s="452"/>
      <c r="U204" s="453">
        <v>0</v>
      </c>
      <c r="V204" s="453"/>
      <c r="W204" s="295">
        <v>100</v>
      </c>
      <c r="X204" s="291"/>
    </row>
    <row r="205" spans="1:24" ht="12">
      <c r="A205" s="454" t="s">
        <v>35</v>
      </c>
      <c r="B205" s="454"/>
      <c r="C205" s="454"/>
      <c r="D205" s="454" t="s">
        <v>384</v>
      </c>
      <c r="E205" s="454"/>
      <c r="F205" s="454"/>
      <c r="G205" s="294" t="s">
        <v>344</v>
      </c>
      <c r="H205" s="454" t="s">
        <v>385</v>
      </c>
      <c r="I205" s="454"/>
      <c r="J205" s="452">
        <v>240294.72</v>
      </c>
      <c r="K205" s="452"/>
      <c r="L205" s="452"/>
      <c r="M205" s="452"/>
      <c r="N205" s="452">
        <v>240294.72</v>
      </c>
      <c r="O205" s="452"/>
      <c r="P205" s="453">
        <v>0</v>
      </c>
      <c r="Q205" s="453"/>
      <c r="R205" s="453"/>
      <c r="S205" s="452">
        <v>240294.72</v>
      </c>
      <c r="T205" s="452"/>
      <c r="U205" s="453">
        <v>0</v>
      </c>
      <c r="V205" s="453"/>
      <c r="W205" s="295">
        <v>100</v>
      </c>
      <c r="X205" s="291"/>
    </row>
    <row r="206" spans="1:24" ht="12">
      <c r="A206" s="454" t="s">
        <v>29</v>
      </c>
      <c r="B206" s="454"/>
      <c r="C206" s="454"/>
      <c r="D206" s="454" t="s">
        <v>384</v>
      </c>
      <c r="E206" s="454"/>
      <c r="F206" s="454"/>
      <c r="G206" s="294" t="s">
        <v>344</v>
      </c>
      <c r="H206" s="454" t="s">
        <v>385</v>
      </c>
      <c r="I206" s="454"/>
      <c r="J206" s="452">
        <v>475955.77</v>
      </c>
      <c r="K206" s="452"/>
      <c r="L206" s="452"/>
      <c r="M206" s="452"/>
      <c r="N206" s="452">
        <v>475955.77</v>
      </c>
      <c r="O206" s="452"/>
      <c r="P206" s="453">
        <v>0</v>
      </c>
      <c r="Q206" s="453"/>
      <c r="R206" s="453"/>
      <c r="S206" s="452">
        <v>475955.77</v>
      </c>
      <c r="T206" s="452"/>
      <c r="U206" s="453">
        <v>0</v>
      </c>
      <c r="V206" s="453"/>
      <c r="W206" s="295">
        <v>100</v>
      </c>
      <c r="X206" s="291"/>
    </row>
    <row r="207" spans="1:24" ht="12">
      <c r="A207" s="454" t="s">
        <v>30</v>
      </c>
      <c r="B207" s="454"/>
      <c r="C207" s="454"/>
      <c r="D207" s="454" t="s">
        <v>384</v>
      </c>
      <c r="E207" s="454"/>
      <c r="F207" s="454"/>
      <c r="G207" s="294" t="s">
        <v>344</v>
      </c>
      <c r="H207" s="454" t="s">
        <v>385</v>
      </c>
      <c r="I207" s="454"/>
      <c r="J207" s="452">
        <v>130995</v>
      </c>
      <c r="K207" s="452"/>
      <c r="L207" s="452"/>
      <c r="M207" s="452"/>
      <c r="N207" s="452">
        <v>130995</v>
      </c>
      <c r="O207" s="452"/>
      <c r="P207" s="453">
        <v>0</v>
      </c>
      <c r="Q207" s="453"/>
      <c r="R207" s="453"/>
      <c r="S207" s="452">
        <v>130995</v>
      </c>
      <c r="T207" s="452"/>
      <c r="U207" s="453">
        <v>0</v>
      </c>
      <c r="V207" s="453"/>
      <c r="W207" s="295">
        <v>100</v>
      </c>
      <c r="X207" s="291"/>
    </row>
    <row r="208" spans="1:24" ht="12">
      <c r="A208" s="454" t="s">
        <v>36</v>
      </c>
      <c r="B208" s="454"/>
      <c r="C208" s="454"/>
      <c r="D208" s="454" t="s">
        <v>384</v>
      </c>
      <c r="E208" s="454"/>
      <c r="F208" s="454"/>
      <c r="G208" s="294" t="s">
        <v>344</v>
      </c>
      <c r="H208" s="454" t="s">
        <v>385</v>
      </c>
      <c r="I208" s="454"/>
      <c r="J208" s="452">
        <v>26980</v>
      </c>
      <c r="K208" s="452"/>
      <c r="L208" s="452"/>
      <c r="M208" s="452"/>
      <c r="N208" s="452">
        <v>26980</v>
      </c>
      <c r="O208" s="452"/>
      <c r="P208" s="453">
        <v>0</v>
      </c>
      <c r="Q208" s="453"/>
      <c r="R208" s="453"/>
      <c r="S208" s="452">
        <v>26980</v>
      </c>
      <c r="T208" s="452"/>
      <c r="U208" s="453">
        <v>0</v>
      </c>
      <c r="V208" s="453"/>
      <c r="W208" s="295">
        <v>100</v>
      </c>
      <c r="X208" s="291"/>
    </row>
    <row r="209" spans="1:24" ht="10.5">
      <c r="A209" s="296"/>
      <c r="B209" s="296"/>
      <c r="C209" s="296"/>
      <c r="D209" s="296"/>
      <c r="E209" s="296"/>
      <c r="F209" s="296"/>
      <c r="G209" s="296"/>
      <c r="H209" s="296"/>
      <c r="I209" s="296"/>
      <c r="J209" s="296"/>
      <c r="K209" s="296"/>
      <c r="L209" s="296"/>
      <c r="M209" s="296"/>
      <c r="N209" s="296"/>
      <c r="O209" s="296"/>
      <c r="P209" s="296"/>
      <c r="Q209" s="296"/>
      <c r="R209" s="296"/>
      <c r="S209" s="296"/>
      <c r="T209" s="296"/>
      <c r="U209" s="296"/>
      <c r="V209" s="296"/>
      <c r="W209" s="296"/>
      <c r="X209" s="291"/>
    </row>
    <row r="210" spans="1:24" ht="12" thickBot="1">
      <c r="A210" s="291"/>
      <c r="B210" s="291"/>
      <c r="C210" s="291"/>
      <c r="D210" s="291"/>
      <c r="E210" s="291"/>
      <c r="F210" s="291"/>
      <c r="G210" s="291"/>
      <c r="H210" s="291"/>
      <c r="I210" s="291"/>
      <c r="J210" s="451">
        <v>1274327.49</v>
      </c>
      <c r="K210" s="451"/>
      <c r="L210" s="451"/>
      <c r="M210" s="451"/>
      <c r="N210" s="451">
        <v>1274327.49</v>
      </c>
      <c r="O210" s="451"/>
      <c r="P210" s="451">
        <v>0</v>
      </c>
      <c r="Q210" s="451"/>
      <c r="R210" s="451"/>
      <c r="S210" s="451">
        <v>1274327.49</v>
      </c>
      <c r="T210" s="451"/>
      <c r="U210" s="451">
        <v>0</v>
      </c>
      <c r="V210" s="451"/>
      <c r="W210" s="291"/>
      <c r="X210" s="291"/>
    </row>
    <row r="211" spans="1:24" ht="11.25" thickTop="1">
      <c r="A211" s="297"/>
      <c r="B211" s="297"/>
      <c r="C211" s="297"/>
      <c r="D211" s="297"/>
      <c r="E211" s="297"/>
      <c r="F211" s="297"/>
      <c r="G211" s="297"/>
      <c r="H211" s="297"/>
      <c r="I211" s="297"/>
      <c r="J211" s="297"/>
      <c r="K211" s="297"/>
      <c r="L211" s="297"/>
      <c r="M211" s="297"/>
      <c r="N211" s="297"/>
      <c r="O211" s="297"/>
      <c r="P211" s="297"/>
      <c r="Q211" s="297"/>
      <c r="R211" s="297"/>
      <c r="S211" s="297"/>
      <c r="T211" s="297"/>
      <c r="U211" s="297"/>
      <c r="V211" s="297"/>
      <c r="W211" s="297"/>
      <c r="X211" s="291"/>
    </row>
    <row r="212" spans="1:24" ht="12">
      <c r="A212" s="449" t="s">
        <v>388</v>
      </c>
      <c r="B212" s="449"/>
      <c r="C212" s="449"/>
      <c r="D212" s="449"/>
      <c r="E212" s="449"/>
      <c r="F212" s="449"/>
      <c r="G212" s="449"/>
      <c r="H212" s="449"/>
      <c r="I212" s="291"/>
      <c r="J212" s="450">
        <v>9948309.31</v>
      </c>
      <c r="K212" s="450"/>
      <c r="L212" s="450"/>
      <c r="M212" s="450"/>
      <c r="N212" s="450">
        <v>9948309.31</v>
      </c>
      <c r="O212" s="450"/>
      <c r="P212" s="451">
        <v>0</v>
      </c>
      <c r="Q212" s="451"/>
      <c r="R212" s="451"/>
      <c r="S212" s="450">
        <v>9948309.31</v>
      </c>
      <c r="T212" s="450"/>
      <c r="U212" s="450">
        <v>0</v>
      </c>
      <c r="V212" s="450"/>
      <c r="W212" s="291"/>
      <c r="X212" s="291"/>
    </row>
    <row r="213" spans="1:24" ht="12">
      <c r="A213" s="430" t="s">
        <v>329</v>
      </c>
      <c r="B213" s="430"/>
      <c r="C213" s="455" t="s">
        <v>389</v>
      </c>
      <c r="D213" s="455"/>
      <c r="E213" s="455"/>
      <c r="F213" s="455"/>
      <c r="G213" s="455"/>
      <c r="H213" s="455"/>
      <c r="I213" s="455"/>
      <c r="J213" s="455"/>
      <c r="K213" s="455"/>
      <c r="L213" s="291"/>
      <c r="M213" s="291"/>
      <c r="N213" s="291"/>
      <c r="O213" s="291"/>
      <c r="P213" s="291"/>
      <c r="Q213" s="291"/>
      <c r="R213" s="291"/>
      <c r="S213" s="291"/>
      <c r="T213" s="291"/>
      <c r="U213" s="291"/>
      <c r="V213" s="291"/>
      <c r="W213" s="291"/>
      <c r="X213" s="291"/>
    </row>
    <row r="214" spans="1:24" ht="10.5">
      <c r="A214" s="430"/>
      <c r="B214" s="430"/>
      <c r="C214" s="291"/>
      <c r="D214" s="291"/>
      <c r="E214" s="291"/>
      <c r="F214" s="291"/>
      <c r="G214" s="291"/>
      <c r="H214" s="291"/>
      <c r="I214" s="291"/>
      <c r="J214" s="291"/>
      <c r="K214" s="291"/>
      <c r="L214" s="291"/>
      <c r="M214" s="291"/>
      <c r="N214" s="291"/>
      <c r="O214" s="291"/>
      <c r="P214" s="291"/>
      <c r="Q214" s="291"/>
      <c r="R214" s="291"/>
      <c r="S214" s="291"/>
      <c r="T214" s="291"/>
      <c r="U214" s="291"/>
      <c r="V214" s="291"/>
      <c r="W214" s="291"/>
      <c r="X214" s="291"/>
    </row>
    <row r="215" spans="1:24" ht="12">
      <c r="A215" s="291"/>
      <c r="B215" s="430" t="s">
        <v>331</v>
      </c>
      <c r="C215" s="430"/>
      <c r="D215" s="455" t="s">
        <v>44</v>
      </c>
      <c r="E215" s="455"/>
      <c r="F215" s="455"/>
      <c r="G215" s="455"/>
      <c r="H215" s="455"/>
      <c r="I215" s="455"/>
      <c r="J215" s="455"/>
      <c r="K215" s="455"/>
      <c r="L215" s="455"/>
      <c r="M215" s="455"/>
      <c r="N215" s="291"/>
      <c r="O215" s="291"/>
      <c r="P215" s="291"/>
      <c r="Q215" s="291"/>
      <c r="R215" s="291"/>
      <c r="S215" s="291"/>
      <c r="T215" s="291"/>
      <c r="U215" s="291"/>
      <c r="V215" s="291"/>
      <c r="W215" s="291"/>
      <c r="X215" s="291"/>
    </row>
    <row r="216" spans="1:24" ht="12">
      <c r="A216" s="430" t="s">
        <v>332</v>
      </c>
      <c r="B216" s="430"/>
      <c r="C216" s="291"/>
      <c r="D216" s="291"/>
      <c r="E216" s="456" t="s">
        <v>333</v>
      </c>
      <c r="F216" s="456"/>
      <c r="G216" s="456"/>
      <c r="H216" s="456"/>
      <c r="I216" s="456"/>
      <c r="J216" s="449" t="s">
        <v>3</v>
      </c>
      <c r="K216" s="449"/>
      <c r="L216" s="449"/>
      <c r="M216" s="449"/>
      <c r="N216" s="449" t="s">
        <v>334</v>
      </c>
      <c r="O216" s="449"/>
      <c r="P216" s="428" t="s">
        <v>335</v>
      </c>
      <c r="Q216" s="428"/>
      <c r="R216" s="291"/>
      <c r="S216" s="449" t="s">
        <v>336</v>
      </c>
      <c r="T216" s="449"/>
      <c r="U216" s="291"/>
      <c r="V216" s="292" t="s">
        <v>337</v>
      </c>
      <c r="W216" s="292" t="s">
        <v>338</v>
      </c>
      <c r="X216" s="291"/>
    </row>
    <row r="217" spans="1:24" ht="12">
      <c r="A217" s="430"/>
      <c r="B217" s="430"/>
      <c r="C217" s="291"/>
      <c r="D217" s="291"/>
      <c r="E217" s="430" t="s">
        <v>339</v>
      </c>
      <c r="F217" s="430"/>
      <c r="G217" s="430"/>
      <c r="H217" s="430"/>
      <c r="I217" s="430"/>
      <c r="J217" s="428" t="s">
        <v>340</v>
      </c>
      <c r="K217" s="428"/>
      <c r="L217" s="428"/>
      <c r="M217" s="428"/>
      <c r="N217" s="428" t="s">
        <v>341</v>
      </c>
      <c r="O217" s="428"/>
      <c r="P217" s="428"/>
      <c r="Q217" s="428"/>
      <c r="R217" s="291"/>
      <c r="S217" s="428" t="s">
        <v>341</v>
      </c>
      <c r="T217" s="428"/>
      <c r="U217" s="291"/>
      <c r="V217" s="293" t="s">
        <v>342</v>
      </c>
      <c r="W217" s="293" t="s">
        <v>336</v>
      </c>
      <c r="X217" s="291"/>
    </row>
    <row r="218" spans="1:24" ht="12">
      <c r="A218" s="454" t="s">
        <v>196</v>
      </c>
      <c r="B218" s="454"/>
      <c r="C218" s="454"/>
      <c r="D218" s="454" t="s">
        <v>390</v>
      </c>
      <c r="E218" s="454"/>
      <c r="F218" s="454"/>
      <c r="G218" s="294" t="s">
        <v>344</v>
      </c>
      <c r="H218" s="454" t="s">
        <v>391</v>
      </c>
      <c r="I218" s="454"/>
      <c r="J218" s="452">
        <v>48021</v>
      </c>
      <c r="K218" s="452"/>
      <c r="L218" s="452"/>
      <c r="M218" s="452"/>
      <c r="N218" s="452">
        <v>36321.46</v>
      </c>
      <c r="O218" s="452"/>
      <c r="P218" s="453">
        <v>11699.54</v>
      </c>
      <c r="Q218" s="453"/>
      <c r="R218" s="453"/>
      <c r="S218" s="452">
        <v>37372</v>
      </c>
      <c r="T218" s="452"/>
      <c r="U218" s="453">
        <v>-1050.54</v>
      </c>
      <c r="V218" s="453"/>
      <c r="W218" s="295">
        <v>77.82</v>
      </c>
      <c r="X218" s="291"/>
    </row>
    <row r="219" spans="1:24" ht="10.5">
      <c r="A219" s="296"/>
      <c r="B219" s="296"/>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1"/>
    </row>
    <row r="220" spans="1:24" ht="12" thickBot="1">
      <c r="A220" s="291"/>
      <c r="B220" s="291"/>
      <c r="C220" s="291"/>
      <c r="D220" s="291"/>
      <c r="E220" s="291"/>
      <c r="F220" s="291"/>
      <c r="G220" s="291"/>
      <c r="H220" s="291"/>
      <c r="I220" s="291"/>
      <c r="J220" s="451">
        <v>48021</v>
      </c>
      <c r="K220" s="451"/>
      <c r="L220" s="451"/>
      <c r="M220" s="451"/>
      <c r="N220" s="451">
        <v>36321.46</v>
      </c>
      <c r="O220" s="451"/>
      <c r="P220" s="451">
        <v>11699.54</v>
      </c>
      <c r="Q220" s="451"/>
      <c r="R220" s="451"/>
      <c r="S220" s="451">
        <v>37372</v>
      </c>
      <c r="T220" s="451"/>
      <c r="U220" s="451">
        <v>-1050.54</v>
      </c>
      <c r="V220" s="451"/>
      <c r="W220" s="291"/>
      <c r="X220" s="291"/>
    </row>
    <row r="221" spans="1:24" ht="11.25" thickTop="1">
      <c r="A221" s="297"/>
      <c r="B221" s="297"/>
      <c r="C221" s="297"/>
      <c r="D221" s="297"/>
      <c r="E221" s="297"/>
      <c r="F221" s="297"/>
      <c r="G221" s="297"/>
      <c r="H221" s="297"/>
      <c r="I221" s="297"/>
      <c r="J221" s="297"/>
      <c r="K221" s="297"/>
      <c r="L221" s="297"/>
      <c r="M221" s="297"/>
      <c r="N221" s="297"/>
      <c r="O221" s="297"/>
      <c r="P221" s="297"/>
      <c r="Q221" s="297"/>
      <c r="R221" s="297"/>
      <c r="S221" s="297"/>
      <c r="T221" s="297"/>
      <c r="U221" s="297"/>
      <c r="V221" s="297"/>
      <c r="W221" s="297"/>
      <c r="X221" s="291"/>
    </row>
    <row r="222" spans="1:24" ht="12">
      <c r="A222" s="449" t="s">
        <v>392</v>
      </c>
      <c r="B222" s="449"/>
      <c r="C222" s="449"/>
      <c r="D222" s="449"/>
      <c r="E222" s="449"/>
      <c r="F222" s="449"/>
      <c r="G222" s="449"/>
      <c r="H222" s="449"/>
      <c r="I222" s="291"/>
      <c r="J222" s="450">
        <v>48021</v>
      </c>
      <c r="K222" s="450"/>
      <c r="L222" s="450"/>
      <c r="M222" s="450"/>
      <c r="N222" s="450">
        <v>36321.46</v>
      </c>
      <c r="O222" s="450"/>
      <c r="P222" s="451">
        <v>11699.54</v>
      </c>
      <c r="Q222" s="451"/>
      <c r="R222" s="451"/>
      <c r="S222" s="450">
        <v>37372</v>
      </c>
      <c r="T222" s="450"/>
      <c r="U222" s="450">
        <v>-1050.54</v>
      </c>
      <c r="V222" s="450"/>
      <c r="W222" s="291"/>
      <c r="X222" s="291"/>
    </row>
    <row r="223" spans="1:24" ht="12">
      <c r="A223" s="430" t="s">
        <v>329</v>
      </c>
      <c r="B223" s="430"/>
      <c r="C223" s="455" t="s">
        <v>393</v>
      </c>
      <c r="D223" s="455"/>
      <c r="E223" s="455"/>
      <c r="F223" s="455"/>
      <c r="G223" s="455"/>
      <c r="H223" s="455"/>
      <c r="I223" s="455"/>
      <c r="J223" s="455"/>
      <c r="K223" s="455"/>
      <c r="L223" s="291"/>
      <c r="M223" s="291"/>
      <c r="N223" s="291"/>
      <c r="O223" s="291"/>
      <c r="P223" s="291"/>
      <c r="Q223" s="291"/>
      <c r="R223" s="291"/>
      <c r="S223" s="291"/>
      <c r="T223" s="291"/>
      <c r="U223" s="291"/>
      <c r="V223" s="291"/>
      <c r="W223" s="291"/>
      <c r="X223" s="291"/>
    </row>
    <row r="224" spans="1:24" ht="10.5">
      <c r="A224" s="430"/>
      <c r="B224" s="430"/>
      <c r="C224" s="291"/>
      <c r="D224" s="291"/>
      <c r="E224" s="291"/>
      <c r="F224" s="291"/>
      <c r="G224" s="291"/>
      <c r="H224" s="291"/>
      <c r="I224" s="291"/>
      <c r="J224" s="291"/>
      <c r="K224" s="291"/>
      <c r="L224" s="291"/>
      <c r="M224" s="291"/>
      <c r="N224" s="291"/>
      <c r="O224" s="291"/>
      <c r="P224" s="291"/>
      <c r="Q224" s="291"/>
      <c r="R224" s="291"/>
      <c r="S224" s="291"/>
      <c r="T224" s="291"/>
      <c r="U224" s="291"/>
      <c r="V224" s="291"/>
      <c r="W224" s="291"/>
      <c r="X224" s="291"/>
    </row>
    <row r="225" spans="1:24" ht="12">
      <c r="A225" s="291"/>
      <c r="B225" s="430" t="s">
        <v>331</v>
      </c>
      <c r="C225" s="430"/>
      <c r="D225" s="455" t="s">
        <v>44</v>
      </c>
      <c r="E225" s="455"/>
      <c r="F225" s="455"/>
      <c r="G225" s="455"/>
      <c r="H225" s="455"/>
      <c r="I225" s="455"/>
      <c r="J225" s="455"/>
      <c r="K225" s="455"/>
      <c r="L225" s="455"/>
      <c r="M225" s="455"/>
      <c r="N225" s="291"/>
      <c r="O225" s="291"/>
      <c r="P225" s="291"/>
      <c r="Q225" s="291"/>
      <c r="R225" s="291"/>
      <c r="S225" s="291"/>
      <c r="T225" s="291"/>
      <c r="U225" s="291"/>
      <c r="V225" s="291"/>
      <c r="W225" s="291"/>
      <c r="X225" s="291"/>
    </row>
    <row r="226" spans="1:24" ht="12">
      <c r="A226" s="430" t="s">
        <v>332</v>
      </c>
      <c r="B226" s="430"/>
      <c r="C226" s="291"/>
      <c r="D226" s="291"/>
      <c r="E226" s="456" t="s">
        <v>333</v>
      </c>
      <c r="F226" s="456"/>
      <c r="G226" s="456"/>
      <c r="H226" s="456"/>
      <c r="I226" s="456"/>
      <c r="J226" s="449" t="s">
        <v>3</v>
      </c>
      <c r="K226" s="449"/>
      <c r="L226" s="449"/>
      <c r="M226" s="449"/>
      <c r="N226" s="449" t="s">
        <v>334</v>
      </c>
      <c r="O226" s="449"/>
      <c r="P226" s="428" t="s">
        <v>335</v>
      </c>
      <c r="Q226" s="428"/>
      <c r="R226" s="291"/>
      <c r="S226" s="449" t="s">
        <v>336</v>
      </c>
      <c r="T226" s="449"/>
      <c r="U226" s="291"/>
      <c r="V226" s="292" t="s">
        <v>337</v>
      </c>
      <c r="W226" s="292" t="s">
        <v>338</v>
      </c>
      <c r="X226" s="291"/>
    </row>
    <row r="227" spans="1:24" ht="12">
      <c r="A227" s="430"/>
      <c r="B227" s="430"/>
      <c r="C227" s="291"/>
      <c r="D227" s="291"/>
      <c r="E227" s="430" t="s">
        <v>339</v>
      </c>
      <c r="F227" s="430"/>
      <c r="G227" s="430"/>
      <c r="H227" s="430"/>
      <c r="I227" s="430"/>
      <c r="J227" s="428" t="s">
        <v>340</v>
      </c>
      <c r="K227" s="428"/>
      <c r="L227" s="428"/>
      <c r="M227" s="428"/>
      <c r="N227" s="428" t="s">
        <v>341</v>
      </c>
      <c r="O227" s="428"/>
      <c r="P227" s="428"/>
      <c r="Q227" s="428"/>
      <c r="R227" s="291"/>
      <c r="S227" s="428" t="s">
        <v>341</v>
      </c>
      <c r="T227" s="428"/>
      <c r="U227" s="291"/>
      <c r="V227" s="293" t="s">
        <v>342</v>
      </c>
      <c r="W227" s="293" t="s">
        <v>336</v>
      </c>
      <c r="X227" s="291"/>
    </row>
    <row r="228" spans="1:24" ht="12">
      <c r="A228" s="454" t="s">
        <v>23</v>
      </c>
      <c r="B228" s="454"/>
      <c r="C228" s="454"/>
      <c r="D228" s="454" t="s">
        <v>394</v>
      </c>
      <c r="E228" s="454"/>
      <c r="F228" s="454"/>
      <c r="G228" s="294" t="s">
        <v>344</v>
      </c>
      <c r="H228" s="454" t="s">
        <v>391</v>
      </c>
      <c r="I228" s="454"/>
      <c r="J228" s="452">
        <v>90751.24</v>
      </c>
      <c r="K228" s="452"/>
      <c r="L228" s="452"/>
      <c r="M228" s="452"/>
      <c r="N228" s="452">
        <v>37368.71</v>
      </c>
      <c r="O228" s="452"/>
      <c r="P228" s="453">
        <v>53382.53</v>
      </c>
      <c r="Q228" s="453"/>
      <c r="R228" s="453"/>
      <c r="S228" s="452">
        <v>37368.71</v>
      </c>
      <c r="T228" s="452"/>
      <c r="U228" s="453">
        <v>0</v>
      </c>
      <c r="V228" s="453"/>
      <c r="W228" s="295">
        <v>41.18</v>
      </c>
      <c r="X228" s="291"/>
    </row>
    <row r="229" spans="1:24" ht="12">
      <c r="A229" s="454" t="s">
        <v>24</v>
      </c>
      <c r="B229" s="454"/>
      <c r="C229" s="454"/>
      <c r="D229" s="454" t="s">
        <v>394</v>
      </c>
      <c r="E229" s="454"/>
      <c r="F229" s="454"/>
      <c r="G229" s="294" t="s">
        <v>344</v>
      </c>
      <c r="H229" s="454" t="s">
        <v>391</v>
      </c>
      <c r="I229" s="454"/>
      <c r="J229" s="452">
        <v>28125.66</v>
      </c>
      <c r="K229" s="452"/>
      <c r="L229" s="452"/>
      <c r="M229" s="452"/>
      <c r="N229" s="452">
        <v>10265.25</v>
      </c>
      <c r="O229" s="452"/>
      <c r="P229" s="453">
        <v>17860.41</v>
      </c>
      <c r="Q229" s="453"/>
      <c r="R229" s="453"/>
      <c r="S229" s="452">
        <v>8609.21</v>
      </c>
      <c r="T229" s="452"/>
      <c r="U229" s="453">
        <v>1656.04</v>
      </c>
      <c r="V229" s="453"/>
      <c r="W229" s="295">
        <v>30.61</v>
      </c>
      <c r="X229" s="291"/>
    </row>
    <row r="230" spans="1:24" ht="12">
      <c r="A230" s="454" t="s">
        <v>25</v>
      </c>
      <c r="B230" s="454"/>
      <c r="C230" s="454"/>
      <c r="D230" s="454" t="s">
        <v>394</v>
      </c>
      <c r="E230" s="454"/>
      <c r="F230" s="454"/>
      <c r="G230" s="294" t="s">
        <v>344</v>
      </c>
      <c r="H230" s="454" t="s">
        <v>391</v>
      </c>
      <c r="I230" s="454"/>
      <c r="J230" s="452">
        <v>18056</v>
      </c>
      <c r="K230" s="452"/>
      <c r="L230" s="452"/>
      <c r="M230" s="452"/>
      <c r="N230" s="452">
        <v>8082</v>
      </c>
      <c r="O230" s="452"/>
      <c r="P230" s="453">
        <v>9974</v>
      </c>
      <c r="Q230" s="453"/>
      <c r="R230" s="453"/>
      <c r="S230" s="452">
        <v>8082</v>
      </c>
      <c r="T230" s="452"/>
      <c r="U230" s="453">
        <v>0</v>
      </c>
      <c r="V230" s="453"/>
      <c r="W230" s="295">
        <v>44.76</v>
      </c>
      <c r="X230" s="291"/>
    </row>
    <row r="231" spans="1:24" ht="12">
      <c r="A231" s="454" t="s">
        <v>26</v>
      </c>
      <c r="B231" s="454"/>
      <c r="C231" s="454"/>
      <c r="D231" s="454" t="s">
        <v>394</v>
      </c>
      <c r="E231" s="454"/>
      <c r="F231" s="454"/>
      <c r="G231" s="294" t="s">
        <v>344</v>
      </c>
      <c r="H231" s="454" t="s">
        <v>391</v>
      </c>
      <c r="I231" s="454"/>
      <c r="J231" s="452">
        <v>3412</v>
      </c>
      <c r="K231" s="452"/>
      <c r="L231" s="452"/>
      <c r="M231" s="452"/>
      <c r="N231" s="452">
        <v>3412</v>
      </c>
      <c r="O231" s="452"/>
      <c r="P231" s="453">
        <v>0</v>
      </c>
      <c r="Q231" s="453"/>
      <c r="R231" s="453"/>
      <c r="S231" s="452">
        <v>3412</v>
      </c>
      <c r="T231" s="452"/>
      <c r="U231" s="453">
        <v>0</v>
      </c>
      <c r="V231" s="453"/>
      <c r="W231" s="295">
        <v>100</v>
      </c>
      <c r="X231" s="291"/>
    </row>
    <row r="232" spans="1:24" ht="12">
      <c r="A232" s="454" t="s">
        <v>27</v>
      </c>
      <c r="B232" s="454"/>
      <c r="C232" s="454"/>
      <c r="D232" s="454" t="s">
        <v>394</v>
      </c>
      <c r="E232" s="454"/>
      <c r="F232" s="454"/>
      <c r="G232" s="294" t="s">
        <v>344</v>
      </c>
      <c r="H232" s="454" t="s">
        <v>391</v>
      </c>
      <c r="I232" s="454"/>
      <c r="J232" s="452">
        <v>84191</v>
      </c>
      <c r="K232" s="452"/>
      <c r="L232" s="452"/>
      <c r="M232" s="452"/>
      <c r="N232" s="452">
        <v>59808</v>
      </c>
      <c r="O232" s="452"/>
      <c r="P232" s="453">
        <v>24383</v>
      </c>
      <c r="Q232" s="453"/>
      <c r="R232" s="453"/>
      <c r="S232" s="452">
        <v>70103</v>
      </c>
      <c r="T232" s="452"/>
      <c r="U232" s="453">
        <v>-10295</v>
      </c>
      <c r="V232" s="453"/>
      <c r="W232" s="295">
        <v>83.27</v>
      </c>
      <c r="X232" s="291"/>
    </row>
    <row r="233" spans="1:24" ht="12">
      <c r="A233" s="454" t="s">
        <v>165</v>
      </c>
      <c r="B233" s="454"/>
      <c r="C233" s="454"/>
      <c r="D233" s="454" t="s">
        <v>394</v>
      </c>
      <c r="E233" s="454"/>
      <c r="F233" s="454"/>
      <c r="G233" s="294" t="s">
        <v>344</v>
      </c>
      <c r="H233" s="454" t="s">
        <v>391</v>
      </c>
      <c r="I233" s="454"/>
      <c r="J233" s="452">
        <v>37380</v>
      </c>
      <c r="K233" s="452"/>
      <c r="L233" s="452"/>
      <c r="M233" s="452"/>
      <c r="N233" s="452">
        <v>27707</v>
      </c>
      <c r="O233" s="452"/>
      <c r="P233" s="453">
        <v>9673</v>
      </c>
      <c r="Q233" s="453"/>
      <c r="R233" s="453"/>
      <c r="S233" s="452">
        <v>30530</v>
      </c>
      <c r="T233" s="452"/>
      <c r="U233" s="453">
        <v>-2823</v>
      </c>
      <c r="V233" s="453"/>
      <c r="W233" s="295">
        <v>81.67</v>
      </c>
      <c r="X233" s="291"/>
    </row>
    <row r="234" spans="1:24" ht="12">
      <c r="A234" s="454" t="s">
        <v>37</v>
      </c>
      <c r="B234" s="454"/>
      <c r="C234" s="454"/>
      <c r="D234" s="454" t="s">
        <v>394</v>
      </c>
      <c r="E234" s="454"/>
      <c r="F234" s="454"/>
      <c r="G234" s="294" t="s">
        <v>344</v>
      </c>
      <c r="H234" s="454" t="s">
        <v>391</v>
      </c>
      <c r="I234" s="454"/>
      <c r="J234" s="452">
        <v>7649.6</v>
      </c>
      <c r="K234" s="452"/>
      <c r="L234" s="452"/>
      <c r="M234" s="452"/>
      <c r="N234" s="452">
        <v>3144</v>
      </c>
      <c r="O234" s="452"/>
      <c r="P234" s="453">
        <v>4505.6</v>
      </c>
      <c r="Q234" s="453"/>
      <c r="R234" s="453"/>
      <c r="S234" s="452">
        <v>3144</v>
      </c>
      <c r="T234" s="452"/>
      <c r="U234" s="453">
        <v>0</v>
      </c>
      <c r="V234" s="453"/>
      <c r="W234" s="295">
        <v>41.1</v>
      </c>
      <c r="X234" s="291"/>
    </row>
    <row r="235" spans="1:24" ht="12">
      <c r="A235" s="454" t="s">
        <v>28</v>
      </c>
      <c r="B235" s="454"/>
      <c r="C235" s="454"/>
      <c r="D235" s="454" t="s">
        <v>394</v>
      </c>
      <c r="E235" s="454"/>
      <c r="F235" s="454"/>
      <c r="G235" s="294" t="s">
        <v>344</v>
      </c>
      <c r="H235" s="454" t="s">
        <v>391</v>
      </c>
      <c r="I235" s="454"/>
      <c r="J235" s="452">
        <v>8269.27</v>
      </c>
      <c r="K235" s="452"/>
      <c r="L235" s="452"/>
      <c r="M235" s="452"/>
      <c r="N235" s="452">
        <v>4395.61</v>
      </c>
      <c r="O235" s="452"/>
      <c r="P235" s="453">
        <v>3873.66</v>
      </c>
      <c r="Q235" s="453"/>
      <c r="R235" s="453"/>
      <c r="S235" s="452">
        <v>4395.61</v>
      </c>
      <c r="T235" s="452"/>
      <c r="U235" s="453">
        <v>0</v>
      </c>
      <c r="V235" s="453"/>
      <c r="W235" s="295">
        <v>53.16</v>
      </c>
      <c r="X235" s="291"/>
    </row>
    <row r="236" spans="1:24" ht="12">
      <c r="A236" s="454" t="s">
        <v>29</v>
      </c>
      <c r="B236" s="454"/>
      <c r="C236" s="454"/>
      <c r="D236" s="454" t="s">
        <v>394</v>
      </c>
      <c r="E236" s="454"/>
      <c r="F236" s="454"/>
      <c r="G236" s="294" t="s">
        <v>344</v>
      </c>
      <c r="H236" s="454" t="s">
        <v>391</v>
      </c>
      <c r="I236" s="454"/>
      <c r="J236" s="452">
        <v>97956.1</v>
      </c>
      <c r="K236" s="452"/>
      <c r="L236" s="452"/>
      <c r="M236" s="452"/>
      <c r="N236" s="452">
        <v>39426.4</v>
      </c>
      <c r="O236" s="452"/>
      <c r="P236" s="453">
        <v>58529.7</v>
      </c>
      <c r="Q236" s="453"/>
      <c r="R236" s="453"/>
      <c r="S236" s="452">
        <v>52304.71</v>
      </c>
      <c r="T236" s="452"/>
      <c r="U236" s="453">
        <v>-12878.31</v>
      </c>
      <c r="V236" s="453"/>
      <c r="W236" s="295">
        <v>53.4</v>
      </c>
      <c r="X236" s="291"/>
    </row>
    <row r="237" spans="1:24" ht="12">
      <c r="A237" s="454" t="s">
        <v>30</v>
      </c>
      <c r="B237" s="454"/>
      <c r="C237" s="454"/>
      <c r="D237" s="454" t="s">
        <v>394</v>
      </c>
      <c r="E237" s="454"/>
      <c r="F237" s="454"/>
      <c r="G237" s="294" t="s">
        <v>344</v>
      </c>
      <c r="H237" s="454" t="s">
        <v>391</v>
      </c>
      <c r="I237" s="454"/>
      <c r="J237" s="452">
        <v>19938</v>
      </c>
      <c r="K237" s="452"/>
      <c r="L237" s="452"/>
      <c r="M237" s="452"/>
      <c r="N237" s="452">
        <v>8000</v>
      </c>
      <c r="O237" s="452"/>
      <c r="P237" s="453">
        <v>11938</v>
      </c>
      <c r="Q237" s="453"/>
      <c r="R237" s="453"/>
      <c r="S237" s="452">
        <v>11567</v>
      </c>
      <c r="T237" s="452"/>
      <c r="U237" s="453">
        <v>-3567</v>
      </c>
      <c r="V237" s="453"/>
      <c r="W237" s="295">
        <v>58.01</v>
      </c>
      <c r="X237" s="291"/>
    </row>
    <row r="238" spans="1:24" ht="12">
      <c r="A238" s="454" t="s">
        <v>31</v>
      </c>
      <c r="B238" s="454"/>
      <c r="C238" s="454"/>
      <c r="D238" s="454" t="s">
        <v>394</v>
      </c>
      <c r="E238" s="454"/>
      <c r="F238" s="454"/>
      <c r="G238" s="294" t="s">
        <v>344</v>
      </c>
      <c r="H238" s="454" t="s">
        <v>391</v>
      </c>
      <c r="I238" s="454"/>
      <c r="J238" s="452">
        <v>61657</v>
      </c>
      <c r="K238" s="452"/>
      <c r="L238" s="452"/>
      <c r="M238" s="452"/>
      <c r="N238" s="452">
        <v>39338</v>
      </c>
      <c r="O238" s="452"/>
      <c r="P238" s="453">
        <v>22319</v>
      </c>
      <c r="Q238" s="453"/>
      <c r="R238" s="453"/>
      <c r="S238" s="452">
        <v>42145</v>
      </c>
      <c r="T238" s="452"/>
      <c r="U238" s="453">
        <v>-2807</v>
      </c>
      <c r="V238" s="453"/>
      <c r="W238" s="295">
        <v>68.35</v>
      </c>
      <c r="X238" s="291"/>
    </row>
    <row r="239" spans="1:24" ht="12">
      <c r="A239" s="454" t="s">
        <v>32</v>
      </c>
      <c r="B239" s="454"/>
      <c r="C239" s="454"/>
      <c r="D239" s="454" t="s">
        <v>394</v>
      </c>
      <c r="E239" s="454"/>
      <c r="F239" s="454"/>
      <c r="G239" s="294" t="s">
        <v>344</v>
      </c>
      <c r="H239" s="454" t="s">
        <v>391</v>
      </c>
      <c r="I239" s="454"/>
      <c r="J239" s="452">
        <v>21032</v>
      </c>
      <c r="K239" s="452"/>
      <c r="L239" s="452"/>
      <c r="M239" s="452"/>
      <c r="N239" s="452">
        <v>18066</v>
      </c>
      <c r="O239" s="452"/>
      <c r="P239" s="453">
        <v>2966</v>
      </c>
      <c r="Q239" s="453"/>
      <c r="R239" s="453"/>
      <c r="S239" s="452">
        <v>18375</v>
      </c>
      <c r="T239" s="452"/>
      <c r="U239" s="453">
        <v>-309</v>
      </c>
      <c r="V239" s="453"/>
      <c r="W239" s="295">
        <v>87.37</v>
      </c>
      <c r="X239" s="291"/>
    </row>
    <row r="240" spans="1:24" ht="12">
      <c r="A240" s="454" t="s">
        <v>33</v>
      </c>
      <c r="B240" s="454"/>
      <c r="C240" s="454"/>
      <c r="D240" s="454" t="s">
        <v>394</v>
      </c>
      <c r="E240" s="454"/>
      <c r="F240" s="454"/>
      <c r="G240" s="294" t="s">
        <v>344</v>
      </c>
      <c r="H240" s="454" t="s">
        <v>391</v>
      </c>
      <c r="I240" s="454"/>
      <c r="J240" s="452">
        <v>67819</v>
      </c>
      <c r="K240" s="452"/>
      <c r="L240" s="452"/>
      <c r="M240" s="452"/>
      <c r="N240" s="452">
        <v>29608</v>
      </c>
      <c r="O240" s="452"/>
      <c r="P240" s="453">
        <v>38211</v>
      </c>
      <c r="Q240" s="453"/>
      <c r="R240" s="453"/>
      <c r="S240" s="452">
        <v>29608</v>
      </c>
      <c r="T240" s="452"/>
      <c r="U240" s="453">
        <v>0</v>
      </c>
      <c r="V240" s="453"/>
      <c r="W240" s="295">
        <v>43.66</v>
      </c>
      <c r="X240" s="291"/>
    </row>
    <row r="241" spans="1:24" ht="10.5">
      <c r="A241" s="296"/>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1"/>
    </row>
    <row r="242" spans="1:24" ht="11.25">
      <c r="A242" s="291"/>
      <c r="B242" s="291"/>
      <c r="C242" s="291"/>
      <c r="D242" s="291"/>
      <c r="E242" s="291"/>
      <c r="F242" s="291"/>
      <c r="G242" s="291"/>
      <c r="H242" s="291"/>
      <c r="I242" s="291"/>
      <c r="J242" s="451">
        <v>546236.87</v>
      </c>
      <c r="K242" s="451"/>
      <c r="L242" s="451"/>
      <c r="M242" s="451"/>
      <c r="N242" s="451">
        <v>288620.97</v>
      </c>
      <c r="O242" s="451"/>
      <c r="P242" s="451">
        <v>257615.9</v>
      </c>
      <c r="Q242" s="451"/>
      <c r="R242" s="451"/>
      <c r="S242" s="451">
        <v>319644.24</v>
      </c>
      <c r="T242" s="451"/>
      <c r="U242" s="451">
        <v>-31023.27</v>
      </c>
      <c r="V242" s="451"/>
      <c r="W242" s="291"/>
      <c r="X242" s="291"/>
    </row>
    <row r="243" spans="1:24" ht="12">
      <c r="A243" s="291"/>
      <c r="B243" s="430" t="s">
        <v>331</v>
      </c>
      <c r="C243" s="430"/>
      <c r="D243" s="455" t="s">
        <v>348</v>
      </c>
      <c r="E243" s="455"/>
      <c r="F243" s="455"/>
      <c r="G243" s="455"/>
      <c r="H243" s="455"/>
      <c r="I243" s="455"/>
      <c r="J243" s="455"/>
      <c r="K243" s="455"/>
      <c r="L243" s="455"/>
      <c r="M243" s="455"/>
      <c r="N243" s="291"/>
      <c r="O243" s="291"/>
      <c r="P243" s="291"/>
      <c r="Q243" s="291"/>
      <c r="R243" s="291"/>
      <c r="S243" s="291"/>
      <c r="T243" s="291"/>
      <c r="U243" s="291"/>
      <c r="V243" s="291"/>
      <c r="W243" s="291"/>
      <c r="X243" s="291"/>
    </row>
    <row r="244" spans="1:24" ht="12">
      <c r="A244" s="430" t="s">
        <v>332</v>
      </c>
      <c r="B244" s="430"/>
      <c r="C244" s="291"/>
      <c r="D244" s="291"/>
      <c r="E244" s="456" t="s">
        <v>333</v>
      </c>
      <c r="F244" s="456"/>
      <c r="G244" s="456"/>
      <c r="H244" s="456"/>
      <c r="I244" s="456"/>
      <c r="J244" s="449" t="s">
        <v>3</v>
      </c>
      <c r="K244" s="449"/>
      <c r="L244" s="449"/>
      <c r="M244" s="449"/>
      <c r="N244" s="449" t="s">
        <v>334</v>
      </c>
      <c r="O244" s="449"/>
      <c r="P244" s="428" t="s">
        <v>335</v>
      </c>
      <c r="Q244" s="428"/>
      <c r="R244" s="291"/>
      <c r="S244" s="449" t="s">
        <v>336</v>
      </c>
      <c r="T244" s="449"/>
      <c r="U244" s="291"/>
      <c r="V244" s="292" t="s">
        <v>337</v>
      </c>
      <c r="W244" s="292" t="s">
        <v>338</v>
      </c>
      <c r="X244" s="291"/>
    </row>
    <row r="245" spans="1:24" ht="12">
      <c r="A245" s="430"/>
      <c r="B245" s="430"/>
      <c r="C245" s="291"/>
      <c r="D245" s="291"/>
      <c r="E245" s="430" t="s">
        <v>339</v>
      </c>
      <c r="F245" s="430"/>
      <c r="G245" s="430"/>
      <c r="H245" s="430"/>
      <c r="I245" s="430"/>
      <c r="J245" s="428" t="s">
        <v>340</v>
      </c>
      <c r="K245" s="428"/>
      <c r="L245" s="428"/>
      <c r="M245" s="428"/>
      <c r="N245" s="428" t="s">
        <v>341</v>
      </c>
      <c r="O245" s="428"/>
      <c r="P245" s="428"/>
      <c r="Q245" s="428"/>
      <c r="R245" s="291"/>
      <c r="S245" s="428" t="s">
        <v>341</v>
      </c>
      <c r="T245" s="428"/>
      <c r="U245" s="291"/>
      <c r="V245" s="293" t="s">
        <v>342</v>
      </c>
      <c r="W245" s="293" t="s">
        <v>336</v>
      </c>
      <c r="X245" s="291"/>
    </row>
    <row r="246" spans="1:24" ht="12">
      <c r="A246" s="454" t="s">
        <v>23</v>
      </c>
      <c r="B246" s="454"/>
      <c r="C246" s="454"/>
      <c r="D246" s="454" t="s">
        <v>394</v>
      </c>
      <c r="E246" s="454"/>
      <c r="F246" s="454"/>
      <c r="G246" s="294" t="s">
        <v>344</v>
      </c>
      <c r="H246" s="454" t="s">
        <v>391</v>
      </c>
      <c r="I246" s="454"/>
      <c r="J246" s="452">
        <v>722257.02</v>
      </c>
      <c r="K246" s="452"/>
      <c r="L246" s="452"/>
      <c r="M246" s="452"/>
      <c r="N246" s="452">
        <v>695448</v>
      </c>
      <c r="O246" s="452"/>
      <c r="P246" s="453">
        <v>26809.02</v>
      </c>
      <c r="Q246" s="453"/>
      <c r="R246" s="453"/>
      <c r="S246" s="452">
        <v>695448</v>
      </c>
      <c r="T246" s="452"/>
      <c r="U246" s="453">
        <v>0</v>
      </c>
      <c r="V246" s="453"/>
      <c r="W246" s="295">
        <v>96.29</v>
      </c>
      <c r="X246" s="291"/>
    </row>
    <row r="247" spans="1:24" ht="12">
      <c r="A247" s="454" t="s">
        <v>24</v>
      </c>
      <c r="B247" s="454"/>
      <c r="C247" s="454"/>
      <c r="D247" s="454" t="s">
        <v>394</v>
      </c>
      <c r="E247" s="454"/>
      <c r="F247" s="454"/>
      <c r="G247" s="294" t="s">
        <v>344</v>
      </c>
      <c r="H247" s="454" t="s">
        <v>391</v>
      </c>
      <c r="I247" s="454"/>
      <c r="J247" s="452">
        <v>211441.18</v>
      </c>
      <c r="K247" s="452"/>
      <c r="L247" s="452"/>
      <c r="M247" s="452"/>
      <c r="N247" s="452">
        <v>162793</v>
      </c>
      <c r="O247" s="452"/>
      <c r="P247" s="453">
        <v>48648.18</v>
      </c>
      <c r="Q247" s="453"/>
      <c r="R247" s="453"/>
      <c r="S247" s="452">
        <v>162793</v>
      </c>
      <c r="T247" s="452"/>
      <c r="U247" s="453">
        <v>0</v>
      </c>
      <c r="V247" s="453"/>
      <c r="W247" s="295">
        <v>76.99</v>
      </c>
      <c r="X247" s="291"/>
    </row>
    <row r="248" spans="1:24" ht="12">
      <c r="A248" s="454" t="s">
        <v>25</v>
      </c>
      <c r="B248" s="454"/>
      <c r="C248" s="454"/>
      <c r="D248" s="454" t="s">
        <v>394</v>
      </c>
      <c r="E248" s="454"/>
      <c r="F248" s="454"/>
      <c r="G248" s="294" t="s">
        <v>344</v>
      </c>
      <c r="H248" s="454" t="s">
        <v>391</v>
      </c>
      <c r="I248" s="454"/>
      <c r="J248" s="452">
        <v>233082</v>
      </c>
      <c r="K248" s="452"/>
      <c r="L248" s="452"/>
      <c r="M248" s="452"/>
      <c r="N248" s="452">
        <v>176286</v>
      </c>
      <c r="O248" s="452"/>
      <c r="P248" s="453">
        <v>56796</v>
      </c>
      <c r="Q248" s="453"/>
      <c r="R248" s="453"/>
      <c r="S248" s="452">
        <v>193010</v>
      </c>
      <c r="T248" s="452"/>
      <c r="U248" s="453">
        <v>-16724</v>
      </c>
      <c r="V248" s="453"/>
      <c r="W248" s="295">
        <v>82.81</v>
      </c>
      <c r="X248" s="291"/>
    </row>
    <row r="249" spans="1:24" ht="12">
      <c r="A249" s="454" t="s">
        <v>26</v>
      </c>
      <c r="B249" s="454"/>
      <c r="C249" s="454"/>
      <c r="D249" s="454" t="s">
        <v>394</v>
      </c>
      <c r="E249" s="454"/>
      <c r="F249" s="454"/>
      <c r="G249" s="294" t="s">
        <v>344</v>
      </c>
      <c r="H249" s="454" t="s">
        <v>391</v>
      </c>
      <c r="I249" s="454"/>
      <c r="J249" s="452">
        <v>30983</v>
      </c>
      <c r="K249" s="452"/>
      <c r="L249" s="452"/>
      <c r="M249" s="452"/>
      <c r="N249" s="452">
        <v>30509</v>
      </c>
      <c r="O249" s="452"/>
      <c r="P249" s="453">
        <v>474</v>
      </c>
      <c r="Q249" s="453"/>
      <c r="R249" s="453"/>
      <c r="S249" s="452">
        <v>30509</v>
      </c>
      <c r="T249" s="452"/>
      <c r="U249" s="453">
        <v>0</v>
      </c>
      <c r="V249" s="453"/>
      <c r="W249" s="295">
        <v>98.47</v>
      </c>
      <c r="X249" s="291"/>
    </row>
    <row r="250" spans="1:24" ht="12">
      <c r="A250" s="454" t="s">
        <v>27</v>
      </c>
      <c r="B250" s="454"/>
      <c r="C250" s="454"/>
      <c r="D250" s="454" t="s">
        <v>394</v>
      </c>
      <c r="E250" s="454"/>
      <c r="F250" s="454"/>
      <c r="G250" s="294" t="s">
        <v>344</v>
      </c>
      <c r="H250" s="454" t="s">
        <v>391</v>
      </c>
      <c r="I250" s="454"/>
      <c r="J250" s="452">
        <v>653312</v>
      </c>
      <c r="K250" s="452"/>
      <c r="L250" s="452"/>
      <c r="M250" s="452"/>
      <c r="N250" s="452">
        <v>528357</v>
      </c>
      <c r="O250" s="452"/>
      <c r="P250" s="453">
        <v>124955</v>
      </c>
      <c r="Q250" s="453"/>
      <c r="R250" s="453"/>
      <c r="S250" s="452">
        <v>549107</v>
      </c>
      <c r="T250" s="452"/>
      <c r="U250" s="453">
        <v>-20750</v>
      </c>
      <c r="V250" s="453"/>
      <c r="W250" s="295">
        <v>84.05</v>
      </c>
      <c r="X250" s="291"/>
    </row>
    <row r="251" spans="1:24" ht="12">
      <c r="A251" s="454" t="s">
        <v>165</v>
      </c>
      <c r="B251" s="454"/>
      <c r="C251" s="454"/>
      <c r="D251" s="454" t="s">
        <v>394</v>
      </c>
      <c r="E251" s="454"/>
      <c r="F251" s="454"/>
      <c r="G251" s="294" t="s">
        <v>344</v>
      </c>
      <c r="H251" s="454" t="s">
        <v>391</v>
      </c>
      <c r="I251" s="454"/>
      <c r="J251" s="452">
        <v>353375.92</v>
      </c>
      <c r="K251" s="452"/>
      <c r="L251" s="452"/>
      <c r="M251" s="452"/>
      <c r="N251" s="452">
        <v>225695</v>
      </c>
      <c r="O251" s="452"/>
      <c r="P251" s="453">
        <v>127680.92</v>
      </c>
      <c r="Q251" s="453"/>
      <c r="R251" s="453"/>
      <c r="S251" s="452">
        <v>236408</v>
      </c>
      <c r="T251" s="452"/>
      <c r="U251" s="453">
        <v>-10713</v>
      </c>
      <c r="V251" s="453"/>
      <c r="W251" s="295">
        <v>66.9</v>
      </c>
      <c r="X251" s="291"/>
    </row>
    <row r="252" spans="1:24" ht="12">
      <c r="A252" s="454" t="s">
        <v>37</v>
      </c>
      <c r="B252" s="454"/>
      <c r="C252" s="454"/>
      <c r="D252" s="454" t="s">
        <v>394</v>
      </c>
      <c r="E252" s="454"/>
      <c r="F252" s="454"/>
      <c r="G252" s="294" t="s">
        <v>344</v>
      </c>
      <c r="H252" s="454" t="s">
        <v>391</v>
      </c>
      <c r="I252" s="454"/>
      <c r="J252" s="452">
        <v>56177.31</v>
      </c>
      <c r="K252" s="452"/>
      <c r="L252" s="452"/>
      <c r="M252" s="452"/>
      <c r="N252" s="452">
        <v>54415</v>
      </c>
      <c r="O252" s="452"/>
      <c r="P252" s="453">
        <v>1762.31</v>
      </c>
      <c r="Q252" s="453"/>
      <c r="R252" s="453"/>
      <c r="S252" s="452">
        <v>54715</v>
      </c>
      <c r="T252" s="452"/>
      <c r="U252" s="453">
        <v>-300</v>
      </c>
      <c r="V252" s="453"/>
      <c r="W252" s="295">
        <v>97.4</v>
      </c>
      <c r="X252" s="291"/>
    </row>
    <row r="253" spans="1:24" ht="12">
      <c r="A253" s="454" t="s">
        <v>28</v>
      </c>
      <c r="B253" s="454"/>
      <c r="C253" s="454"/>
      <c r="D253" s="454" t="s">
        <v>394</v>
      </c>
      <c r="E253" s="454"/>
      <c r="F253" s="454"/>
      <c r="G253" s="294" t="s">
        <v>344</v>
      </c>
      <c r="H253" s="454" t="s">
        <v>391</v>
      </c>
      <c r="I253" s="454"/>
      <c r="J253" s="452">
        <v>70641</v>
      </c>
      <c r="K253" s="452"/>
      <c r="L253" s="452"/>
      <c r="M253" s="452"/>
      <c r="N253" s="452">
        <v>70438</v>
      </c>
      <c r="O253" s="452"/>
      <c r="P253" s="453">
        <v>203</v>
      </c>
      <c r="Q253" s="453"/>
      <c r="R253" s="453"/>
      <c r="S253" s="452">
        <v>70438</v>
      </c>
      <c r="T253" s="452"/>
      <c r="U253" s="453">
        <v>0</v>
      </c>
      <c r="V253" s="453"/>
      <c r="W253" s="295">
        <v>99.71</v>
      </c>
      <c r="X253" s="291"/>
    </row>
    <row r="254" spans="1:24" ht="12">
      <c r="A254" s="454" t="s">
        <v>29</v>
      </c>
      <c r="B254" s="454"/>
      <c r="C254" s="454"/>
      <c r="D254" s="454" t="s">
        <v>394</v>
      </c>
      <c r="E254" s="454"/>
      <c r="F254" s="454"/>
      <c r="G254" s="294" t="s">
        <v>344</v>
      </c>
      <c r="H254" s="454" t="s">
        <v>391</v>
      </c>
      <c r="I254" s="454"/>
      <c r="J254" s="452">
        <v>689683.93</v>
      </c>
      <c r="K254" s="452"/>
      <c r="L254" s="452"/>
      <c r="M254" s="452"/>
      <c r="N254" s="452">
        <v>421132</v>
      </c>
      <c r="O254" s="452"/>
      <c r="P254" s="453">
        <v>268551.93</v>
      </c>
      <c r="Q254" s="453"/>
      <c r="R254" s="453"/>
      <c r="S254" s="452">
        <v>524321</v>
      </c>
      <c r="T254" s="452"/>
      <c r="U254" s="453">
        <v>-103189</v>
      </c>
      <c r="V254" s="453"/>
      <c r="W254" s="295">
        <v>76.02</v>
      </c>
      <c r="X254" s="291"/>
    </row>
    <row r="255" spans="1:24" ht="12">
      <c r="A255" s="454" t="s">
        <v>30</v>
      </c>
      <c r="B255" s="454"/>
      <c r="C255" s="454"/>
      <c r="D255" s="454" t="s">
        <v>394</v>
      </c>
      <c r="E255" s="454"/>
      <c r="F255" s="454"/>
      <c r="G255" s="294" t="s">
        <v>344</v>
      </c>
      <c r="H255" s="454" t="s">
        <v>391</v>
      </c>
      <c r="I255" s="454"/>
      <c r="J255" s="452">
        <v>197025.8</v>
      </c>
      <c r="K255" s="452"/>
      <c r="L255" s="452"/>
      <c r="M255" s="452"/>
      <c r="N255" s="452">
        <v>148046</v>
      </c>
      <c r="O255" s="452"/>
      <c r="P255" s="453">
        <v>48979.8</v>
      </c>
      <c r="Q255" s="453"/>
      <c r="R255" s="453"/>
      <c r="S255" s="452">
        <v>152216</v>
      </c>
      <c r="T255" s="452"/>
      <c r="U255" s="453">
        <v>-4170</v>
      </c>
      <c r="V255" s="453"/>
      <c r="W255" s="295">
        <v>77.26</v>
      </c>
      <c r="X255" s="291"/>
    </row>
    <row r="256" spans="1:24" ht="12">
      <c r="A256" s="454" t="s">
        <v>31</v>
      </c>
      <c r="B256" s="454"/>
      <c r="C256" s="454"/>
      <c r="D256" s="454" t="s">
        <v>394</v>
      </c>
      <c r="E256" s="454"/>
      <c r="F256" s="454"/>
      <c r="G256" s="294" t="s">
        <v>344</v>
      </c>
      <c r="H256" s="454" t="s">
        <v>391</v>
      </c>
      <c r="I256" s="454"/>
      <c r="J256" s="452">
        <v>611672</v>
      </c>
      <c r="K256" s="452"/>
      <c r="L256" s="452"/>
      <c r="M256" s="452"/>
      <c r="N256" s="452">
        <v>584990</v>
      </c>
      <c r="O256" s="452"/>
      <c r="P256" s="453">
        <v>26682</v>
      </c>
      <c r="Q256" s="453"/>
      <c r="R256" s="453"/>
      <c r="S256" s="452">
        <v>584990</v>
      </c>
      <c r="T256" s="452"/>
      <c r="U256" s="453">
        <v>0</v>
      </c>
      <c r="V256" s="453"/>
      <c r="W256" s="295">
        <v>95.64</v>
      </c>
      <c r="X256" s="291"/>
    </row>
    <row r="257" spans="1:24" ht="12">
      <c r="A257" s="454" t="s">
        <v>32</v>
      </c>
      <c r="B257" s="454"/>
      <c r="C257" s="454"/>
      <c r="D257" s="454" t="s">
        <v>394</v>
      </c>
      <c r="E257" s="454"/>
      <c r="F257" s="454"/>
      <c r="G257" s="294" t="s">
        <v>344</v>
      </c>
      <c r="H257" s="454" t="s">
        <v>391</v>
      </c>
      <c r="I257" s="454"/>
      <c r="J257" s="452">
        <v>208232.16</v>
      </c>
      <c r="K257" s="452"/>
      <c r="L257" s="452"/>
      <c r="M257" s="452"/>
      <c r="N257" s="452">
        <v>70643.16</v>
      </c>
      <c r="O257" s="452"/>
      <c r="P257" s="453">
        <v>137589</v>
      </c>
      <c r="Q257" s="453"/>
      <c r="R257" s="453"/>
      <c r="S257" s="452">
        <v>71819.16</v>
      </c>
      <c r="T257" s="452"/>
      <c r="U257" s="453">
        <v>-1176</v>
      </c>
      <c r="V257" s="453"/>
      <c r="W257" s="295">
        <v>34.49</v>
      </c>
      <c r="X257" s="291"/>
    </row>
    <row r="258" spans="1:24" ht="12">
      <c r="A258" s="454" t="s">
        <v>33</v>
      </c>
      <c r="B258" s="454"/>
      <c r="C258" s="454"/>
      <c r="D258" s="454" t="s">
        <v>394</v>
      </c>
      <c r="E258" s="454"/>
      <c r="F258" s="454"/>
      <c r="G258" s="294" t="s">
        <v>344</v>
      </c>
      <c r="H258" s="454" t="s">
        <v>391</v>
      </c>
      <c r="I258" s="454"/>
      <c r="J258" s="452">
        <v>519031.16</v>
      </c>
      <c r="K258" s="452"/>
      <c r="L258" s="452"/>
      <c r="M258" s="452"/>
      <c r="N258" s="452">
        <v>426806.5</v>
      </c>
      <c r="O258" s="452"/>
      <c r="P258" s="453">
        <v>92224.66</v>
      </c>
      <c r="Q258" s="453"/>
      <c r="R258" s="453"/>
      <c r="S258" s="452">
        <v>451217.5</v>
      </c>
      <c r="T258" s="452"/>
      <c r="U258" s="453">
        <v>-24411</v>
      </c>
      <c r="V258" s="453"/>
      <c r="W258" s="295">
        <v>86.93</v>
      </c>
      <c r="X258" s="291"/>
    </row>
    <row r="259" spans="1:24" ht="10.5">
      <c r="A259" s="296"/>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1"/>
    </row>
    <row r="260" spans="1:24" ht="11.25">
      <c r="A260" s="291"/>
      <c r="B260" s="291"/>
      <c r="C260" s="291"/>
      <c r="D260" s="291"/>
      <c r="E260" s="291"/>
      <c r="F260" s="291"/>
      <c r="G260" s="291"/>
      <c r="H260" s="291"/>
      <c r="I260" s="291"/>
      <c r="J260" s="451">
        <v>4556914.48</v>
      </c>
      <c r="K260" s="451"/>
      <c r="L260" s="451"/>
      <c r="M260" s="451"/>
      <c r="N260" s="451">
        <v>3595558.66</v>
      </c>
      <c r="O260" s="451"/>
      <c r="P260" s="451">
        <v>961355.82</v>
      </c>
      <c r="Q260" s="451"/>
      <c r="R260" s="451"/>
      <c r="S260" s="451">
        <v>3776991.66</v>
      </c>
      <c r="T260" s="451"/>
      <c r="U260" s="451">
        <v>-181433</v>
      </c>
      <c r="V260" s="451"/>
      <c r="W260" s="291"/>
      <c r="X260" s="291"/>
    </row>
    <row r="261" spans="1:24" ht="12">
      <c r="A261" s="291"/>
      <c r="B261" s="430" t="s">
        <v>331</v>
      </c>
      <c r="C261" s="430"/>
      <c r="D261" s="455" t="s">
        <v>187</v>
      </c>
      <c r="E261" s="455"/>
      <c r="F261" s="455"/>
      <c r="G261" s="455"/>
      <c r="H261" s="455"/>
      <c r="I261" s="455"/>
      <c r="J261" s="455"/>
      <c r="K261" s="455"/>
      <c r="L261" s="455"/>
      <c r="M261" s="455"/>
      <c r="N261" s="291"/>
      <c r="O261" s="291"/>
      <c r="P261" s="291"/>
      <c r="Q261" s="291"/>
      <c r="R261" s="291"/>
      <c r="S261" s="291"/>
      <c r="T261" s="291"/>
      <c r="U261" s="291"/>
      <c r="V261" s="291"/>
      <c r="W261" s="291"/>
      <c r="X261" s="291"/>
    </row>
    <row r="262" spans="1:24" ht="12">
      <c r="A262" s="430" t="s">
        <v>332</v>
      </c>
      <c r="B262" s="430"/>
      <c r="C262" s="291"/>
      <c r="D262" s="291"/>
      <c r="E262" s="456" t="s">
        <v>333</v>
      </c>
      <c r="F262" s="456"/>
      <c r="G262" s="456"/>
      <c r="H262" s="456"/>
      <c r="I262" s="456"/>
      <c r="J262" s="449" t="s">
        <v>3</v>
      </c>
      <c r="K262" s="449"/>
      <c r="L262" s="449"/>
      <c r="M262" s="449"/>
      <c r="N262" s="449" t="s">
        <v>334</v>
      </c>
      <c r="O262" s="449"/>
      <c r="P262" s="428" t="s">
        <v>335</v>
      </c>
      <c r="Q262" s="428"/>
      <c r="R262" s="291"/>
      <c r="S262" s="449" t="s">
        <v>336</v>
      </c>
      <c r="T262" s="449"/>
      <c r="U262" s="291"/>
      <c r="V262" s="292" t="s">
        <v>337</v>
      </c>
      <c r="W262" s="292" t="s">
        <v>338</v>
      </c>
      <c r="X262" s="291"/>
    </row>
    <row r="263" spans="1:24" ht="12">
      <c r="A263" s="430"/>
      <c r="B263" s="430"/>
      <c r="C263" s="291"/>
      <c r="D263" s="291"/>
      <c r="E263" s="430" t="s">
        <v>339</v>
      </c>
      <c r="F263" s="430"/>
      <c r="G263" s="430"/>
      <c r="H263" s="430"/>
      <c r="I263" s="430"/>
      <c r="J263" s="428" t="s">
        <v>340</v>
      </c>
      <c r="K263" s="428"/>
      <c r="L263" s="428"/>
      <c r="M263" s="428"/>
      <c r="N263" s="428" t="s">
        <v>341</v>
      </c>
      <c r="O263" s="428"/>
      <c r="P263" s="428"/>
      <c r="Q263" s="428"/>
      <c r="R263" s="291"/>
      <c r="S263" s="428" t="s">
        <v>341</v>
      </c>
      <c r="T263" s="428"/>
      <c r="U263" s="291"/>
      <c r="V263" s="293" t="s">
        <v>342</v>
      </c>
      <c r="W263" s="293" t="s">
        <v>336</v>
      </c>
      <c r="X263" s="291"/>
    </row>
    <row r="264" spans="1:24" ht="12">
      <c r="A264" s="454" t="s">
        <v>23</v>
      </c>
      <c r="B264" s="454"/>
      <c r="C264" s="454"/>
      <c r="D264" s="454" t="s">
        <v>394</v>
      </c>
      <c r="E264" s="454"/>
      <c r="F264" s="454"/>
      <c r="G264" s="294" t="s">
        <v>344</v>
      </c>
      <c r="H264" s="454" t="s">
        <v>391</v>
      </c>
      <c r="I264" s="454"/>
      <c r="J264" s="452">
        <v>94529.13</v>
      </c>
      <c r="K264" s="452"/>
      <c r="L264" s="452"/>
      <c r="M264" s="452"/>
      <c r="N264" s="452">
        <v>77537.83</v>
      </c>
      <c r="O264" s="452"/>
      <c r="P264" s="453">
        <v>16991.3</v>
      </c>
      <c r="Q264" s="453"/>
      <c r="R264" s="453"/>
      <c r="S264" s="452">
        <v>77537.83</v>
      </c>
      <c r="T264" s="452"/>
      <c r="U264" s="453">
        <v>0</v>
      </c>
      <c r="V264" s="453"/>
      <c r="W264" s="295">
        <v>82.03</v>
      </c>
      <c r="X264" s="291"/>
    </row>
    <row r="265" spans="1:24" ht="12">
      <c r="A265" s="454" t="s">
        <v>24</v>
      </c>
      <c r="B265" s="454"/>
      <c r="C265" s="454"/>
      <c r="D265" s="454" t="s">
        <v>394</v>
      </c>
      <c r="E265" s="454"/>
      <c r="F265" s="454"/>
      <c r="G265" s="294" t="s">
        <v>344</v>
      </c>
      <c r="H265" s="454" t="s">
        <v>391</v>
      </c>
      <c r="I265" s="454"/>
      <c r="J265" s="452">
        <v>41693.75</v>
      </c>
      <c r="K265" s="452"/>
      <c r="L265" s="452"/>
      <c r="M265" s="452"/>
      <c r="N265" s="452">
        <v>10442.92</v>
      </c>
      <c r="O265" s="452"/>
      <c r="P265" s="453">
        <v>31250.83</v>
      </c>
      <c r="Q265" s="453"/>
      <c r="R265" s="453"/>
      <c r="S265" s="452">
        <v>8369.4</v>
      </c>
      <c r="T265" s="452"/>
      <c r="U265" s="453">
        <v>2073.52</v>
      </c>
      <c r="V265" s="453"/>
      <c r="W265" s="295">
        <v>20.07</v>
      </c>
      <c r="X265" s="291"/>
    </row>
    <row r="266" spans="1:24" ht="12">
      <c r="A266" s="454" t="s">
        <v>25</v>
      </c>
      <c r="B266" s="454"/>
      <c r="C266" s="454"/>
      <c r="D266" s="454" t="s">
        <v>394</v>
      </c>
      <c r="E266" s="454"/>
      <c r="F266" s="454"/>
      <c r="G266" s="294" t="s">
        <v>344</v>
      </c>
      <c r="H266" s="454" t="s">
        <v>391</v>
      </c>
      <c r="I266" s="454"/>
      <c r="J266" s="452">
        <v>20472</v>
      </c>
      <c r="K266" s="452"/>
      <c r="L266" s="452"/>
      <c r="M266" s="452"/>
      <c r="N266" s="452">
        <v>17564</v>
      </c>
      <c r="O266" s="452"/>
      <c r="P266" s="453">
        <v>2908</v>
      </c>
      <c r="Q266" s="453"/>
      <c r="R266" s="453"/>
      <c r="S266" s="452">
        <v>17564</v>
      </c>
      <c r="T266" s="452"/>
      <c r="U266" s="453">
        <v>0</v>
      </c>
      <c r="V266" s="453"/>
      <c r="W266" s="295">
        <v>85.8</v>
      </c>
      <c r="X266" s="291"/>
    </row>
    <row r="267" spans="1:24" ht="12">
      <c r="A267" s="454" t="s">
        <v>26</v>
      </c>
      <c r="B267" s="454"/>
      <c r="C267" s="454"/>
      <c r="D267" s="454" t="s">
        <v>394</v>
      </c>
      <c r="E267" s="454"/>
      <c r="F267" s="454"/>
      <c r="G267" s="294" t="s">
        <v>344</v>
      </c>
      <c r="H267" s="454" t="s">
        <v>391</v>
      </c>
      <c r="I267" s="454"/>
      <c r="J267" s="452">
        <v>2308</v>
      </c>
      <c r="K267" s="452"/>
      <c r="L267" s="452"/>
      <c r="M267" s="452"/>
      <c r="N267" s="452">
        <v>2308</v>
      </c>
      <c r="O267" s="452"/>
      <c r="P267" s="453">
        <v>0</v>
      </c>
      <c r="Q267" s="453"/>
      <c r="R267" s="453"/>
      <c r="S267" s="452">
        <v>2308</v>
      </c>
      <c r="T267" s="452"/>
      <c r="U267" s="453">
        <v>0</v>
      </c>
      <c r="V267" s="453"/>
      <c r="W267" s="295">
        <v>100</v>
      </c>
      <c r="X267" s="291"/>
    </row>
    <row r="268" spans="1:24" ht="12">
      <c r="A268" s="454" t="s">
        <v>27</v>
      </c>
      <c r="B268" s="454"/>
      <c r="C268" s="454"/>
      <c r="D268" s="454" t="s">
        <v>394</v>
      </c>
      <c r="E268" s="454"/>
      <c r="F268" s="454"/>
      <c r="G268" s="294" t="s">
        <v>344</v>
      </c>
      <c r="H268" s="454" t="s">
        <v>391</v>
      </c>
      <c r="I268" s="454"/>
      <c r="J268" s="452">
        <v>130984</v>
      </c>
      <c r="K268" s="452"/>
      <c r="L268" s="452"/>
      <c r="M268" s="452"/>
      <c r="N268" s="452">
        <v>84303</v>
      </c>
      <c r="O268" s="452"/>
      <c r="P268" s="453">
        <v>46681</v>
      </c>
      <c r="Q268" s="453"/>
      <c r="R268" s="453"/>
      <c r="S268" s="452">
        <v>90491</v>
      </c>
      <c r="T268" s="452"/>
      <c r="U268" s="453">
        <v>-6188</v>
      </c>
      <c r="V268" s="453"/>
      <c r="W268" s="295">
        <v>69.09</v>
      </c>
      <c r="X268" s="291"/>
    </row>
    <row r="269" spans="1:24" ht="12">
      <c r="A269" s="454" t="s">
        <v>165</v>
      </c>
      <c r="B269" s="454"/>
      <c r="C269" s="454"/>
      <c r="D269" s="454" t="s">
        <v>394</v>
      </c>
      <c r="E269" s="454"/>
      <c r="F269" s="454"/>
      <c r="G269" s="294" t="s">
        <v>344</v>
      </c>
      <c r="H269" s="454" t="s">
        <v>391</v>
      </c>
      <c r="I269" s="454"/>
      <c r="J269" s="452">
        <v>62028.85</v>
      </c>
      <c r="K269" s="452"/>
      <c r="L269" s="452"/>
      <c r="M269" s="452"/>
      <c r="N269" s="452">
        <v>41095</v>
      </c>
      <c r="O269" s="452"/>
      <c r="P269" s="453">
        <v>20933.85</v>
      </c>
      <c r="Q269" s="453"/>
      <c r="R269" s="453"/>
      <c r="S269" s="452">
        <v>43108</v>
      </c>
      <c r="T269" s="452"/>
      <c r="U269" s="453">
        <v>-2013</v>
      </c>
      <c r="V269" s="453"/>
      <c r="W269" s="295">
        <v>69.5</v>
      </c>
      <c r="X269" s="291"/>
    </row>
    <row r="270" spans="1:24" ht="12">
      <c r="A270" s="454" t="s">
        <v>37</v>
      </c>
      <c r="B270" s="454"/>
      <c r="C270" s="454"/>
      <c r="D270" s="454" t="s">
        <v>394</v>
      </c>
      <c r="E270" s="454"/>
      <c r="F270" s="454"/>
      <c r="G270" s="294" t="s">
        <v>344</v>
      </c>
      <c r="H270" s="454" t="s">
        <v>391</v>
      </c>
      <c r="I270" s="454"/>
      <c r="J270" s="452">
        <v>12658.09</v>
      </c>
      <c r="K270" s="452"/>
      <c r="L270" s="452"/>
      <c r="M270" s="452"/>
      <c r="N270" s="452">
        <v>4931</v>
      </c>
      <c r="O270" s="452"/>
      <c r="P270" s="453">
        <v>7727.09</v>
      </c>
      <c r="Q270" s="453"/>
      <c r="R270" s="453"/>
      <c r="S270" s="452">
        <v>4931</v>
      </c>
      <c r="T270" s="452"/>
      <c r="U270" s="453">
        <v>0</v>
      </c>
      <c r="V270" s="453"/>
      <c r="W270" s="295">
        <v>38.96</v>
      </c>
      <c r="X270" s="291"/>
    </row>
    <row r="271" spans="1:24" ht="12">
      <c r="A271" s="454" t="s">
        <v>28</v>
      </c>
      <c r="B271" s="454"/>
      <c r="C271" s="454"/>
      <c r="D271" s="454" t="s">
        <v>394</v>
      </c>
      <c r="E271" s="454"/>
      <c r="F271" s="454"/>
      <c r="G271" s="294" t="s">
        <v>344</v>
      </c>
      <c r="H271" s="454" t="s">
        <v>391</v>
      </c>
      <c r="I271" s="454"/>
      <c r="J271" s="452">
        <v>8476</v>
      </c>
      <c r="K271" s="452"/>
      <c r="L271" s="452"/>
      <c r="M271" s="452"/>
      <c r="N271" s="452">
        <v>5290.77</v>
      </c>
      <c r="O271" s="452"/>
      <c r="P271" s="453">
        <v>3185.23</v>
      </c>
      <c r="Q271" s="453"/>
      <c r="R271" s="453"/>
      <c r="S271" s="452">
        <v>5290.77</v>
      </c>
      <c r="T271" s="452"/>
      <c r="U271" s="453">
        <v>0</v>
      </c>
      <c r="V271" s="453"/>
      <c r="W271" s="295">
        <v>62.42</v>
      </c>
      <c r="X271" s="291"/>
    </row>
    <row r="272" spans="1:24" ht="12">
      <c r="A272" s="454" t="s">
        <v>29</v>
      </c>
      <c r="B272" s="454"/>
      <c r="C272" s="454"/>
      <c r="D272" s="454" t="s">
        <v>394</v>
      </c>
      <c r="E272" s="454"/>
      <c r="F272" s="454"/>
      <c r="G272" s="294" t="s">
        <v>344</v>
      </c>
      <c r="H272" s="454" t="s">
        <v>391</v>
      </c>
      <c r="I272" s="454"/>
      <c r="J272" s="452">
        <v>191887.97</v>
      </c>
      <c r="K272" s="452"/>
      <c r="L272" s="452"/>
      <c r="M272" s="452"/>
      <c r="N272" s="452">
        <v>66524.33</v>
      </c>
      <c r="O272" s="452"/>
      <c r="P272" s="453">
        <v>125363.64</v>
      </c>
      <c r="Q272" s="453"/>
      <c r="R272" s="453"/>
      <c r="S272" s="452">
        <v>81233.02</v>
      </c>
      <c r="T272" s="452"/>
      <c r="U272" s="453">
        <v>-14708.69</v>
      </c>
      <c r="V272" s="453"/>
      <c r="W272" s="295">
        <v>42.33</v>
      </c>
      <c r="X272" s="291"/>
    </row>
    <row r="273" spans="1:24" ht="12">
      <c r="A273" s="454" t="s">
        <v>30</v>
      </c>
      <c r="B273" s="454"/>
      <c r="C273" s="454"/>
      <c r="D273" s="454" t="s">
        <v>394</v>
      </c>
      <c r="E273" s="454"/>
      <c r="F273" s="454"/>
      <c r="G273" s="294" t="s">
        <v>344</v>
      </c>
      <c r="H273" s="454" t="s">
        <v>391</v>
      </c>
      <c r="I273" s="454"/>
      <c r="J273" s="452">
        <v>31900.2</v>
      </c>
      <c r="K273" s="452"/>
      <c r="L273" s="452"/>
      <c r="M273" s="452"/>
      <c r="N273" s="452">
        <v>25307</v>
      </c>
      <c r="O273" s="452"/>
      <c r="P273" s="453">
        <v>6593.2</v>
      </c>
      <c r="Q273" s="453"/>
      <c r="R273" s="453"/>
      <c r="S273" s="452">
        <v>27024</v>
      </c>
      <c r="T273" s="452"/>
      <c r="U273" s="453">
        <v>-1717</v>
      </c>
      <c r="V273" s="453"/>
      <c r="W273" s="295">
        <v>84.71</v>
      </c>
      <c r="X273" s="291"/>
    </row>
    <row r="274" spans="1:24" ht="12">
      <c r="A274" s="454" t="s">
        <v>31</v>
      </c>
      <c r="B274" s="454"/>
      <c r="C274" s="454"/>
      <c r="D274" s="454" t="s">
        <v>394</v>
      </c>
      <c r="E274" s="454"/>
      <c r="F274" s="454"/>
      <c r="G274" s="294" t="s">
        <v>344</v>
      </c>
      <c r="H274" s="454" t="s">
        <v>391</v>
      </c>
      <c r="I274" s="454"/>
      <c r="J274" s="452">
        <v>110795</v>
      </c>
      <c r="K274" s="452"/>
      <c r="L274" s="452"/>
      <c r="M274" s="452"/>
      <c r="N274" s="452">
        <v>69874</v>
      </c>
      <c r="O274" s="452"/>
      <c r="P274" s="453">
        <v>40921</v>
      </c>
      <c r="Q274" s="453"/>
      <c r="R274" s="453"/>
      <c r="S274" s="452">
        <v>75057</v>
      </c>
      <c r="T274" s="452"/>
      <c r="U274" s="453">
        <v>-5183</v>
      </c>
      <c r="V274" s="453"/>
      <c r="W274" s="295">
        <v>67.74</v>
      </c>
      <c r="X274" s="291"/>
    </row>
    <row r="275" spans="1:24" ht="12">
      <c r="A275" s="454" t="s">
        <v>32</v>
      </c>
      <c r="B275" s="454"/>
      <c r="C275" s="454"/>
      <c r="D275" s="454" t="s">
        <v>394</v>
      </c>
      <c r="E275" s="454"/>
      <c r="F275" s="454"/>
      <c r="G275" s="294" t="s">
        <v>344</v>
      </c>
      <c r="H275" s="454" t="s">
        <v>391</v>
      </c>
      <c r="I275" s="454"/>
      <c r="J275" s="452">
        <v>38937</v>
      </c>
      <c r="K275" s="452"/>
      <c r="L275" s="452"/>
      <c r="M275" s="452"/>
      <c r="N275" s="452">
        <v>38937</v>
      </c>
      <c r="O275" s="452"/>
      <c r="P275" s="453">
        <v>0</v>
      </c>
      <c r="Q275" s="453"/>
      <c r="R275" s="453"/>
      <c r="S275" s="452">
        <v>38937</v>
      </c>
      <c r="T275" s="452"/>
      <c r="U275" s="453">
        <v>0</v>
      </c>
      <c r="V275" s="453"/>
      <c r="W275" s="295">
        <v>100</v>
      </c>
      <c r="X275" s="291"/>
    </row>
    <row r="276" spans="1:24" ht="12">
      <c r="A276" s="454" t="s">
        <v>33</v>
      </c>
      <c r="B276" s="454"/>
      <c r="C276" s="454"/>
      <c r="D276" s="454" t="s">
        <v>394</v>
      </c>
      <c r="E276" s="454"/>
      <c r="F276" s="454"/>
      <c r="G276" s="294" t="s">
        <v>344</v>
      </c>
      <c r="H276" s="454" t="s">
        <v>391</v>
      </c>
      <c r="I276" s="454"/>
      <c r="J276" s="452">
        <v>101616.66</v>
      </c>
      <c r="K276" s="452"/>
      <c r="L276" s="452"/>
      <c r="M276" s="452"/>
      <c r="N276" s="452">
        <v>85200</v>
      </c>
      <c r="O276" s="452"/>
      <c r="P276" s="453">
        <v>16416.66</v>
      </c>
      <c r="Q276" s="453"/>
      <c r="R276" s="453"/>
      <c r="S276" s="452">
        <v>85200</v>
      </c>
      <c r="T276" s="452"/>
      <c r="U276" s="453">
        <v>0</v>
      </c>
      <c r="V276" s="453"/>
      <c r="W276" s="295">
        <v>83.84</v>
      </c>
      <c r="X276" s="291"/>
    </row>
    <row r="277" spans="1:24" ht="10.5">
      <c r="A277" s="296"/>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1"/>
    </row>
    <row r="278" spans="1:24" ht="12" thickBot="1">
      <c r="A278" s="291"/>
      <c r="B278" s="291"/>
      <c r="C278" s="291"/>
      <c r="D278" s="291"/>
      <c r="E278" s="291"/>
      <c r="F278" s="291"/>
      <c r="G278" s="291"/>
      <c r="H278" s="291"/>
      <c r="I278" s="291"/>
      <c r="J278" s="451">
        <v>848286.65</v>
      </c>
      <c r="K278" s="451"/>
      <c r="L278" s="451"/>
      <c r="M278" s="451"/>
      <c r="N278" s="451">
        <v>529314.85</v>
      </c>
      <c r="O278" s="451"/>
      <c r="P278" s="451">
        <v>318971.8</v>
      </c>
      <c r="Q278" s="451"/>
      <c r="R278" s="451"/>
      <c r="S278" s="451">
        <v>557051.02</v>
      </c>
      <c r="T278" s="451"/>
      <c r="U278" s="451">
        <v>-27736.17</v>
      </c>
      <c r="V278" s="451"/>
      <c r="W278" s="291"/>
      <c r="X278" s="291"/>
    </row>
    <row r="279" spans="1:24" ht="11.25" thickTop="1">
      <c r="A279" s="297"/>
      <c r="B279" s="297"/>
      <c r="C279" s="297"/>
      <c r="D279" s="297"/>
      <c r="E279" s="297"/>
      <c r="F279" s="297"/>
      <c r="G279" s="297"/>
      <c r="H279" s="297"/>
      <c r="I279" s="297"/>
      <c r="J279" s="297"/>
      <c r="K279" s="297"/>
      <c r="L279" s="297"/>
      <c r="M279" s="297"/>
      <c r="N279" s="297"/>
      <c r="O279" s="297"/>
      <c r="P279" s="297"/>
      <c r="Q279" s="297"/>
      <c r="R279" s="297"/>
      <c r="S279" s="297"/>
      <c r="T279" s="297"/>
      <c r="U279" s="297"/>
      <c r="V279" s="297"/>
      <c r="W279" s="297"/>
      <c r="X279" s="291"/>
    </row>
    <row r="280" spans="1:24" ht="12">
      <c r="A280" s="449" t="s">
        <v>395</v>
      </c>
      <c r="B280" s="449"/>
      <c r="C280" s="449"/>
      <c r="D280" s="449"/>
      <c r="E280" s="449"/>
      <c r="F280" s="449"/>
      <c r="G280" s="449"/>
      <c r="H280" s="449"/>
      <c r="I280" s="291"/>
      <c r="J280" s="450">
        <v>5951438</v>
      </c>
      <c r="K280" s="450"/>
      <c r="L280" s="450"/>
      <c r="M280" s="450"/>
      <c r="N280" s="450">
        <v>4413494.48</v>
      </c>
      <c r="O280" s="450"/>
      <c r="P280" s="451">
        <v>1537943.52</v>
      </c>
      <c r="Q280" s="451"/>
      <c r="R280" s="451"/>
      <c r="S280" s="450">
        <v>4653686.92</v>
      </c>
      <c r="T280" s="450"/>
      <c r="U280" s="450">
        <v>-240192.44</v>
      </c>
      <c r="V280" s="450"/>
      <c r="W280" s="291"/>
      <c r="X280" s="291"/>
    </row>
    <row r="281" spans="1:24" ht="12">
      <c r="A281" s="430" t="s">
        <v>329</v>
      </c>
      <c r="B281" s="430"/>
      <c r="C281" s="455" t="s">
        <v>396</v>
      </c>
      <c r="D281" s="455"/>
      <c r="E281" s="455"/>
      <c r="F281" s="455"/>
      <c r="G281" s="455"/>
      <c r="H281" s="455"/>
      <c r="I281" s="455"/>
      <c r="J281" s="455"/>
      <c r="K281" s="455"/>
      <c r="L281" s="291"/>
      <c r="M281" s="291"/>
      <c r="N281" s="291"/>
      <c r="O281" s="291"/>
      <c r="P281" s="291"/>
      <c r="Q281" s="291"/>
      <c r="R281" s="291"/>
      <c r="S281" s="291"/>
      <c r="T281" s="291"/>
      <c r="U281" s="291"/>
      <c r="V281" s="291"/>
      <c r="W281" s="291"/>
      <c r="X281" s="291"/>
    </row>
    <row r="282" spans="1:24" ht="10.5">
      <c r="A282" s="430"/>
      <c r="B282" s="430"/>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row>
    <row r="283" spans="1:24" ht="12">
      <c r="A283" s="291"/>
      <c r="B283" s="430" t="s">
        <v>331</v>
      </c>
      <c r="C283" s="430"/>
      <c r="D283" s="455" t="s">
        <v>44</v>
      </c>
      <c r="E283" s="455"/>
      <c r="F283" s="455"/>
      <c r="G283" s="455"/>
      <c r="H283" s="455"/>
      <c r="I283" s="455"/>
      <c r="J283" s="455"/>
      <c r="K283" s="455"/>
      <c r="L283" s="455"/>
      <c r="M283" s="455"/>
      <c r="N283" s="291"/>
      <c r="O283" s="291"/>
      <c r="P283" s="291"/>
      <c r="Q283" s="291"/>
      <c r="R283" s="291"/>
      <c r="S283" s="291"/>
      <c r="T283" s="291"/>
      <c r="U283" s="291"/>
      <c r="V283" s="291"/>
      <c r="W283" s="291"/>
      <c r="X283" s="291"/>
    </row>
    <row r="284" spans="1:24" ht="12">
      <c r="A284" s="430" t="s">
        <v>332</v>
      </c>
      <c r="B284" s="430"/>
      <c r="C284" s="291"/>
      <c r="D284" s="291"/>
      <c r="E284" s="456" t="s">
        <v>333</v>
      </c>
      <c r="F284" s="456"/>
      <c r="G284" s="456"/>
      <c r="H284" s="456"/>
      <c r="I284" s="456"/>
      <c r="J284" s="449" t="s">
        <v>3</v>
      </c>
      <c r="K284" s="449"/>
      <c r="L284" s="449"/>
      <c r="M284" s="449"/>
      <c r="N284" s="449" t="s">
        <v>334</v>
      </c>
      <c r="O284" s="449"/>
      <c r="P284" s="428" t="s">
        <v>335</v>
      </c>
      <c r="Q284" s="428"/>
      <c r="R284" s="291"/>
      <c r="S284" s="449" t="s">
        <v>336</v>
      </c>
      <c r="T284" s="449"/>
      <c r="U284" s="291"/>
      <c r="V284" s="292" t="s">
        <v>337</v>
      </c>
      <c r="W284" s="292" t="s">
        <v>338</v>
      </c>
      <c r="X284" s="291"/>
    </row>
    <row r="285" spans="1:24" ht="12">
      <c r="A285" s="430"/>
      <c r="B285" s="430"/>
      <c r="C285" s="291"/>
      <c r="D285" s="291"/>
      <c r="E285" s="430" t="s">
        <v>339</v>
      </c>
      <c r="F285" s="430"/>
      <c r="G285" s="430"/>
      <c r="H285" s="430"/>
      <c r="I285" s="430"/>
      <c r="J285" s="428" t="s">
        <v>340</v>
      </c>
      <c r="K285" s="428"/>
      <c r="L285" s="428"/>
      <c r="M285" s="428"/>
      <c r="N285" s="428" t="s">
        <v>341</v>
      </c>
      <c r="O285" s="428"/>
      <c r="P285" s="428"/>
      <c r="Q285" s="428"/>
      <c r="R285" s="291"/>
      <c r="S285" s="428" t="s">
        <v>341</v>
      </c>
      <c r="T285" s="428"/>
      <c r="U285" s="291"/>
      <c r="V285" s="293" t="s">
        <v>342</v>
      </c>
      <c r="W285" s="293" t="s">
        <v>336</v>
      </c>
      <c r="X285" s="291"/>
    </row>
    <row r="286" spans="1:24" ht="12">
      <c r="A286" s="454" t="s">
        <v>34</v>
      </c>
      <c r="B286" s="454"/>
      <c r="C286" s="454"/>
      <c r="D286" s="454" t="s">
        <v>394</v>
      </c>
      <c r="E286" s="454"/>
      <c r="F286" s="454"/>
      <c r="G286" s="294" t="s">
        <v>344</v>
      </c>
      <c r="H286" s="454" t="s">
        <v>391</v>
      </c>
      <c r="I286" s="454"/>
      <c r="J286" s="452">
        <v>204201.5</v>
      </c>
      <c r="K286" s="452"/>
      <c r="L286" s="452"/>
      <c r="M286" s="452"/>
      <c r="N286" s="452">
        <v>171860</v>
      </c>
      <c r="O286" s="452"/>
      <c r="P286" s="453">
        <v>32341.5</v>
      </c>
      <c r="Q286" s="453"/>
      <c r="R286" s="453"/>
      <c r="S286" s="452">
        <v>171860</v>
      </c>
      <c r="T286" s="452"/>
      <c r="U286" s="453">
        <v>0</v>
      </c>
      <c r="V286" s="453"/>
      <c r="W286" s="295">
        <v>84.16</v>
      </c>
      <c r="X286" s="291"/>
    </row>
    <row r="287" spans="1:24" ht="12">
      <c r="A287" s="454" t="s">
        <v>25</v>
      </c>
      <c r="B287" s="454"/>
      <c r="C287" s="454"/>
      <c r="D287" s="454" t="s">
        <v>394</v>
      </c>
      <c r="E287" s="454"/>
      <c r="F287" s="454"/>
      <c r="G287" s="294" t="s">
        <v>344</v>
      </c>
      <c r="H287" s="454" t="s">
        <v>391</v>
      </c>
      <c r="I287" s="454"/>
      <c r="J287" s="452">
        <v>495</v>
      </c>
      <c r="K287" s="452"/>
      <c r="L287" s="452"/>
      <c r="M287" s="452"/>
      <c r="N287" s="452">
        <v>0</v>
      </c>
      <c r="O287" s="452"/>
      <c r="P287" s="453">
        <v>495</v>
      </c>
      <c r="Q287" s="453"/>
      <c r="R287" s="453"/>
      <c r="S287" s="452">
        <v>0</v>
      </c>
      <c r="T287" s="452"/>
      <c r="U287" s="453">
        <v>0</v>
      </c>
      <c r="V287" s="453"/>
      <c r="W287" s="295">
        <v>0</v>
      </c>
      <c r="X287" s="291"/>
    </row>
    <row r="288" spans="1:24" ht="12">
      <c r="A288" s="454" t="s">
        <v>35</v>
      </c>
      <c r="B288" s="454"/>
      <c r="C288" s="454"/>
      <c r="D288" s="454" t="s">
        <v>394</v>
      </c>
      <c r="E288" s="454"/>
      <c r="F288" s="454"/>
      <c r="G288" s="294" t="s">
        <v>344</v>
      </c>
      <c r="H288" s="454" t="s">
        <v>391</v>
      </c>
      <c r="I288" s="454"/>
      <c r="J288" s="452">
        <v>159711.41</v>
      </c>
      <c r="K288" s="452"/>
      <c r="L288" s="452"/>
      <c r="M288" s="452"/>
      <c r="N288" s="452">
        <v>70734</v>
      </c>
      <c r="O288" s="452"/>
      <c r="P288" s="453">
        <v>88977.41</v>
      </c>
      <c r="Q288" s="453"/>
      <c r="R288" s="453"/>
      <c r="S288" s="452">
        <v>70734</v>
      </c>
      <c r="T288" s="452"/>
      <c r="U288" s="453">
        <v>0</v>
      </c>
      <c r="V288" s="453"/>
      <c r="W288" s="295">
        <v>44.29</v>
      </c>
      <c r="X288" s="291"/>
    </row>
    <row r="289" spans="1:24" ht="12">
      <c r="A289" s="454" t="s">
        <v>28</v>
      </c>
      <c r="B289" s="454"/>
      <c r="C289" s="454"/>
      <c r="D289" s="454" t="s">
        <v>394</v>
      </c>
      <c r="E289" s="454"/>
      <c r="F289" s="454"/>
      <c r="G289" s="294" t="s">
        <v>344</v>
      </c>
      <c r="H289" s="454" t="s">
        <v>391</v>
      </c>
      <c r="I289" s="454"/>
      <c r="J289" s="452">
        <v>75</v>
      </c>
      <c r="K289" s="452"/>
      <c r="L289" s="452"/>
      <c r="M289" s="452"/>
      <c r="N289" s="452">
        <v>0</v>
      </c>
      <c r="O289" s="452"/>
      <c r="P289" s="453">
        <v>75</v>
      </c>
      <c r="Q289" s="453"/>
      <c r="R289" s="453"/>
      <c r="S289" s="452">
        <v>0</v>
      </c>
      <c r="T289" s="452"/>
      <c r="U289" s="453">
        <v>0</v>
      </c>
      <c r="V289" s="453"/>
      <c r="W289" s="295">
        <v>0</v>
      </c>
      <c r="X289" s="291"/>
    </row>
    <row r="290" spans="1:24" ht="12">
      <c r="A290" s="454" t="s">
        <v>29</v>
      </c>
      <c r="B290" s="454"/>
      <c r="C290" s="454"/>
      <c r="D290" s="454" t="s">
        <v>394</v>
      </c>
      <c r="E290" s="454"/>
      <c r="F290" s="454"/>
      <c r="G290" s="294" t="s">
        <v>344</v>
      </c>
      <c r="H290" s="454" t="s">
        <v>391</v>
      </c>
      <c r="I290" s="454"/>
      <c r="J290" s="452">
        <v>264918.8</v>
      </c>
      <c r="K290" s="452"/>
      <c r="L290" s="452"/>
      <c r="M290" s="452"/>
      <c r="N290" s="452">
        <v>127296.04</v>
      </c>
      <c r="O290" s="452"/>
      <c r="P290" s="453">
        <v>137622.76</v>
      </c>
      <c r="Q290" s="453"/>
      <c r="R290" s="453"/>
      <c r="S290" s="452">
        <v>168758.19</v>
      </c>
      <c r="T290" s="452"/>
      <c r="U290" s="453">
        <v>-41462.15</v>
      </c>
      <c r="V290" s="453"/>
      <c r="W290" s="295">
        <v>63.7</v>
      </c>
      <c r="X290" s="291"/>
    </row>
    <row r="291" spans="1:24" ht="12">
      <c r="A291" s="454" t="s">
        <v>30</v>
      </c>
      <c r="B291" s="454"/>
      <c r="C291" s="454"/>
      <c r="D291" s="454" t="s">
        <v>394</v>
      </c>
      <c r="E291" s="454"/>
      <c r="F291" s="454"/>
      <c r="G291" s="294" t="s">
        <v>344</v>
      </c>
      <c r="H291" s="454" t="s">
        <v>391</v>
      </c>
      <c r="I291" s="454"/>
      <c r="J291" s="452">
        <v>95834.3</v>
      </c>
      <c r="K291" s="452"/>
      <c r="L291" s="452"/>
      <c r="M291" s="452"/>
      <c r="N291" s="452">
        <v>39904</v>
      </c>
      <c r="O291" s="452"/>
      <c r="P291" s="453">
        <v>55930.3</v>
      </c>
      <c r="Q291" s="453"/>
      <c r="R291" s="453"/>
      <c r="S291" s="452">
        <v>57030</v>
      </c>
      <c r="T291" s="452"/>
      <c r="U291" s="453">
        <v>-17126</v>
      </c>
      <c r="V291" s="453"/>
      <c r="W291" s="295">
        <v>59.51</v>
      </c>
      <c r="X291" s="291"/>
    </row>
    <row r="292" spans="1:24" ht="12">
      <c r="A292" s="454" t="s">
        <v>36</v>
      </c>
      <c r="B292" s="454"/>
      <c r="C292" s="454"/>
      <c r="D292" s="454" t="s">
        <v>394</v>
      </c>
      <c r="E292" s="454"/>
      <c r="F292" s="454"/>
      <c r="G292" s="294" t="s">
        <v>344</v>
      </c>
      <c r="H292" s="454" t="s">
        <v>391</v>
      </c>
      <c r="I292" s="454"/>
      <c r="J292" s="452">
        <v>22148</v>
      </c>
      <c r="K292" s="452"/>
      <c r="L292" s="452"/>
      <c r="M292" s="452"/>
      <c r="N292" s="452">
        <v>18020</v>
      </c>
      <c r="O292" s="452"/>
      <c r="P292" s="453">
        <v>4128</v>
      </c>
      <c r="Q292" s="453"/>
      <c r="R292" s="453"/>
      <c r="S292" s="452">
        <v>20080</v>
      </c>
      <c r="T292" s="452"/>
      <c r="U292" s="453">
        <v>-2060</v>
      </c>
      <c r="V292" s="453"/>
      <c r="W292" s="295">
        <v>90.66</v>
      </c>
      <c r="X292" s="291"/>
    </row>
    <row r="293" spans="1:24" ht="10.5">
      <c r="A293" s="296"/>
      <c r="B293" s="296"/>
      <c r="C293" s="296"/>
      <c r="D293" s="296"/>
      <c r="E293" s="296"/>
      <c r="F293" s="296"/>
      <c r="G293" s="296"/>
      <c r="H293" s="296"/>
      <c r="I293" s="296"/>
      <c r="J293" s="296"/>
      <c r="K293" s="296"/>
      <c r="L293" s="296"/>
      <c r="M293" s="296"/>
      <c r="N293" s="296"/>
      <c r="O293" s="296"/>
      <c r="P293" s="296"/>
      <c r="Q293" s="296"/>
      <c r="R293" s="296"/>
      <c r="S293" s="296"/>
      <c r="T293" s="296"/>
      <c r="U293" s="296"/>
      <c r="V293" s="296"/>
      <c r="W293" s="296"/>
      <c r="X293" s="291"/>
    </row>
    <row r="294" spans="1:24" ht="11.25">
      <c r="A294" s="291"/>
      <c r="B294" s="291"/>
      <c r="C294" s="291"/>
      <c r="D294" s="291"/>
      <c r="E294" s="291"/>
      <c r="F294" s="291"/>
      <c r="G294" s="291"/>
      <c r="H294" s="291"/>
      <c r="I294" s="291"/>
      <c r="J294" s="451">
        <v>747384.01</v>
      </c>
      <c r="K294" s="451"/>
      <c r="L294" s="451"/>
      <c r="M294" s="451"/>
      <c r="N294" s="451">
        <v>427814.04</v>
      </c>
      <c r="O294" s="451"/>
      <c r="P294" s="451">
        <v>319569.97</v>
      </c>
      <c r="Q294" s="451"/>
      <c r="R294" s="451"/>
      <c r="S294" s="451">
        <v>488462.19</v>
      </c>
      <c r="T294" s="451"/>
      <c r="U294" s="451">
        <v>-60648.15</v>
      </c>
      <c r="V294" s="451"/>
      <c r="W294" s="291"/>
      <c r="X294" s="291"/>
    </row>
    <row r="295" spans="1:24" ht="12">
      <c r="A295" s="291"/>
      <c r="B295" s="430" t="s">
        <v>331</v>
      </c>
      <c r="C295" s="430"/>
      <c r="D295" s="455" t="s">
        <v>348</v>
      </c>
      <c r="E295" s="455"/>
      <c r="F295" s="455"/>
      <c r="G295" s="455"/>
      <c r="H295" s="455"/>
      <c r="I295" s="455"/>
      <c r="J295" s="455"/>
      <c r="K295" s="455"/>
      <c r="L295" s="455"/>
      <c r="M295" s="455"/>
      <c r="N295" s="291"/>
      <c r="O295" s="291"/>
      <c r="P295" s="291"/>
      <c r="Q295" s="291"/>
      <c r="R295" s="291"/>
      <c r="S295" s="291"/>
      <c r="T295" s="291"/>
      <c r="U295" s="291"/>
      <c r="V295" s="291"/>
      <c r="W295" s="291"/>
      <c r="X295" s="291"/>
    </row>
    <row r="296" spans="1:24" ht="12">
      <c r="A296" s="430" t="s">
        <v>332</v>
      </c>
      <c r="B296" s="430"/>
      <c r="C296" s="291"/>
      <c r="D296" s="291"/>
      <c r="E296" s="456" t="s">
        <v>333</v>
      </c>
      <c r="F296" s="456"/>
      <c r="G296" s="456"/>
      <c r="H296" s="456"/>
      <c r="I296" s="456"/>
      <c r="J296" s="449" t="s">
        <v>3</v>
      </c>
      <c r="K296" s="449"/>
      <c r="L296" s="449"/>
      <c r="M296" s="449"/>
      <c r="N296" s="449" t="s">
        <v>334</v>
      </c>
      <c r="O296" s="449"/>
      <c r="P296" s="428" t="s">
        <v>335</v>
      </c>
      <c r="Q296" s="428"/>
      <c r="R296" s="291"/>
      <c r="S296" s="449" t="s">
        <v>336</v>
      </c>
      <c r="T296" s="449"/>
      <c r="U296" s="291"/>
      <c r="V296" s="292" t="s">
        <v>337</v>
      </c>
      <c r="W296" s="292" t="s">
        <v>338</v>
      </c>
      <c r="X296" s="291"/>
    </row>
    <row r="297" spans="1:24" ht="12">
      <c r="A297" s="430"/>
      <c r="B297" s="430"/>
      <c r="C297" s="291"/>
      <c r="D297" s="291"/>
      <c r="E297" s="430" t="s">
        <v>339</v>
      </c>
      <c r="F297" s="430"/>
      <c r="G297" s="430"/>
      <c r="H297" s="430"/>
      <c r="I297" s="430"/>
      <c r="J297" s="428" t="s">
        <v>340</v>
      </c>
      <c r="K297" s="428"/>
      <c r="L297" s="428"/>
      <c r="M297" s="428"/>
      <c r="N297" s="428" t="s">
        <v>341</v>
      </c>
      <c r="O297" s="428"/>
      <c r="P297" s="428"/>
      <c r="Q297" s="428"/>
      <c r="R297" s="291"/>
      <c r="S297" s="428" t="s">
        <v>341</v>
      </c>
      <c r="T297" s="428"/>
      <c r="U297" s="291"/>
      <c r="V297" s="293" t="s">
        <v>342</v>
      </c>
      <c r="W297" s="293" t="s">
        <v>336</v>
      </c>
      <c r="X297" s="291"/>
    </row>
    <row r="298" spans="1:24" ht="12">
      <c r="A298" s="454" t="s">
        <v>34</v>
      </c>
      <c r="B298" s="454"/>
      <c r="C298" s="454"/>
      <c r="D298" s="454" t="s">
        <v>394</v>
      </c>
      <c r="E298" s="454"/>
      <c r="F298" s="454"/>
      <c r="G298" s="294" t="s">
        <v>344</v>
      </c>
      <c r="H298" s="454" t="s">
        <v>391</v>
      </c>
      <c r="I298" s="454"/>
      <c r="J298" s="452">
        <v>1511089.5</v>
      </c>
      <c r="K298" s="452"/>
      <c r="L298" s="452"/>
      <c r="M298" s="452"/>
      <c r="N298" s="452">
        <v>1511060</v>
      </c>
      <c r="O298" s="452"/>
      <c r="P298" s="453">
        <v>29.5</v>
      </c>
      <c r="Q298" s="453"/>
      <c r="R298" s="453"/>
      <c r="S298" s="452">
        <v>1511060</v>
      </c>
      <c r="T298" s="452"/>
      <c r="U298" s="453">
        <v>0</v>
      </c>
      <c r="V298" s="453"/>
      <c r="W298" s="295">
        <v>100</v>
      </c>
      <c r="X298" s="291"/>
    </row>
    <row r="299" spans="1:24" ht="12">
      <c r="A299" s="454" t="s">
        <v>25</v>
      </c>
      <c r="B299" s="454"/>
      <c r="C299" s="454"/>
      <c r="D299" s="454" t="s">
        <v>394</v>
      </c>
      <c r="E299" s="454"/>
      <c r="F299" s="454"/>
      <c r="G299" s="294" t="s">
        <v>344</v>
      </c>
      <c r="H299" s="454" t="s">
        <v>391</v>
      </c>
      <c r="I299" s="454"/>
      <c r="J299" s="452">
        <v>3882</v>
      </c>
      <c r="K299" s="452"/>
      <c r="L299" s="452"/>
      <c r="M299" s="452"/>
      <c r="N299" s="452">
        <v>0</v>
      </c>
      <c r="O299" s="452"/>
      <c r="P299" s="453">
        <v>3882</v>
      </c>
      <c r="Q299" s="453"/>
      <c r="R299" s="453"/>
      <c r="S299" s="452">
        <v>0</v>
      </c>
      <c r="T299" s="452"/>
      <c r="U299" s="453">
        <v>0</v>
      </c>
      <c r="V299" s="453"/>
      <c r="W299" s="295">
        <v>0</v>
      </c>
      <c r="X299" s="291"/>
    </row>
    <row r="300" spans="1:24" ht="12">
      <c r="A300" s="454" t="s">
        <v>35</v>
      </c>
      <c r="B300" s="454"/>
      <c r="C300" s="454"/>
      <c r="D300" s="454" t="s">
        <v>394</v>
      </c>
      <c r="E300" s="454"/>
      <c r="F300" s="454"/>
      <c r="G300" s="294" t="s">
        <v>344</v>
      </c>
      <c r="H300" s="454" t="s">
        <v>391</v>
      </c>
      <c r="I300" s="454"/>
      <c r="J300" s="452">
        <v>1186431.31</v>
      </c>
      <c r="K300" s="452"/>
      <c r="L300" s="452"/>
      <c r="M300" s="452"/>
      <c r="N300" s="452">
        <v>656649</v>
      </c>
      <c r="O300" s="452"/>
      <c r="P300" s="453">
        <v>529782.31</v>
      </c>
      <c r="Q300" s="453"/>
      <c r="R300" s="453"/>
      <c r="S300" s="452">
        <v>656649</v>
      </c>
      <c r="T300" s="452"/>
      <c r="U300" s="453">
        <v>0</v>
      </c>
      <c r="V300" s="453"/>
      <c r="W300" s="295">
        <v>55.35</v>
      </c>
      <c r="X300" s="291"/>
    </row>
    <row r="301" spans="1:24" ht="12">
      <c r="A301" s="454" t="s">
        <v>28</v>
      </c>
      <c r="B301" s="454"/>
      <c r="C301" s="454"/>
      <c r="D301" s="454" t="s">
        <v>394</v>
      </c>
      <c r="E301" s="454"/>
      <c r="F301" s="454"/>
      <c r="G301" s="294" t="s">
        <v>344</v>
      </c>
      <c r="H301" s="454" t="s">
        <v>391</v>
      </c>
      <c r="I301" s="454"/>
      <c r="J301" s="452">
        <v>600</v>
      </c>
      <c r="K301" s="452"/>
      <c r="L301" s="452"/>
      <c r="M301" s="452"/>
      <c r="N301" s="452">
        <v>0</v>
      </c>
      <c r="O301" s="452"/>
      <c r="P301" s="453">
        <v>600</v>
      </c>
      <c r="Q301" s="453"/>
      <c r="R301" s="453"/>
      <c r="S301" s="452">
        <v>0</v>
      </c>
      <c r="T301" s="452"/>
      <c r="U301" s="453">
        <v>0</v>
      </c>
      <c r="V301" s="453"/>
      <c r="W301" s="295">
        <v>0</v>
      </c>
      <c r="X301" s="291"/>
    </row>
    <row r="302" spans="1:24" ht="12">
      <c r="A302" s="454" t="s">
        <v>29</v>
      </c>
      <c r="B302" s="454"/>
      <c r="C302" s="454"/>
      <c r="D302" s="454" t="s">
        <v>394</v>
      </c>
      <c r="E302" s="454"/>
      <c r="F302" s="454"/>
      <c r="G302" s="294" t="s">
        <v>344</v>
      </c>
      <c r="H302" s="454" t="s">
        <v>391</v>
      </c>
      <c r="I302" s="454"/>
      <c r="J302" s="452">
        <v>2035054.64</v>
      </c>
      <c r="K302" s="452"/>
      <c r="L302" s="452"/>
      <c r="M302" s="452"/>
      <c r="N302" s="452">
        <v>1254600</v>
      </c>
      <c r="O302" s="452"/>
      <c r="P302" s="453">
        <v>780454.64</v>
      </c>
      <c r="Q302" s="453"/>
      <c r="R302" s="453"/>
      <c r="S302" s="452">
        <v>1710006</v>
      </c>
      <c r="T302" s="452"/>
      <c r="U302" s="453">
        <v>-455406</v>
      </c>
      <c r="V302" s="453"/>
      <c r="W302" s="295">
        <v>84.03</v>
      </c>
      <c r="X302" s="291"/>
    </row>
    <row r="303" spans="1:24" ht="12">
      <c r="A303" s="454" t="s">
        <v>30</v>
      </c>
      <c r="B303" s="454"/>
      <c r="C303" s="454"/>
      <c r="D303" s="454" t="s">
        <v>394</v>
      </c>
      <c r="E303" s="454"/>
      <c r="F303" s="454"/>
      <c r="G303" s="294" t="s">
        <v>344</v>
      </c>
      <c r="H303" s="454" t="s">
        <v>391</v>
      </c>
      <c r="I303" s="454"/>
      <c r="J303" s="452">
        <v>975641.7</v>
      </c>
      <c r="K303" s="452"/>
      <c r="L303" s="452"/>
      <c r="M303" s="452"/>
      <c r="N303" s="452">
        <v>866549</v>
      </c>
      <c r="O303" s="452"/>
      <c r="P303" s="453">
        <v>109092.7</v>
      </c>
      <c r="Q303" s="453"/>
      <c r="R303" s="453"/>
      <c r="S303" s="452">
        <v>900394</v>
      </c>
      <c r="T303" s="452"/>
      <c r="U303" s="453">
        <v>-33845</v>
      </c>
      <c r="V303" s="453"/>
      <c r="W303" s="295">
        <v>92.29</v>
      </c>
      <c r="X303" s="291"/>
    </row>
    <row r="304" spans="1:24" ht="12">
      <c r="A304" s="454" t="s">
        <v>36</v>
      </c>
      <c r="B304" s="454"/>
      <c r="C304" s="454"/>
      <c r="D304" s="454" t="s">
        <v>394</v>
      </c>
      <c r="E304" s="454"/>
      <c r="F304" s="454"/>
      <c r="G304" s="294" t="s">
        <v>344</v>
      </c>
      <c r="H304" s="454" t="s">
        <v>391</v>
      </c>
      <c r="I304" s="454"/>
      <c r="J304" s="452">
        <v>174982.65</v>
      </c>
      <c r="K304" s="452"/>
      <c r="L304" s="452"/>
      <c r="M304" s="452"/>
      <c r="N304" s="452">
        <v>168355</v>
      </c>
      <c r="O304" s="452"/>
      <c r="P304" s="453">
        <v>6627.65</v>
      </c>
      <c r="Q304" s="453"/>
      <c r="R304" s="453"/>
      <c r="S304" s="452">
        <v>172425</v>
      </c>
      <c r="T304" s="452"/>
      <c r="U304" s="453">
        <v>-4070</v>
      </c>
      <c r="V304" s="453"/>
      <c r="W304" s="295">
        <v>98.54</v>
      </c>
      <c r="X304" s="291"/>
    </row>
    <row r="305" spans="1:24" ht="10.5">
      <c r="A305" s="296"/>
      <c r="B305" s="296"/>
      <c r="C305" s="296"/>
      <c r="D305" s="296"/>
      <c r="E305" s="296"/>
      <c r="F305" s="296"/>
      <c r="G305" s="296"/>
      <c r="H305" s="296"/>
      <c r="I305" s="296"/>
      <c r="J305" s="296"/>
      <c r="K305" s="296"/>
      <c r="L305" s="296"/>
      <c r="M305" s="296"/>
      <c r="N305" s="296"/>
      <c r="O305" s="296"/>
      <c r="P305" s="296"/>
      <c r="Q305" s="296"/>
      <c r="R305" s="296"/>
      <c r="S305" s="296"/>
      <c r="T305" s="296"/>
      <c r="U305" s="296"/>
      <c r="V305" s="296"/>
      <c r="W305" s="296"/>
      <c r="X305" s="291"/>
    </row>
    <row r="306" spans="1:24" ht="11.25">
      <c r="A306" s="291"/>
      <c r="B306" s="291"/>
      <c r="C306" s="291"/>
      <c r="D306" s="291"/>
      <c r="E306" s="291"/>
      <c r="F306" s="291"/>
      <c r="G306" s="291"/>
      <c r="H306" s="291"/>
      <c r="I306" s="291"/>
      <c r="J306" s="451">
        <v>5887681.8</v>
      </c>
      <c r="K306" s="451"/>
      <c r="L306" s="451"/>
      <c r="M306" s="451"/>
      <c r="N306" s="451">
        <v>4457213</v>
      </c>
      <c r="O306" s="451"/>
      <c r="P306" s="451">
        <v>1430468.8</v>
      </c>
      <c r="Q306" s="451"/>
      <c r="R306" s="451"/>
      <c r="S306" s="451">
        <v>4950534</v>
      </c>
      <c r="T306" s="451"/>
      <c r="U306" s="451">
        <v>-493321</v>
      </c>
      <c r="V306" s="451"/>
      <c r="W306" s="291"/>
      <c r="X306" s="291"/>
    </row>
    <row r="307" spans="1:24" ht="12">
      <c r="A307" s="291"/>
      <c r="B307" s="430" t="s">
        <v>331</v>
      </c>
      <c r="C307" s="430"/>
      <c r="D307" s="455" t="s">
        <v>187</v>
      </c>
      <c r="E307" s="455"/>
      <c r="F307" s="455"/>
      <c r="G307" s="455"/>
      <c r="H307" s="455"/>
      <c r="I307" s="455"/>
      <c r="J307" s="455"/>
      <c r="K307" s="455"/>
      <c r="L307" s="455"/>
      <c r="M307" s="455"/>
      <c r="N307" s="291"/>
      <c r="O307" s="291"/>
      <c r="P307" s="291"/>
      <c r="Q307" s="291"/>
      <c r="R307" s="291"/>
      <c r="S307" s="291"/>
      <c r="T307" s="291"/>
      <c r="U307" s="291"/>
      <c r="V307" s="291"/>
      <c r="W307" s="291"/>
      <c r="X307" s="291"/>
    </row>
    <row r="308" spans="1:24" ht="12">
      <c r="A308" s="430" t="s">
        <v>332</v>
      </c>
      <c r="B308" s="430"/>
      <c r="C308" s="291"/>
      <c r="D308" s="291"/>
      <c r="E308" s="456" t="s">
        <v>333</v>
      </c>
      <c r="F308" s="456"/>
      <c r="G308" s="456"/>
      <c r="H308" s="456"/>
      <c r="I308" s="456"/>
      <c r="J308" s="449" t="s">
        <v>3</v>
      </c>
      <c r="K308" s="449"/>
      <c r="L308" s="449"/>
      <c r="M308" s="449"/>
      <c r="N308" s="449" t="s">
        <v>334</v>
      </c>
      <c r="O308" s="449"/>
      <c r="P308" s="428" t="s">
        <v>335</v>
      </c>
      <c r="Q308" s="428"/>
      <c r="R308" s="291"/>
      <c r="S308" s="449" t="s">
        <v>336</v>
      </c>
      <c r="T308" s="449"/>
      <c r="U308" s="291"/>
      <c r="V308" s="292" t="s">
        <v>337</v>
      </c>
      <c r="W308" s="292" t="s">
        <v>338</v>
      </c>
      <c r="X308" s="291"/>
    </row>
    <row r="309" spans="1:24" ht="12">
      <c r="A309" s="430"/>
      <c r="B309" s="430"/>
      <c r="C309" s="291"/>
      <c r="D309" s="291"/>
      <c r="E309" s="430" t="s">
        <v>339</v>
      </c>
      <c r="F309" s="430"/>
      <c r="G309" s="430"/>
      <c r="H309" s="430"/>
      <c r="I309" s="430"/>
      <c r="J309" s="428" t="s">
        <v>340</v>
      </c>
      <c r="K309" s="428"/>
      <c r="L309" s="428"/>
      <c r="M309" s="428"/>
      <c r="N309" s="428" t="s">
        <v>341</v>
      </c>
      <c r="O309" s="428"/>
      <c r="P309" s="428"/>
      <c r="Q309" s="428"/>
      <c r="R309" s="291"/>
      <c r="S309" s="428" t="s">
        <v>341</v>
      </c>
      <c r="T309" s="428"/>
      <c r="U309" s="291"/>
      <c r="V309" s="293" t="s">
        <v>342</v>
      </c>
      <c r="W309" s="293" t="s">
        <v>336</v>
      </c>
      <c r="X309" s="291"/>
    </row>
    <row r="310" spans="1:24" ht="12">
      <c r="A310" s="454" t="s">
        <v>34</v>
      </c>
      <c r="B310" s="454"/>
      <c r="C310" s="454"/>
      <c r="D310" s="454" t="s">
        <v>394</v>
      </c>
      <c r="E310" s="454"/>
      <c r="F310" s="454"/>
      <c r="G310" s="294" t="s">
        <v>344</v>
      </c>
      <c r="H310" s="454" t="s">
        <v>391</v>
      </c>
      <c r="I310" s="454"/>
      <c r="J310" s="452">
        <v>326721</v>
      </c>
      <c r="K310" s="452"/>
      <c r="L310" s="452"/>
      <c r="M310" s="452"/>
      <c r="N310" s="452">
        <v>279240</v>
      </c>
      <c r="O310" s="452"/>
      <c r="P310" s="453">
        <v>47481</v>
      </c>
      <c r="Q310" s="453"/>
      <c r="R310" s="453"/>
      <c r="S310" s="452">
        <v>279240</v>
      </c>
      <c r="T310" s="452"/>
      <c r="U310" s="453">
        <v>0</v>
      </c>
      <c r="V310" s="453"/>
      <c r="W310" s="295">
        <v>85.47</v>
      </c>
      <c r="X310" s="291"/>
    </row>
    <row r="311" spans="1:24" ht="12">
      <c r="A311" s="454" t="s">
        <v>25</v>
      </c>
      <c r="B311" s="454"/>
      <c r="C311" s="454"/>
      <c r="D311" s="454" t="s">
        <v>394</v>
      </c>
      <c r="E311" s="454"/>
      <c r="F311" s="454"/>
      <c r="G311" s="294" t="s">
        <v>344</v>
      </c>
      <c r="H311" s="454" t="s">
        <v>391</v>
      </c>
      <c r="I311" s="454"/>
      <c r="J311" s="452">
        <v>1695</v>
      </c>
      <c r="K311" s="452"/>
      <c r="L311" s="452"/>
      <c r="M311" s="452"/>
      <c r="N311" s="452">
        <v>0</v>
      </c>
      <c r="O311" s="452"/>
      <c r="P311" s="453">
        <v>1695</v>
      </c>
      <c r="Q311" s="453"/>
      <c r="R311" s="453"/>
      <c r="S311" s="452">
        <v>0</v>
      </c>
      <c r="T311" s="452"/>
      <c r="U311" s="453">
        <v>0</v>
      </c>
      <c r="V311" s="453"/>
      <c r="W311" s="295">
        <v>0</v>
      </c>
      <c r="X311" s="291"/>
    </row>
    <row r="312" spans="1:24" ht="12">
      <c r="A312" s="454" t="s">
        <v>35</v>
      </c>
      <c r="B312" s="454"/>
      <c r="C312" s="454"/>
      <c r="D312" s="454" t="s">
        <v>394</v>
      </c>
      <c r="E312" s="454"/>
      <c r="F312" s="454"/>
      <c r="G312" s="294" t="s">
        <v>344</v>
      </c>
      <c r="H312" s="454" t="s">
        <v>391</v>
      </c>
      <c r="I312" s="454"/>
      <c r="J312" s="452">
        <v>258130.97</v>
      </c>
      <c r="K312" s="452"/>
      <c r="L312" s="452"/>
      <c r="M312" s="452"/>
      <c r="N312" s="452">
        <v>55254</v>
      </c>
      <c r="O312" s="452"/>
      <c r="P312" s="453">
        <v>202876.97</v>
      </c>
      <c r="Q312" s="453"/>
      <c r="R312" s="453"/>
      <c r="S312" s="452">
        <v>55254</v>
      </c>
      <c r="T312" s="452"/>
      <c r="U312" s="453">
        <v>0</v>
      </c>
      <c r="V312" s="453"/>
      <c r="W312" s="295">
        <v>21.41</v>
      </c>
      <c r="X312" s="291"/>
    </row>
    <row r="313" spans="1:24" ht="12">
      <c r="A313" s="454" t="s">
        <v>28</v>
      </c>
      <c r="B313" s="454"/>
      <c r="C313" s="454"/>
      <c r="D313" s="454" t="s">
        <v>394</v>
      </c>
      <c r="E313" s="454"/>
      <c r="F313" s="454"/>
      <c r="G313" s="294" t="s">
        <v>344</v>
      </c>
      <c r="H313" s="454" t="s">
        <v>391</v>
      </c>
      <c r="I313" s="454"/>
      <c r="J313" s="452">
        <v>255</v>
      </c>
      <c r="K313" s="452"/>
      <c r="L313" s="452"/>
      <c r="M313" s="452"/>
      <c r="N313" s="452">
        <v>0</v>
      </c>
      <c r="O313" s="452"/>
      <c r="P313" s="453">
        <v>255</v>
      </c>
      <c r="Q313" s="453"/>
      <c r="R313" s="453"/>
      <c r="S313" s="452">
        <v>0</v>
      </c>
      <c r="T313" s="452"/>
      <c r="U313" s="453">
        <v>0</v>
      </c>
      <c r="V313" s="453"/>
      <c r="W313" s="295">
        <v>0</v>
      </c>
      <c r="X313" s="291"/>
    </row>
    <row r="314" spans="1:24" ht="12">
      <c r="A314" s="454" t="s">
        <v>29</v>
      </c>
      <c r="B314" s="454"/>
      <c r="C314" s="454"/>
      <c r="D314" s="454" t="s">
        <v>394</v>
      </c>
      <c r="E314" s="454"/>
      <c r="F314" s="454"/>
      <c r="G314" s="294" t="s">
        <v>344</v>
      </c>
      <c r="H314" s="454" t="s">
        <v>391</v>
      </c>
      <c r="I314" s="454"/>
      <c r="J314" s="452">
        <v>560333.56</v>
      </c>
      <c r="K314" s="452"/>
      <c r="L314" s="452"/>
      <c r="M314" s="452"/>
      <c r="N314" s="452">
        <v>222204.23</v>
      </c>
      <c r="O314" s="452"/>
      <c r="P314" s="453">
        <v>338129.33</v>
      </c>
      <c r="Q314" s="453"/>
      <c r="R314" s="453"/>
      <c r="S314" s="452">
        <v>265139.08</v>
      </c>
      <c r="T314" s="452"/>
      <c r="U314" s="453">
        <v>-42934.85</v>
      </c>
      <c r="V314" s="453"/>
      <c r="W314" s="295">
        <v>47.32</v>
      </c>
      <c r="X314" s="291"/>
    </row>
    <row r="315" spans="1:24" ht="12">
      <c r="A315" s="454" t="s">
        <v>30</v>
      </c>
      <c r="B315" s="454"/>
      <c r="C315" s="454"/>
      <c r="D315" s="454" t="s">
        <v>394</v>
      </c>
      <c r="E315" s="454"/>
      <c r="F315" s="454"/>
      <c r="G315" s="294" t="s">
        <v>344</v>
      </c>
      <c r="H315" s="454" t="s">
        <v>391</v>
      </c>
      <c r="I315" s="454"/>
      <c r="J315" s="452">
        <v>112840</v>
      </c>
      <c r="K315" s="452"/>
      <c r="L315" s="452"/>
      <c r="M315" s="452"/>
      <c r="N315" s="452">
        <v>94558</v>
      </c>
      <c r="O315" s="452"/>
      <c r="P315" s="453">
        <v>18282</v>
      </c>
      <c r="Q315" s="453"/>
      <c r="R315" s="453"/>
      <c r="S315" s="452">
        <v>103957</v>
      </c>
      <c r="T315" s="452"/>
      <c r="U315" s="453">
        <v>-9399</v>
      </c>
      <c r="V315" s="453"/>
      <c r="W315" s="295">
        <v>92.13</v>
      </c>
      <c r="X315" s="291"/>
    </row>
    <row r="316" spans="1:24" ht="12">
      <c r="A316" s="454" t="s">
        <v>36</v>
      </c>
      <c r="B316" s="454"/>
      <c r="C316" s="454"/>
      <c r="D316" s="454" t="s">
        <v>394</v>
      </c>
      <c r="E316" s="454"/>
      <c r="F316" s="454"/>
      <c r="G316" s="294" t="s">
        <v>344</v>
      </c>
      <c r="H316" s="454" t="s">
        <v>391</v>
      </c>
      <c r="I316" s="454"/>
      <c r="J316" s="452">
        <v>28290.35</v>
      </c>
      <c r="K316" s="452"/>
      <c r="L316" s="452"/>
      <c r="M316" s="452"/>
      <c r="N316" s="452">
        <v>27474.35</v>
      </c>
      <c r="O316" s="452"/>
      <c r="P316" s="453">
        <v>816</v>
      </c>
      <c r="Q316" s="453"/>
      <c r="R316" s="453"/>
      <c r="S316" s="452">
        <v>28290.35</v>
      </c>
      <c r="T316" s="452"/>
      <c r="U316" s="453">
        <v>-816</v>
      </c>
      <c r="V316" s="453"/>
      <c r="W316" s="295">
        <v>100</v>
      </c>
      <c r="X316" s="291"/>
    </row>
    <row r="317" spans="1:24" ht="10.5">
      <c r="A317" s="296"/>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1"/>
    </row>
    <row r="318" spans="1:24" ht="12" thickBot="1">
      <c r="A318" s="291"/>
      <c r="B318" s="291"/>
      <c r="C318" s="291"/>
      <c r="D318" s="291"/>
      <c r="E318" s="291"/>
      <c r="F318" s="291"/>
      <c r="G318" s="291"/>
      <c r="H318" s="291"/>
      <c r="I318" s="291"/>
      <c r="J318" s="451">
        <v>1288265.88</v>
      </c>
      <c r="K318" s="451"/>
      <c r="L318" s="451"/>
      <c r="M318" s="451"/>
      <c r="N318" s="451">
        <v>678730.58</v>
      </c>
      <c r="O318" s="451"/>
      <c r="P318" s="451">
        <v>609535.3</v>
      </c>
      <c r="Q318" s="451"/>
      <c r="R318" s="451"/>
      <c r="S318" s="451">
        <v>731880.43</v>
      </c>
      <c r="T318" s="451"/>
      <c r="U318" s="451">
        <v>-53149.85</v>
      </c>
      <c r="V318" s="451"/>
      <c r="W318" s="291"/>
      <c r="X318" s="291"/>
    </row>
    <row r="319" spans="1:24" ht="11.25" thickTop="1">
      <c r="A319" s="297"/>
      <c r="B319" s="297"/>
      <c r="C319" s="297"/>
      <c r="D319" s="297"/>
      <c r="E319" s="297"/>
      <c r="F319" s="297"/>
      <c r="G319" s="297"/>
      <c r="H319" s="297"/>
      <c r="I319" s="297"/>
      <c r="J319" s="297"/>
      <c r="K319" s="297"/>
      <c r="L319" s="297"/>
      <c r="M319" s="297"/>
      <c r="N319" s="297"/>
      <c r="O319" s="297"/>
      <c r="P319" s="297"/>
      <c r="Q319" s="297"/>
      <c r="R319" s="297"/>
      <c r="S319" s="297"/>
      <c r="T319" s="297"/>
      <c r="U319" s="297"/>
      <c r="V319" s="297"/>
      <c r="W319" s="297"/>
      <c r="X319" s="291"/>
    </row>
    <row r="320" spans="1:24" ht="12">
      <c r="A320" s="449" t="s">
        <v>397</v>
      </c>
      <c r="B320" s="449"/>
      <c r="C320" s="449"/>
      <c r="D320" s="449"/>
      <c r="E320" s="449"/>
      <c r="F320" s="449"/>
      <c r="G320" s="449"/>
      <c r="H320" s="449"/>
      <c r="I320" s="291"/>
      <c r="J320" s="450">
        <v>7923331.69</v>
      </c>
      <c r="K320" s="450"/>
      <c r="L320" s="450"/>
      <c r="M320" s="450"/>
      <c r="N320" s="450">
        <v>5563757.62</v>
      </c>
      <c r="O320" s="450"/>
      <c r="P320" s="451">
        <v>2359574.07</v>
      </c>
      <c r="Q320" s="451"/>
      <c r="R320" s="451"/>
      <c r="S320" s="450">
        <v>6170876.62</v>
      </c>
      <c r="T320" s="450"/>
      <c r="U320" s="450">
        <v>-607119</v>
      </c>
      <c r="V320" s="450"/>
      <c r="W320" s="291"/>
      <c r="X320" s="291"/>
    </row>
  </sheetData>
  <sheetProtection/>
  <mergeCells count="1866">
    <mergeCell ref="N6:O6"/>
    <mergeCell ref="P6:Q6"/>
    <mergeCell ref="S6:T6"/>
    <mergeCell ref="A7:B7"/>
    <mergeCell ref="E7:I7"/>
    <mergeCell ref="J7:M7"/>
    <mergeCell ref="N7:O7"/>
    <mergeCell ref="P7:Q7"/>
    <mergeCell ref="S7:T7"/>
    <mergeCell ref="A3:B4"/>
    <mergeCell ref="C3:K3"/>
    <mergeCell ref="B5:C5"/>
    <mergeCell ref="D5:M5"/>
    <mergeCell ref="A6:B6"/>
    <mergeCell ref="E6:I6"/>
    <mergeCell ref="J6:M6"/>
    <mergeCell ref="S10:T10"/>
    <mergeCell ref="U10:V10"/>
    <mergeCell ref="A11:C11"/>
    <mergeCell ref="D11:F11"/>
    <mergeCell ref="H11:I11"/>
    <mergeCell ref="J11:M11"/>
    <mergeCell ref="N11:O11"/>
    <mergeCell ref="P11:R11"/>
    <mergeCell ref="S11:T11"/>
    <mergeCell ref="U11:V11"/>
    <mergeCell ref="A10:C10"/>
    <mergeCell ref="D10:F10"/>
    <mergeCell ref="H10:I10"/>
    <mergeCell ref="J10:M10"/>
    <mergeCell ref="N10:O10"/>
    <mergeCell ref="P10:R10"/>
    <mergeCell ref="S8:T8"/>
    <mergeCell ref="U8:V8"/>
    <mergeCell ref="A9:C9"/>
    <mergeCell ref="D9:F9"/>
    <mergeCell ref="H9:I9"/>
    <mergeCell ref="J9:M9"/>
    <mergeCell ref="N9:O9"/>
    <mergeCell ref="P9:R9"/>
    <mergeCell ref="S9:T9"/>
    <mergeCell ref="U9:V9"/>
    <mergeCell ref="A8:C8"/>
    <mergeCell ref="D8:F8"/>
    <mergeCell ref="H8:I8"/>
    <mergeCell ref="J8:M8"/>
    <mergeCell ref="N8:O8"/>
    <mergeCell ref="P8:R8"/>
    <mergeCell ref="S14:T14"/>
    <mergeCell ref="U14:V14"/>
    <mergeCell ref="A15:C15"/>
    <mergeCell ref="D15:F15"/>
    <mergeCell ref="H15:I15"/>
    <mergeCell ref="J15:M15"/>
    <mergeCell ref="N15:O15"/>
    <mergeCell ref="P15:R15"/>
    <mergeCell ref="S15:T15"/>
    <mergeCell ref="U15:V15"/>
    <mergeCell ref="A14:C14"/>
    <mergeCell ref="D14:F14"/>
    <mergeCell ref="H14:I14"/>
    <mergeCell ref="J14:M14"/>
    <mergeCell ref="N14:O14"/>
    <mergeCell ref="P14:R14"/>
    <mergeCell ref="S12:T12"/>
    <mergeCell ref="U12:V12"/>
    <mergeCell ref="A13:C13"/>
    <mergeCell ref="D13:F13"/>
    <mergeCell ref="H13:I13"/>
    <mergeCell ref="J13:M13"/>
    <mergeCell ref="N13:O13"/>
    <mergeCell ref="P13:R13"/>
    <mergeCell ref="S13:T13"/>
    <mergeCell ref="U13:V13"/>
    <mergeCell ref="A12:C12"/>
    <mergeCell ref="D12:F12"/>
    <mergeCell ref="H12:I12"/>
    <mergeCell ref="J12:M12"/>
    <mergeCell ref="N12:O12"/>
    <mergeCell ref="P12:R12"/>
    <mergeCell ref="S18:T18"/>
    <mergeCell ref="U18:V18"/>
    <mergeCell ref="A19:C19"/>
    <mergeCell ref="D19:F19"/>
    <mergeCell ref="H19:I19"/>
    <mergeCell ref="J19:M19"/>
    <mergeCell ref="N19:O19"/>
    <mergeCell ref="P19:R19"/>
    <mergeCell ref="S19:T19"/>
    <mergeCell ref="U19:V19"/>
    <mergeCell ref="A18:C18"/>
    <mergeCell ref="D18:F18"/>
    <mergeCell ref="H18:I18"/>
    <mergeCell ref="J18:M18"/>
    <mergeCell ref="N18:O18"/>
    <mergeCell ref="P18:R18"/>
    <mergeCell ref="S16:T16"/>
    <mergeCell ref="U16:V16"/>
    <mergeCell ref="A17:C17"/>
    <mergeCell ref="D17:F17"/>
    <mergeCell ref="H17:I17"/>
    <mergeCell ref="J17:M17"/>
    <mergeCell ref="N17:O17"/>
    <mergeCell ref="P17:R17"/>
    <mergeCell ref="S17:T17"/>
    <mergeCell ref="U17:V17"/>
    <mergeCell ref="A16:C16"/>
    <mergeCell ref="D16:F16"/>
    <mergeCell ref="H16:I16"/>
    <mergeCell ref="J16:M16"/>
    <mergeCell ref="N16:O16"/>
    <mergeCell ref="P16:R16"/>
    <mergeCell ref="P24:Q24"/>
    <mergeCell ref="S24:T24"/>
    <mergeCell ref="A25:B25"/>
    <mergeCell ref="E25:I25"/>
    <mergeCell ref="J25:M25"/>
    <mergeCell ref="N25:O25"/>
    <mergeCell ref="P25:Q25"/>
    <mergeCell ref="S25:T25"/>
    <mergeCell ref="B23:C23"/>
    <mergeCell ref="D23:M23"/>
    <mergeCell ref="A24:B24"/>
    <mergeCell ref="E24:I24"/>
    <mergeCell ref="J24:M24"/>
    <mergeCell ref="N24:O24"/>
    <mergeCell ref="S20:T20"/>
    <mergeCell ref="U20:V20"/>
    <mergeCell ref="J22:M22"/>
    <mergeCell ref="N22:O22"/>
    <mergeCell ref="P22:R22"/>
    <mergeCell ref="S22:T22"/>
    <mergeCell ref="U22:V22"/>
    <mergeCell ref="A20:C20"/>
    <mergeCell ref="D20:F20"/>
    <mergeCell ref="H20:I20"/>
    <mergeCell ref="J20:M20"/>
    <mergeCell ref="N20:O20"/>
    <mergeCell ref="P20:R20"/>
    <mergeCell ref="S28:T28"/>
    <mergeCell ref="U28:V28"/>
    <mergeCell ref="A29:C29"/>
    <mergeCell ref="D29:F29"/>
    <mergeCell ref="H29:I29"/>
    <mergeCell ref="J29:M29"/>
    <mergeCell ref="N29:O29"/>
    <mergeCell ref="P29:R29"/>
    <mergeCell ref="S29:T29"/>
    <mergeCell ref="U29:V29"/>
    <mergeCell ref="A28:C28"/>
    <mergeCell ref="D28:F28"/>
    <mergeCell ref="H28:I28"/>
    <mergeCell ref="J28:M28"/>
    <mergeCell ref="N28:O28"/>
    <mergeCell ref="P28:R28"/>
    <mergeCell ref="S26:T26"/>
    <mergeCell ref="U26:V26"/>
    <mergeCell ref="A27:C27"/>
    <mergeCell ref="D27:F27"/>
    <mergeCell ref="H27:I27"/>
    <mergeCell ref="J27:M27"/>
    <mergeCell ref="N27:O27"/>
    <mergeCell ref="P27:R27"/>
    <mergeCell ref="S27:T27"/>
    <mergeCell ref="U27:V27"/>
    <mergeCell ref="A26:C26"/>
    <mergeCell ref="D26:F26"/>
    <mergeCell ref="H26:I26"/>
    <mergeCell ref="J26:M26"/>
    <mergeCell ref="N26:O26"/>
    <mergeCell ref="P26:R26"/>
    <mergeCell ref="S32:T32"/>
    <mergeCell ref="U32:V32"/>
    <mergeCell ref="A33:C33"/>
    <mergeCell ref="D33:F33"/>
    <mergeCell ref="H33:I33"/>
    <mergeCell ref="J33:M33"/>
    <mergeCell ref="N33:O33"/>
    <mergeCell ref="P33:R33"/>
    <mergeCell ref="S33:T33"/>
    <mergeCell ref="U33:V33"/>
    <mergeCell ref="A32:C32"/>
    <mergeCell ref="D32:F32"/>
    <mergeCell ref="H32:I32"/>
    <mergeCell ref="J32:M32"/>
    <mergeCell ref="N32:O32"/>
    <mergeCell ref="P32:R32"/>
    <mergeCell ref="S30:T30"/>
    <mergeCell ref="U30:V30"/>
    <mergeCell ref="A31:C31"/>
    <mergeCell ref="D31:F31"/>
    <mergeCell ref="H31:I31"/>
    <mergeCell ref="J31:M31"/>
    <mergeCell ref="N31:O31"/>
    <mergeCell ref="P31:R31"/>
    <mergeCell ref="S31:T31"/>
    <mergeCell ref="U31:V31"/>
    <mergeCell ref="A30:C30"/>
    <mergeCell ref="D30:F30"/>
    <mergeCell ref="H30:I30"/>
    <mergeCell ref="J30:M30"/>
    <mergeCell ref="N30:O30"/>
    <mergeCell ref="P30:R30"/>
    <mergeCell ref="S36:T36"/>
    <mergeCell ref="U36:V36"/>
    <mergeCell ref="A37:C37"/>
    <mergeCell ref="D37:F37"/>
    <mergeCell ref="H37:I37"/>
    <mergeCell ref="J37:M37"/>
    <mergeCell ref="N37:O37"/>
    <mergeCell ref="P37:R37"/>
    <mergeCell ref="S37:T37"/>
    <mergeCell ref="U37:V37"/>
    <mergeCell ref="A36:C36"/>
    <mergeCell ref="D36:F36"/>
    <mergeCell ref="H36:I36"/>
    <mergeCell ref="J36:M36"/>
    <mergeCell ref="N36:O36"/>
    <mergeCell ref="P36:R36"/>
    <mergeCell ref="S34:T34"/>
    <mergeCell ref="U34:V34"/>
    <mergeCell ref="A35:C35"/>
    <mergeCell ref="D35:F35"/>
    <mergeCell ref="H35:I35"/>
    <mergeCell ref="J35:M35"/>
    <mergeCell ref="N35:O35"/>
    <mergeCell ref="P35:R35"/>
    <mergeCell ref="S35:T35"/>
    <mergeCell ref="U35:V35"/>
    <mergeCell ref="A34:C34"/>
    <mergeCell ref="D34:F34"/>
    <mergeCell ref="H34:I34"/>
    <mergeCell ref="J34:M34"/>
    <mergeCell ref="N34:O34"/>
    <mergeCell ref="P34:R34"/>
    <mergeCell ref="B41:C41"/>
    <mergeCell ref="D41:M41"/>
    <mergeCell ref="A42:B42"/>
    <mergeCell ref="E42:I42"/>
    <mergeCell ref="J42:M42"/>
    <mergeCell ref="N42:O42"/>
    <mergeCell ref="S38:T38"/>
    <mergeCell ref="U38:V38"/>
    <mergeCell ref="J40:M40"/>
    <mergeCell ref="N40:O40"/>
    <mergeCell ref="P40:R40"/>
    <mergeCell ref="S40:T40"/>
    <mergeCell ref="U40:V40"/>
    <mergeCell ref="A38:C38"/>
    <mergeCell ref="D38:F38"/>
    <mergeCell ref="H38:I38"/>
    <mergeCell ref="J38:M38"/>
    <mergeCell ref="N38:O38"/>
    <mergeCell ref="P38:R38"/>
    <mergeCell ref="S44:T44"/>
    <mergeCell ref="U44:V44"/>
    <mergeCell ref="A45:C45"/>
    <mergeCell ref="D45:F45"/>
    <mergeCell ref="H45:I45"/>
    <mergeCell ref="J45:M45"/>
    <mergeCell ref="N45:O45"/>
    <mergeCell ref="P45:R45"/>
    <mergeCell ref="S45:T45"/>
    <mergeCell ref="U45:V45"/>
    <mergeCell ref="A44:C44"/>
    <mergeCell ref="D44:F44"/>
    <mergeCell ref="H44:I44"/>
    <mergeCell ref="J44:M44"/>
    <mergeCell ref="N44:O44"/>
    <mergeCell ref="P44:R44"/>
    <mergeCell ref="P42:Q42"/>
    <mergeCell ref="S42:T42"/>
    <mergeCell ref="A43:B43"/>
    <mergeCell ref="E43:I43"/>
    <mergeCell ref="J43:M43"/>
    <mergeCell ref="N43:O43"/>
    <mergeCell ref="P43:Q43"/>
    <mergeCell ref="S43:T43"/>
    <mergeCell ref="S48:T48"/>
    <mergeCell ref="U48:V48"/>
    <mergeCell ref="A49:C49"/>
    <mergeCell ref="D49:F49"/>
    <mergeCell ref="H49:I49"/>
    <mergeCell ref="J49:M49"/>
    <mergeCell ref="N49:O49"/>
    <mergeCell ref="P49:R49"/>
    <mergeCell ref="S49:T49"/>
    <mergeCell ref="U49:V49"/>
    <mergeCell ref="A48:C48"/>
    <mergeCell ref="D48:F48"/>
    <mergeCell ref="H48:I48"/>
    <mergeCell ref="J48:M48"/>
    <mergeCell ref="N48:O48"/>
    <mergeCell ref="P48:R48"/>
    <mergeCell ref="S46:T46"/>
    <mergeCell ref="U46:V46"/>
    <mergeCell ref="A47:C47"/>
    <mergeCell ref="D47:F47"/>
    <mergeCell ref="H47:I47"/>
    <mergeCell ref="J47:M47"/>
    <mergeCell ref="N47:O47"/>
    <mergeCell ref="P47:R47"/>
    <mergeCell ref="S47:T47"/>
    <mergeCell ref="U47:V47"/>
    <mergeCell ref="A46:C46"/>
    <mergeCell ref="D46:F46"/>
    <mergeCell ref="H46:I46"/>
    <mergeCell ref="J46:M46"/>
    <mergeCell ref="N46:O46"/>
    <mergeCell ref="P46:R46"/>
    <mergeCell ref="S52:T52"/>
    <mergeCell ref="U52:V52"/>
    <mergeCell ref="A53:C53"/>
    <mergeCell ref="D53:F53"/>
    <mergeCell ref="H53:I53"/>
    <mergeCell ref="J53:M53"/>
    <mergeCell ref="N53:O53"/>
    <mergeCell ref="P53:R53"/>
    <mergeCell ref="S53:T53"/>
    <mergeCell ref="U53:V53"/>
    <mergeCell ref="A52:C52"/>
    <mergeCell ref="D52:F52"/>
    <mergeCell ref="H52:I52"/>
    <mergeCell ref="J52:M52"/>
    <mergeCell ref="N52:O52"/>
    <mergeCell ref="P52:R52"/>
    <mergeCell ref="S50:T50"/>
    <mergeCell ref="U50:V50"/>
    <mergeCell ref="A51:C51"/>
    <mergeCell ref="D51:F51"/>
    <mergeCell ref="H51:I51"/>
    <mergeCell ref="J51:M51"/>
    <mergeCell ref="N51:O51"/>
    <mergeCell ref="P51:R51"/>
    <mergeCell ref="S51:T51"/>
    <mergeCell ref="U51:V51"/>
    <mergeCell ref="A50:C50"/>
    <mergeCell ref="D50:F50"/>
    <mergeCell ref="H50:I50"/>
    <mergeCell ref="J50:M50"/>
    <mergeCell ref="N50:O50"/>
    <mergeCell ref="P50:R50"/>
    <mergeCell ref="U60:V60"/>
    <mergeCell ref="S56:T56"/>
    <mergeCell ref="U56:V56"/>
    <mergeCell ref="J58:M58"/>
    <mergeCell ref="N58:O58"/>
    <mergeCell ref="P58:R58"/>
    <mergeCell ref="S58:T58"/>
    <mergeCell ref="U58:V58"/>
    <mergeCell ref="A56:C56"/>
    <mergeCell ref="D56:F56"/>
    <mergeCell ref="H56:I56"/>
    <mergeCell ref="J56:M56"/>
    <mergeCell ref="N56:O56"/>
    <mergeCell ref="P56:R56"/>
    <mergeCell ref="S54:T54"/>
    <mergeCell ref="U54:V54"/>
    <mergeCell ref="A55:C55"/>
    <mergeCell ref="D55:F55"/>
    <mergeCell ref="H55:I55"/>
    <mergeCell ref="J55:M55"/>
    <mergeCell ref="N55:O55"/>
    <mergeCell ref="P55:R55"/>
    <mergeCell ref="S55:T55"/>
    <mergeCell ref="U55:V55"/>
    <mergeCell ref="A54:C54"/>
    <mergeCell ref="D54:F54"/>
    <mergeCell ref="H54:I54"/>
    <mergeCell ref="J54:M54"/>
    <mergeCell ref="N54:O54"/>
    <mergeCell ref="P54:R54"/>
    <mergeCell ref="N64:O64"/>
    <mergeCell ref="P64:Q64"/>
    <mergeCell ref="S64:T64"/>
    <mergeCell ref="A65:B65"/>
    <mergeCell ref="E65:I65"/>
    <mergeCell ref="J65:M65"/>
    <mergeCell ref="N65:O65"/>
    <mergeCell ref="P65:Q65"/>
    <mergeCell ref="S65:T65"/>
    <mergeCell ref="A61:B62"/>
    <mergeCell ref="C61:K61"/>
    <mergeCell ref="B63:C63"/>
    <mergeCell ref="D63:M63"/>
    <mergeCell ref="A64:B64"/>
    <mergeCell ref="E64:I64"/>
    <mergeCell ref="J64:M64"/>
    <mergeCell ref="A60:H60"/>
    <mergeCell ref="J60:M60"/>
    <mergeCell ref="N60:O60"/>
    <mergeCell ref="P60:R60"/>
    <mergeCell ref="S60:T60"/>
    <mergeCell ref="B69:C69"/>
    <mergeCell ref="D69:M69"/>
    <mergeCell ref="A70:B70"/>
    <mergeCell ref="E70:I70"/>
    <mergeCell ref="J70:M70"/>
    <mergeCell ref="N70:O70"/>
    <mergeCell ref="S66:T66"/>
    <mergeCell ref="U66:V66"/>
    <mergeCell ref="J68:M68"/>
    <mergeCell ref="N68:O68"/>
    <mergeCell ref="P68:R68"/>
    <mergeCell ref="S68:T68"/>
    <mergeCell ref="U68:V68"/>
    <mergeCell ref="A66:C66"/>
    <mergeCell ref="D66:F66"/>
    <mergeCell ref="H66:I66"/>
    <mergeCell ref="J66:M66"/>
    <mergeCell ref="N66:O66"/>
    <mergeCell ref="P66:R66"/>
    <mergeCell ref="U76:V76"/>
    <mergeCell ref="S72:T72"/>
    <mergeCell ref="U72:V72"/>
    <mergeCell ref="J74:M74"/>
    <mergeCell ref="N74:O74"/>
    <mergeCell ref="P74:R74"/>
    <mergeCell ref="S74:T74"/>
    <mergeCell ref="U74:V74"/>
    <mergeCell ref="A72:C72"/>
    <mergeCell ref="D72:F72"/>
    <mergeCell ref="H72:I72"/>
    <mergeCell ref="J72:M72"/>
    <mergeCell ref="N72:O72"/>
    <mergeCell ref="P72:R72"/>
    <mergeCell ref="P70:Q70"/>
    <mergeCell ref="S70:T70"/>
    <mergeCell ref="A71:B71"/>
    <mergeCell ref="E71:I71"/>
    <mergeCell ref="J71:M71"/>
    <mergeCell ref="N71:O71"/>
    <mergeCell ref="P71:Q71"/>
    <mergeCell ref="S71:T71"/>
    <mergeCell ref="N80:O80"/>
    <mergeCell ref="P80:Q80"/>
    <mergeCell ref="S80:T80"/>
    <mergeCell ref="A81:B81"/>
    <mergeCell ref="E81:I81"/>
    <mergeCell ref="J81:M81"/>
    <mergeCell ref="N81:O81"/>
    <mergeCell ref="P81:Q81"/>
    <mergeCell ref="S81:T81"/>
    <mergeCell ref="A77:B78"/>
    <mergeCell ref="C77:K77"/>
    <mergeCell ref="B79:C79"/>
    <mergeCell ref="D79:M79"/>
    <mergeCell ref="A80:B80"/>
    <mergeCell ref="E80:I80"/>
    <mergeCell ref="J80:M80"/>
    <mergeCell ref="A76:H76"/>
    <mergeCell ref="J76:M76"/>
    <mergeCell ref="N76:O76"/>
    <mergeCell ref="P76:R76"/>
    <mergeCell ref="S76:T76"/>
    <mergeCell ref="S84:T84"/>
    <mergeCell ref="U84:V84"/>
    <mergeCell ref="A85:C85"/>
    <mergeCell ref="D85:F85"/>
    <mergeCell ref="H85:I85"/>
    <mergeCell ref="J85:M85"/>
    <mergeCell ref="N85:O85"/>
    <mergeCell ref="P85:R85"/>
    <mergeCell ref="S85:T85"/>
    <mergeCell ref="U85:V85"/>
    <mergeCell ref="A84:C84"/>
    <mergeCell ref="D84:F84"/>
    <mergeCell ref="H84:I84"/>
    <mergeCell ref="J84:M84"/>
    <mergeCell ref="N84:O84"/>
    <mergeCell ref="P84:R84"/>
    <mergeCell ref="S82:T82"/>
    <mergeCell ref="U82:V82"/>
    <mergeCell ref="A83:C83"/>
    <mergeCell ref="D83:F83"/>
    <mergeCell ref="H83:I83"/>
    <mergeCell ref="J83:M83"/>
    <mergeCell ref="N83:O83"/>
    <mergeCell ref="P83:R83"/>
    <mergeCell ref="S83:T83"/>
    <mergeCell ref="U83:V83"/>
    <mergeCell ref="A82:C82"/>
    <mergeCell ref="D82:F82"/>
    <mergeCell ref="H82:I82"/>
    <mergeCell ref="J82:M82"/>
    <mergeCell ref="N82:O82"/>
    <mergeCell ref="P82:R82"/>
    <mergeCell ref="P90:Q90"/>
    <mergeCell ref="S90:T90"/>
    <mergeCell ref="A91:B91"/>
    <mergeCell ref="E91:I91"/>
    <mergeCell ref="J91:M91"/>
    <mergeCell ref="N91:O91"/>
    <mergeCell ref="P91:Q91"/>
    <mergeCell ref="S91:T91"/>
    <mergeCell ref="B89:C89"/>
    <mergeCell ref="D89:M89"/>
    <mergeCell ref="A90:B90"/>
    <mergeCell ref="E90:I90"/>
    <mergeCell ref="J90:M90"/>
    <mergeCell ref="N90:O90"/>
    <mergeCell ref="S86:T86"/>
    <mergeCell ref="U86:V86"/>
    <mergeCell ref="J88:M88"/>
    <mergeCell ref="N88:O88"/>
    <mergeCell ref="P88:R88"/>
    <mergeCell ref="S88:T88"/>
    <mergeCell ref="U88:V88"/>
    <mergeCell ref="A86:C86"/>
    <mergeCell ref="D86:F86"/>
    <mergeCell ref="H86:I86"/>
    <mergeCell ref="J86:M86"/>
    <mergeCell ref="N86:O86"/>
    <mergeCell ref="P86:R86"/>
    <mergeCell ref="S94:T94"/>
    <mergeCell ref="U94:V94"/>
    <mergeCell ref="A95:C95"/>
    <mergeCell ref="D95:F95"/>
    <mergeCell ref="H95:I95"/>
    <mergeCell ref="J95:M95"/>
    <mergeCell ref="N95:O95"/>
    <mergeCell ref="P95:R95"/>
    <mergeCell ref="S95:T95"/>
    <mergeCell ref="U95:V95"/>
    <mergeCell ref="A94:C94"/>
    <mergeCell ref="D94:F94"/>
    <mergeCell ref="H94:I94"/>
    <mergeCell ref="J94:M94"/>
    <mergeCell ref="N94:O94"/>
    <mergeCell ref="P94:R94"/>
    <mergeCell ref="S92:T92"/>
    <mergeCell ref="U92:V92"/>
    <mergeCell ref="A93:C93"/>
    <mergeCell ref="D93:F93"/>
    <mergeCell ref="H93:I93"/>
    <mergeCell ref="J93:M93"/>
    <mergeCell ref="N93:O93"/>
    <mergeCell ref="P93:R93"/>
    <mergeCell ref="S93:T93"/>
    <mergeCell ref="U93:V93"/>
    <mergeCell ref="A92:C92"/>
    <mergeCell ref="D92:F92"/>
    <mergeCell ref="H92:I92"/>
    <mergeCell ref="J92:M92"/>
    <mergeCell ref="N92:O92"/>
    <mergeCell ref="P92:R92"/>
    <mergeCell ref="P100:Q100"/>
    <mergeCell ref="S100:T100"/>
    <mergeCell ref="A101:B101"/>
    <mergeCell ref="E101:I101"/>
    <mergeCell ref="J101:M101"/>
    <mergeCell ref="N101:O101"/>
    <mergeCell ref="P101:Q101"/>
    <mergeCell ref="S101:T101"/>
    <mergeCell ref="B99:C99"/>
    <mergeCell ref="D99:M99"/>
    <mergeCell ref="A100:B100"/>
    <mergeCell ref="E100:I100"/>
    <mergeCell ref="J100:M100"/>
    <mergeCell ref="N100:O100"/>
    <mergeCell ref="S96:T96"/>
    <mergeCell ref="U96:V96"/>
    <mergeCell ref="J98:M98"/>
    <mergeCell ref="N98:O98"/>
    <mergeCell ref="P98:R98"/>
    <mergeCell ref="S98:T98"/>
    <mergeCell ref="U98:V98"/>
    <mergeCell ref="A96:C96"/>
    <mergeCell ref="D96:F96"/>
    <mergeCell ref="H96:I96"/>
    <mergeCell ref="J96:M96"/>
    <mergeCell ref="N96:O96"/>
    <mergeCell ref="P96:R96"/>
    <mergeCell ref="S104:T104"/>
    <mergeCell ref="U104:V104"/>
    <mergeCell ref="A105:C105"/>
    <mergeCell ref="D105:F105"/>
    <mergeCell ref="H105:I105"/>
    <mergeCell ref="J105:M105"/>
    <mergeCell ref="N105:O105"/>
    <mergeCell ref="P105:R105"/>
    <mergeCell ref="S105:T105"/>
    <mergeCell ref="U105:V105"/>
    <mergeCell ref="A104:C104"/>
    <mergeCell ref="D104:F104"/>
    <mergeCell ref="H104:I104"/>
    <mergeCell ref="J104:M104"/>
    <mergeCell ref="N104:O104"/>
    <mergeCell ref="P104:R104"/>
    <mergeCell ref="S102:T102"/>
    <mergeCell ref="U102:V102"/>
    <mergeCell ref="A103:C103"/>
    <mergeCell ref="D103:F103"/>
    <mergeCell ref="H103:I103"/>
    <mergeCell ref="J103:M103"/>
    <mergeCell ref="N103:O103"/>
    <mergeCell ref="P103:R103"/>
    <mergeCell ref="S103:T103"/>
    <mergeCell ref="U103:V103"/>
    <mergeCell ref="A102:C102"/>
    <mergeCell ref="D102:F102"/>
    <mergeCell ref="H102:I102"/>
    <mergeCell ref="J102:M102"/>
    <mergeCell ref="N102:O102"/>
    <mergeCell ref="P102:R102"/>
    <mergeCell ref="A111:B112"/>
    <mergeCell ref="C111:K111"/>
    <mergeCell ref="B113:C113"/>
    <mergeCell ref="D113:M113"/>
    <mergeCell ref="A114:B114"/>
    <mergeCell ref="E114:I114"/>
    <mergeCell ref="J114:M114"/>
    <mergeCell ref="A110:H110"/>
    <mergeCell ref="J110:M110"/>
    <mergeCell ref="N110:O110"/>
    <mergeCell ref="P110:R110"/>
    <mergeCell ref="S110:T110"/>
    <mergeCell ref="U110:V110"/>
    <mergeCell ref="S106:T106"/>
    <mergeCell ref="U106:V106"/>
    <mergeCell ref="J108:M108"/>
    <mergeCell ref="N108:O108"/>
    <mergeCell ref="P108:R108"/>
    <mergeCell ref="S108:T108"/>
    <mergeCell ref="U108:V108"/>
    <mergeCell ref="A106:C106"/>
    <mergeCell ref="D106:F106"/>
    <mergeCell ref="H106:I106"/>
    <mergeCell ref="J106:M106"/>
    <mergeCell ref="N106:O106"/>
    <mergeCell ref="P106:R106"/>
    <mergeCell ref="U120:V120"/>
    <mergeCell ref="S116:T116"/>
    <mergeCell ref="U116:V116"/>
    <mergeCell ref="J118:M118"/>
    <mergeCell ref="N118:O118"/>
    <mergeCell ref="P118:R118"/>
    <mergeCell ref="S118:T118"/>
    <mergeCell ref="U118:V118"/>
    <mergeCell ref="A116:C116"/>
    <mergeCell ref="D116:F116"/>
    <mergeCell ref="H116:I116"/>
    <mergeCell ref="J116:M116"/>
    <mergeCell ref="N116:O116"/>
    <mergeCell ref="P116:R116"/>
    <mergeCell ref="N114:O114"/>
    <mergeCell ref="P114:Q114"/>
    <mergeCell ref="S114:T114"/>
    <mergeCell ref="A115:B115"/>
    <mergeCell ref="E115:I115"/>
    <mergeCell ref="J115:M115"/>
    <mergeCell ref="N115:O115"/>
    <mergeCell ref="P115:Q115"/>
    <mergeCell ref="S115:T115"/>
    <mergeCell ref="N124:O124"/>
    <mergeCell ref="P124:Q124"/>
    <mergeCell ref="S124:T124"/>
    <mergeCell ref="A125:B125"/>
    <mergeCell ref="E125:I125"/>
    <mergeCell ref="J125:M125"/>
    <mergeCell ref="N125:O125"/>
    <mergeCell ref="P125:Q125"/>
    <mergeCell ref="S125:T125"/>
    <mergeCell ref="A121:B122"/>
    <mergeCell ref="C121:K121"/>
    <mergeCell ref="B123:C123"/>
    <mergeCell ref="D123:M123"/>
    <mergeCell ref="A124:B124"/>
    <mergeCell ref="E124:I124"/>
    <mergeCell ref="J124:M124"/>
    <mergeCell ref="A120:H120"/>
    <mergeCell ref="J120:M120"/>
    <mergeCell ref="N120:O120"/>
    <mergeCell ref="P120:R120"/>
    <mergeCell ref="S120:T120"/>
    <mergeCell ref="S128:T128"/>
    <mergeCell ref="U128:V128"/>
    <mergeCell ref="A129:C129"/>
    <mergeCell ref="D129:F129"/>
    <mergeCell ref="H129:I129"/>
    <mergeCell ref="J129:M129"/>
    <mergeCell ref="N129:O129"/>
    <mergeCell ref="P129:R129"/>
    <mergeCell ref="S129:T129"/>
    <mergeCell ref="U129:V129"/>
    <mergeCell ref="A128:C128"/>
    <mergeCell ref="D128:F128"/>
    <mergeCell ref="H128:I128"/>
    <mergeCell ref="J128:M128"/>
    <mergeCell ref="N128:O128"/>
    <mergeCell ref="P128:R128"/>
    <mergeCell ref="S126:T126"/>
    <mergeCell ref="U126:V126"/>
    <mergeCell ref="A127:C127"/>
    <mergeCell ref="D127:F127"/>
    <mergeCell ref="H127:I127"/>
    <mergeCell ref="J127:M127"/>
    <mergeCell ref="N127:O127"/>
    <mergeCell ref="P127:R127"/>
    <mergeCell ref="S127:T127"/>
    <mergeCell ref="U127:V127"/>
    <mergeCell ref="A126:C126"/>
    <mergeCell ref="D126:F126"/>
    <mergeCell ref="H126:I126"/>
    <mergeCell ref="J126:M126"/>
    <mergeCell ref="N126:O126"/>
    <mergeCell ref="P126:R126"/>
    <mergeCell ref="S132:T132"/>
    <mergeCell ref="U132:V132"/>
    <mergeCell ref="A133:C133"/>
    <mergeCell ref="D133:F133"/>
    <mergeCell ref="H133:I133"/>
    <mergeCell ref="J133:M133"/>
    <mergeCell ref="N133:O133"/>
    <mergeCell ref="P133:R133"/>
    <mergeCell ref="S133:T133"/>
    <mergeCell ref="U133:V133"/>
    <mergeCell ref="A132:C132"/>
    <mergeCell ref="D132:F132"/>
    <mergeCell ref="H132:I132"/>
    <mergeCell ref="J132:M132"/>
    <mergeCell ref="N132:O132"/>
    <mergeCell ref="P132:R132"/>
    <mergeCell ref="S130:T130"/>
    <mergeCell ref="U130:V130"/>
    <mergeCell ref="A131:C131"/>
    <mergeCell ref="D131:F131"/>
    <mergeCell ref="H131:I131"/>
    <mergeCell ref="J131:M131"/>
    <mergeCell ref="N131:O131"/>
    <mergeCell ref="P131:R131"/>
    <mergeCell ref="S131:T131"/>
    <mergeCell ref="U131:V131"/>
    <mergeCell ref="A130:C130"/>
    <mergeCell ref="D130:F130"/>
    <mergeCell ref="H130:I130"/>
    <mergeCell ref="J130:M130"/>
    <mergeCell ref="N130:O130"/>
    <mergeCell ref="P130:R130"/>
    <mergeCell ref="S136:T136"/>
    <mergeCell ref="U136:V136"/>
    <mergeCell ref="A137:C137"/>
    <mergeCell ref="D137:F137"/>
    <mergeCell ref="H137:I137"/>
    <mergeCell ref="J137:M137"/>
    <mergeCell ref="N137:O137"/>
    <mergeCell ref="P137:R137"/>
    <mergeCell ref="S137:T137"/>
    <mergeCell ref="U137:V137"/>
    <mergeCell ref="A136:C136"/>
    <mergeCell ref="D136:F136"/>
    <mergeCell ref="H136:I136"/>
    <mergeCell ref="J136:M136"/>
    <mergeCell ref="N136:O136"/>
    <mergeCell ref="P136:R136"/>
    <mergeCell ref="S134:T134"/>
    <mergeCell ref="U134:V134"/>
    <mergeCell ref="A135:C135"/>
    <mergeCell ref="D135:F135"/>
    <mergeCell ref="H135:I135"/>
    <mergeCell ref="J135:M135"/>
    <mergeCell ref="N135:O135"/>
    <mergeCell ref="P135:R135"/>
    <mergeCell ref="S135:T135"/>
    <mergeCell ref="U135:V135"/>
    <mergeCell ref="A134:C134"/>
    <mergeCell ref="D134:F134"/>
    <mergeCell ref="H134:I134"/>
    <mergeCell ref="J134:M134"/>
    <mergeCell ref="N134:O134"/>
    <mergeCell ref="P134:R134"/>
    <mergeCell ref="P142:Q142"/>
    <mergeCell ref="S142:T142"/>
    <mergeCell ref="A143:B143"/>
    <mergeCell ref="E143:I143"/>
    <mergeCell ref="J143:M143"/>
    <mergeCell ref="N143:O143"/>
    <mergeCell ref="P143:Q143"/>
    <mergeCell ref="S143:T143"/>
    <mergeCell ref="B141:C141"/>
    <mergeCell ref="D141:M141"/>
    <mergeCell ref="A142:B142"/>
    <mergeCell ref="E142:I142"/>
    <mergeCell ref="J142:M142"/>
    <mergeCell ref="N142:O142"/>
    <mergeCell ref="S138:T138"/>
    <mergeCell ref="U138:V138"/>
    <mergeCell ref="J140:M140"/>
    <mergeCell ref="N140:O140"/>
    <mergeCell ref="P140:R140"/>
    <mergeCell ref="S140:T140"/>
    <mergeCell ref="U140:V140"/>
    <mergeCell ref="A138:C138"/>
    <mergeCell ref="D138:F138"/>
    <mergeCell ref="H138:I138"/>
    <mergeCell ref="J138:M138"/>
    <mergeCell ref="N138:O138"/>
    <mergeCell ref="P138:R138"/>
    <mergeCell ref="S146:T146"/>
    <mergeCell ref="U146:V146"/>
    <mergeCell ref="A147:C147"/>
    <mergeCell ref="D147:F147"/>
    <mergeCell ref="H147:I147"/>
    <mergeCell ref="J147:M147"/>
    <mergeCell ref="N147:O147"/>
    <mergeCell ref="P147:R147"/>
    <mergeCell ref="S147:T147"/>
    <mergeCell ref="U147:V147"/>
    <mergeCell ref="A146:C146"/>
    <mergeCell ref="D146:F146"/>
    <mergeCell ref="H146:I146"/>
    <mergeCell ref="J146:M146"/>
    <mergeCell ref="N146:O146"/>
    <mergeCell ref="P146:R146"/>
    <mergeCell ref="S144:T144"/>
    <mergeCell ref="U144:V144"/>
    <mergeCell ref="A145:C145"/>
    <mergeCell ref="D145:F145"/>
    <mergeCell ref="H145:I145"/>
    <mergeCell ref="J145:M145"/>
    <mergeCell ref="N145:O145"/>
    <mergeCell ref="P145:R145"/>
    <mergeCell ref="S145:T145"/>
    <mergeCell ref="U145:V145"/>
    <mergeCell ref="A144:C144"/>
    <mergeCell ref="D144:F144"/>
    <mergeCell ref="H144:I144"/>
    <mergeCell ref="J144:M144"/>
    <mergeCell ref="N144:O144"/>
    <mergeCell ref="P144:R144"/>
    <mergeCell ref="S150:T150"/>
    <mergeCell ref="U150:V150"/>
    <mergeCell ref="A151:C151"/>
    <mergeCell ref="D151:F151"/>
    <mergeCell ref="H151:I151"/>
    <mergeCell ref="J151:M151"/>
    <mergeCell ref="N151:O151"/>
    <mergeCell ref="P151:R151"/>
    <mergeCell ref="S151:T151"/>
    <mergeCell ref="U151:V151"/>
    <mergeCell ref="A150:C150"/>
    <mergeCell ref="D150:F150"/>
    <mergeCell ref="H150:I150"/>
    <mergeCell ref="J150:M150"/>
    <mergeCell ref="N150:O150"/>
    <mergeCell ref="P150:R150"/>
    <mergeCell ref="S148:T148"/>
    <mergeCell ref="U148:V148"/>
    <mergeCell ref="A149:C149"/>
    <mergeCell ref="D149:F149"/>
    <mergeCell ref="H149:I149"/>
    <mergeCell ref="J149:M149"/>
    <mergeCell ref="N149:O149"/>
    <mergeCell ref="P149:R149"/>
    <mergeCell ref="S149:T149"/>
    <mergeCell ref="U149:V149"/>
    <mergeCell ref="A148:C148"/>
    <mergeCell ref="D148:F148"/>
    <mergeCell ref="H148:I148"/>
    <mergeCell ref="J148:M148"/>
    <mergeCell ref="N148:O148"/>
    <mergeCell ref="P148:R148"/>
    <mergeCell ref="S154:T154"/>
    <mergeCell ref="U154:V154"/>
    <mergeCell ref="A155:C155"/>
    <mergeCell ref="D155:F155"/>
    <mergeCell ref="H155:I155"/>
    <mergeCell ref="J155:M155"/>
    <mergeCell ref="N155:O155"/>
    <mergeCell ref="P155:R155"/>
    <mergeCell ref="S155:T155"/>
    <mergeCell ref="U155:V155"/>
    <mergeCell ref="A154:C154"/>
    <mergeCell ref="D154:F154"/>
    <mergeCell ref="H154:I154"/>
    <mergeCell ref="J154:M154"/>
    <mergeCell ref="N154:O154"/>
    <mergeCell ref="P154:R154"/>
    <mergeCell ref="S152:T152"/>
    <mergeCell ref="U152:V152"/>
    <mergeCell ref="A153:C153"/>
    <mergeCell ref="D153:F153"/>
    <mergeCell ref="H153:I153"/>
    <mergeCell ref="J153:M153"/>
    <mergeCell ref="N153:O153"/>
    <mergeCell ref="P153:R153"/>
    <mergeCell ref="S153:T153"/>
    <mergeCell ref="U153:V153"/>
    <mergeCell ref="A152:C152"/>
    <mergeCell ref="D152:F152"/>
    <mergeCell ref="H152:I152"/>
    <mergeCell ref="J152:M152"/>
    <mergeCell ref="N152:O152"/>
    <mergeCell ref="P152:R152"/>
    <mergeCell ref="B159:C159"/>
    <mergeCell ref="D159:M159"/>
    <mergeCell ref="A160:B160"/>
    <mergeCell ref="E160:I160"/>
    <mergeCell ref="J160:M160"/>
    <mergeCell ref="N160:O160"/>
    <mergeCell ref="S156:T156"/>
    <mergeCell ref="U156:V156"/>
    <mergeCell ref="J158:M158"/>
    <mergeCell ref="N158:O158"/>
    <mergeCell ref="P158:R158"/>
    <mergeCell ref="S158:T158"/>
    <mergeCell ref="U158:V158"/>
    <mergeCell ref="A156:C156"/>
    <mergeCell ref="D156:F156"/>
    <mergeCell ref="H156:I156"/>
    <mergeCell ref="J156:M156"/>
    <mergeCell ref="N156:O156"/>
    <mergeCell ref="P156:R156"/>
    <mergeCell ref="S162:T162"/>
    <mergeCell ref="U162:V162"/>
    <mergeCell ref="A163:C163"/>
    <mergeCell ref="D163:F163"/>
    <mergeCell ref="H163:I163"/>
    <mergeCell ref="J163:M163"/>
    <mergeCell ref="N163:O163"/>
    <mergeCell ref="P163:R163"/>
    <mergeCell ref="S163:T163"/>
    <mergeCell ref="U163:V163"/>
    <mergeCell ref="A162:C162"/>
    <mergeCell ref="D162:F162"/>
    <mergeCell ref="H162:I162"/>
    <mergeCell ref="J162:M162"/>
    <mergeCell ref="N162:O162"/>
    <mergeCell ref="P162:R162"/>
    <mergeCell ref="P160:Q160"/>
    <mergeCell ref="S160:T160"/>
    <mergeCell ref="A161:B161"/>
    <mergeCell ref="E161:I161"/>
    <mergeCell ref="J161:M161"/>
    <mergeCell ref="N161:O161"/>
    <mergeCell ref="P161:Q161"/>
    <mergeCell ref="S161:T161"/>
    <mergeCell ref="S166:T166"/>
    <mergeCell ref="U166:V166"/>
    <mergeCell ref="A167:C167"/>
    <mergeCell ref="D167:F167"/>
    <mergeCell ref="H167:I167"/>
    <mergeCell ref="J167:M167"/>
    <mergeCell ref="N167:O167"/>
    <mergeCell ref="P167:R167"/>
    <mergeCell ref="S167:T167"/>
    <mergeCell ref="U167:V167"/>
    <mergeCell ref="A166:C166"/>
    <mergeCell ref="D166:F166"/>
    <mergeCell ref="H166:I166"/>
    <mergeCell ref="J166:M166"/>
    <mergeCell ref="N166:O166"/>
    <mergeCell ref="P166:R166"/>
    <mergeCell ref="S164:T164"/>
    <mergeCell ref="U164:V164"/>
    <mergeCell ref="A165:C165"/>
    <mergeCell ref="D165:F165"/>
    <mergeCell ref="H165:I165"/>
    <mergeCell ref="J165:M165"/>
    <mergeCell ref="N165:O165"/>
    <mergeCell ref="P165:R165"/>
    <mergeCell ref="S165:T165"/>
    <mergeCell ref="U165:V165"/>
    <mergeCell ref="A164:C164"/>
    <mergeCell ref="D164:F164"/>
    <mergeCell ref="H164:I164"/>
    <mergeCell ref="J164:M164"/>
    <mergeCell ref="N164:O164"/>
    <mergeCell ref="P164:R164"/>
    <mergeCell ref="S170:T170"/>
    <mergeCell ref="U170:V170"/>
    <mergeCell ref="A171:C171"/>
    <mergeCell ref="D171:F171"/>
    <mergeCell ref="H171:I171"/>
    <mergeCell ref="J171:M171"/>
    <mergeCell ref="N171:O171"/>
    <mergeCell ref="P171:R171"/>
    <mergeCell ref="S171:T171"/>
    <mergeCell ref="U171:V171"/>
    <mergeCell ref="A170:C170"/>
    <mergeCell ref="D170:F170"/>
    <mergeCell ref="H170:I170"/>
    <mergeCell ref="J170:M170"/>
    <mergeCell ref="N170:O170"/>
    <mergeCell ref="P170:R170"/>
    <mergeCell ref="S168:T168"/>
    <mergeCell ref="U168:V168"/>
    <mergeCell ref="A169:C169"/>
    <mergeCell ref="D169:F169"/>
    <mergeCell ref="H169:I169"/>
    <mergeCell ref="J169:M169"/>
    <mergeCell ref="N169:O169"/>
    <mergeCell ref="P169:R169"/>
    <mergeCell ref="S169:T169"/>
    <mergeCell ref="U169:V169"/>
    <mergeCell ref="A168:C168"/>
    <mergeCell ref="D168:F168"/>
    <mergeCell ref="H168:I168"/>
    <mergeCell ref="J168:M168"/>
    <mergeCell ref="N168:O168"/>
    <mergeCell ref="P168:R168"/>
    <mergeCell ref="U178:V178"/>
    <mergeCell ref="S174:T174"/>
    <mergeCell ref="U174:V174"/>
    <mergeCell ref="J176:M176"/>
    <mergeCell ref="N176:O176"/>
    <mergeCell ref="P176:R176"/>
    <mergeCell ref="S176:T176"/>
    <mergeCell ref="U176:V176"/>
    <mergeCell ref="A174:C174"/>
    <mergeCell ref="D174:F174"/>
    <mergeCell ref="H174:I174"/>
    <mergeCell ref="J174:M174"/>
    <mergeCell ref="N174:O174"/>
    <mergeCell ref="P174:R174"/>
    <mergeCell ref="S172:T172"/>
    <mergeCell ref="U172:V172"/>
    <mergeCell ref="A173:C173"/>
    <mergeCell ref="D173:F173"/>
    <mergeCell ref="H173:I173"/>
    <mergeCell ref="J173:M173"/>
    <mergeCell ref="N173:O173"/>
    <mergeCell ref="P173:R173"/>
    <mergeCell ref="S173:T173"/>
    <mergeCell ref="U173:V173"/>
    <mergeCell ref="A172:C172"/>
    <mergeCell ref="D172:F172"/>
    <mergeCell ref="H172:I172"/>
    <mergeCell ref="J172:M172"/>
    <mergeCell ref="N172:O172"/>
    <mergeCell ref="P172:R172"/>
    <mergeCell ref="N182:O182"/>
    <mergeCell ref="P182:Q182"/>
    <mergeCell ref="S182:T182"/>
    <mergeCell ref="A183:B183"/>
    <mergeCell ref="E183:I183"/>
    <mergeCell ref="J183:M183"/>
    <mergeCell ref="N183:O183"/>
    <mergeCell ref="P183:Q183"/>
    <mergeCell ref="S183:T183"/>
    <mergeCell ref="A179:B180"/>
    <mergeCell ref="C179:K179"/>
    <mergeCell ref="B181:C181"/>
    <mergeCell ref="D181:M181"/>
    <mergeCell ref="A182:B182"/>
    <mergeCell ref="E182:I182"/>
    <mergeCell ref="J182:M182"/>
    <mergeCell ref="A178:H178"/>
    <mergeCell ref="J178:M178"/>
    <mergeCell ref="N178:O178"/>
    <mergeCell ref="P178:R178"/>
    <mergeCell ref="S178:T178"/>
    <mergeCell ref="S186:T186"/>
    <mergeCell ref="U186:V186"/>
    <mergeCell ref="A187:C187"/>
    <mergeCell ref="D187:F187"/>
    <mergeCell ref="H187:I187"/>
    <mergeCell ref="J187:M187"/>
    <mergeCell ref="N187:O187"/>
    <mergeCell ref="P187:R187"/>
    <mergeCell ref="S187:T187"/>
    <mergeCell ref="U187:V187"/>
    <mergeCell ref="A186:C186"/>
    <mergeCell ref="D186:F186"/>
    <mergeCell ref="H186:I186"/>
    <mergeCell ref="J186:M186"/>
    <mergeCell ref="N186:O186"/>
    <mergeCell ref="P186:R186"/>
    <mergeCell ref="S184:T184"/>
    <mergeCell ref="U184:V184"/>
    <mergeCell ref="A185:C185"/>
    <mergeCell ref="D185:F185"/>
    <mergeCell ref="H185:I185"/>
    <mergeCell ref="J185:M185"/>
    <mergeCell ref="N185:O185"/>
    <mergeCell ref="P185:R185"/>
    <mergeCell ref="S185:T185"/>
    <mergeCell ref="U185:V185"/>
    <mergeCell ref="A184:C184"/>
    <mergeCell ref="D184:F184"/>
    <mergeCell ref="H184:I184"/>
    <mergeCell ref="J184:M184"/>
    <mergeCell ref="N184:O184"/>
    <mergeCell ref="P184:R184"/>
    <mergeCell ref="P192:Q192"/>
    <mergeCell ref="S192:T192"/>
    <mergeCell ref="A193:B193"/>
    <mergeCell ref="E193:I193"/>
    <mergeCell ref="J193:M193"/>
    <mergeCell ref="N193:O193"/>
    <mergeCell ref="P193:Q193"/>
    <mergeCell ref="S193:T193"/>
    <mergeCell ref="B191:C191"/>
    <mergeCell ref="D191:M191"/>
    <mergeCell ref="A192:B192"/>
    <mergeCell ref="E192:I192"/>
    <mergeCell ref="J192:M192"/>
    <mergeCell ref="N192:O192"/>
    <mergeCell ref="S188:T188"/>
    <mergeCell ref="U188:V188"/>
    <mergeCell ref="J190:M190"/>
    <mergeCell ref="N190:O190"/>
    <mergeCell ref="P190:R190"/>
    <mergeCell ref="S190:T190"/>
    <mergeCell ref="U190:V190"/>
    <mergeCell ref="A188:C188"/>
    <mergeCell ref="D188:F188"/>
    <mergeCell ref="H188:I188"/>
    <mergeCell ref="J188:M188"/>
    <mergeCell ref="N188:O188"/>
    <mergeCell ref="P188:R188"/>
    <mergeCell ref="S196:T196"/>
    <mergeCell ref="U196:V196"/>
    <mergeCell ref="A197:C197"/>
    <mergeCell ref="D197:F197"/>
    <mergeCell ref="H197:I197"/>
    <mergeCell ref="J197:M197"/>
    <mergeCell ref="N197:O197"/>
    <mergeCell ref="P197:R197"/>
    <mergeCell ref="S197:T197"/>
    <mergeCell ref="U197:V197"/>
    <mergeCell ref="A196:C196"/>
    <mergeCell ref="D196:F196"/>
    <mergeCell ref="H196:I196"/>
    <mergeCell ref="J196:M196"/>
    <mergeCell ref="N196:O196"/>
    <mergeCell ref="P196:R196"/>
    <mergeCell ref="S194:T194"/>
    <mergeCell ref="U194:V194"/>
    <mergeCell ref="A195:C195"/>
    <mergeCell ref="D195:F195"/>
    <mergeCell ref="H195:I195"/>
    <mergeCell ref="J195:M195"/>
    <mergeCell ref="N195:O195"/>
    <mergeCell ref="P195:R195"/>
    <mergeCell ref="S195:T195"/>
    <mergeCell ref="U195:V195"/>
    <mergeCell ref="A194:C194"/>
    <mergeCell ref="D194:F194"/>
    <mergeCell ref="H194:I194"/>
    <mergeCell ref="J194:M194"/>
    <mergeCell ref="N194:O194"/>
    <mergeCell ref="P194:R194"/>
    <mergeCell ref="P202:Q202"/>
    <mergeCell ref="S202:T202"/>
    <mergeCell ref="A203:B203"/>
    <mergeCell ref="E203:I203"/>
    <mergeCell ref="J203:M203"/>
    <mergeCell ref="N203:O203"/>
    <mergeCell ref="P203:Q203"/>
    <mergeCell ref="S203:T203"/>
    <mergeCell ref="B201:C201"/>
    <mergeCell ref="D201:M201"/>
    <mergeCell ref="A202:B202"/>
    <mergeCell ref="E202:I202"/>
    <mergeCell ref="J202:M202"/>
    <mergeCell ref="N202:O202"/>
    <mergeCell ref="S198:T198"/>
    <mergeCell ref="U198:V198"/>
    <mergeCell ref="J200:M200"/>
    <mergeCell ref="N200:O200"/>
    <mergeCell ref="P200:R200"/>
    <mergeCell ref="S200:T200"/>
    <mergeCell ref="U200:V200"/>
    <mergeCell ref="A198:C198"/>
    <mergeCell ref="D198:F198"/>
    <mergeCell ref="H198:I198"/>
    <mergeCell ref="J198:M198"/>
    <mergeCell ref="N198:O198"/>
    <mergeCell ref="P198:R198"/>
    <mergeCell ref="S206:T206"/>
    <mergeCell ref="U206:V206"/>
    <mergeCell ref="A207:C207"/>
    <mergeCell ref="D207:F207"/>
    <mergeCell ref="H207:I207"/>
    <mergeCell ref="J207:M207"/>
    <mergeCell ref="N207:O207"/>
    <mergeCell ref="P207:R207"/>
    <mergeCell ref="S207:T207"/>
    <mergeCell ref="U207:V207"/>
    <mergeCell ref="A206:C206"/>
    <mergeCell ref="D206:F206"/>
    <mergeCell ref="H206:I206"/>
    <mergeCell ref="J206:M206"/>
    <mergeCell ref="N206:O206"/>
    <mergeCell ref="P206:R206"/>
    <mergeCell ref="S204:T204"/>
    <mergeCell ref="U204:V204"/>
    <mergeCell ref="A205:C205"/>
    <mergeCell ref="D205:F205"/>
    <mergeCell ref="H205:I205"/>
    <mergeCell ref="J205:M205"/>
    <mergeCell ref="N205:O205"/>
    <mergeCell ref="P205:R205"/>
    <mergeCell ref="S205:T205"/>
    <mergeCell ref="U205:V205"/>
    <mergeCell ref="A204:C204"/>
    <mergeCell ref="D204:F204"/>
    <mergeCell ref="H204:I204"/>
    <mergeCell ref="J204:M204"/>
    <mergeCell ref="N204:O204"/>
    <mergeCell ref="P204:R204"/>
    <mergeCell ref="A213:B214"/>
    <mergeCell ref="C213:K213"/>
    <mergeCell ref="B215:C215"/>
    <mergeCell ref="D215:M215"/>
    <mergeCell ref="A216:B216"/>
    <mergeCell ref="E216:I216"/>
    <mergeCell ref="J216:M216"/>
    <mergeCell ref="A212:H212"/>
    <mergeCell ref="J212:M212"/>
    <mergeCell ref="N212:O212"/>
    <mergeCell ref="P212:R212"/>
    <mergeCell ref="S212:T212"/>
    <mergeCell ref="U212:V212"/>
    <mergeCell ref="S208:T208"/>
    <mergeCell ref="U208:V208"/>
    <mergeCell ref="J210:M210"/>
    <mergeCell ref="N210:O210"/>
    <mergeCell ref="P210:R210"/>
    <mergeCell ref="S210:T210"/>
    <mergeCell ref="U210:V210"/>
    <mergeCell ref="A208:C208"/>
    <mergeCell ref="D208:F208"/>
    <mergeCell ref="H208:I208"/>
    <mergeCell ref="J208:M208"/>
    <mergeCell ref="N208:O208"/>
    <mergeCell ref="P208:R208"/>
    <mergeCell ref="U222:V222"/>
    <mergeCell ref="S218:T218"/>
    <mergeCell ref="U218:V218"/>
    <mergeCell ref="J220:M220"/>
    <mergeCell ref="N220:O220"/>
    <mergeCell ref="P220:R220"/>
    <mergeCell ref="S220:T220"/>
    <mergeCell ref="U220:V220"/>
    <mergeCell ref="A218:C218"/>
    <mergeCell ref="D218:F218"/>
    <mergeCell ref="H218:I218"/>
    <mergeCell ref="J218:M218"/>
    <mergeCell ref="N218:O218"/>
    <mergeCell ref="P218:R218"/>
    <mergeCell ref="N216:O216"/>
    <mergeCell ref="P216:Q216"/>
    <mergeCell ref="S216:T216"/>
    <mergeCell ref="A217:B217"/>
    <mergeCell ref="E217:I217"/>
    <mergeCell ref="J217:M217"/>
    <mergeCell ref="N217:O217"/>
    <mergeCell ref="P217:Q217"/>
    <mergeCell ref="S217:T217"/>
    <mergeCell ref="N226:O226"/>
    <mergeCell ref="P226:Q226"/>
    <mergeCell ref="S226:T226"/>
    <mergeCell ref="A227:B227"/>
    <mergeCell ref="E227:I227"/>
    <mergeCell ref="J227:M227"/>
    <mergeCell ref="N227:O227"/>
    <mergeCell ref="P227:Q227"/>
    <mergeCell ref="S227:T227"/>
    <mergeCell ref="A223:B224"/>
    <mergeCell ref="C223:K223"/>
    <mergeCell ref="B225:C225"/>
    <mergeCell ref="D225:M225"/>
    <mergeCell ref="A226:B226"/>
    <mergeCell ref="E226:I226"/>
    <mergeCell ref="J226:M226"/>
    <mergeCell ref="A222:H222"/>
    <mergeCell ref="J222:M222"/>
    <mergeCell ref="N222:O222"/>
    <mergeCell ref="P222:R222"/>
    <mergeCell ref="S222:T222"/>
    <mergeCell ref="S230:T230"/>
    <mergeCell ref="U230:V230"/>
    <mergeCell ref="A231:C231"/>
    <mergeCell ref="D231:F231"/>
    <mergeCell ref="H231:I231"/>
    <mergeCell ref="J231:M231"/>
    <mergeCell ref="N231:O231"/>
    <mergeCell ref="P231:R231"/>
    <mergeCell ref="S231:T231"/>
    <mergeCell ref="U231:V231"/>
    <mergeCell ref="A230:C230"/>
    <mergeCell ref="D230:F230"/>
    <mergeCell ref="H230:I230"/>
    <mergeCell ref="J230:M230"/>
    <mergeCell ref="N230:O230"/>
    <mergeCell ref="P230:R230"/>
    <mergeCell ref="S228:T228"/>
    <mergeCell ref="U228:V228"/>
    <mergeCell ref="A229:C229"/>
    <mergeCell ref="D229:F229"/>
    <mergeCell ref="H229:I229"/>
    <mergeCell ref="J229:M229"/>
    <mergeCell ref="N229:O229"/>
    <mergeCell ref="P229:R229"/>
    <mergeCell ref="S229:T229"/>
    <mergeCell ref="U229:V229"/>
    <mergeCell ref="A228:C228"/>
    <mergeCell ref="D228:F228"/>
    <mergeCell ref="H228:I228"/>
    <mergeCell ref="J228:M228"/>
    <mergeCell ref="N228:O228"/>
    <mergeCell ref="P228:R228"/>
    <mergeCell ref="S234:T234"/>
    <mergeCell ref="U234:V234"/>
    <mergeCell ref="A235:C235"/>
    <mergeCell ref="D235:F235"/>
    <mergeCell ref="H235:I235"/>
    <mergeCell ref="J235:M235"/>
    <mergeCell ref="N235:O235"/>
    <mergeCell ref="P235:R235"/>
    <mergeCell ref="S235:T235"/>
    <mergeCell ref="U235:V235"/>
    <mergeCell ref="A234:C234"/>
    <mergeCell ref="D234:F234"/>
    <mergeCell ref="H234:I234"/>
    <mergeCell ref="J234:M234"/>
    <mergeCell ref="N234:O234"/>
    <mergeCell ref="P234:R234"/>
    <mergeCell ref="S232:T232"/>
    <mergeCell ref="U232:V232"/>
    <mergeCell ref="A233:C233"/>
    <mergeCell ref="D233:F233"/>
    <mergeCell ref="H233:I233"/>
    <mergeCell ref="J233:M233"/>
    <mergeCell ref="N233:O233"/>
    <mergeCell ref="P233:R233"/>
    <mergeCell ref="S233:T233"/>
    <mergeCell ref="U233:V233"/>
    <mergeCell ref="A232:C232"/>
    <mergeCell ref="D232:F232"/>
    <mergeCell ref="H232:I232"/>
    <mergeCell ref="J232:M232"/>
    <mergeCell ref="N232:O232"/>
    <mergeCell ref="P232:R232"/>
    <mergeCell ref="S238:T238"/>
    <mergeCell ref="U238:V238"/>
    <mergeCell ref="A239:C239"/>
    <mergeCell ref="D239:F239"/>
    <mergeCell ref="H239:I239"/>
    <mergeCell ref="J239:M239"/>
    <mergeCell ref="N239:O239"/>
    <mergeCell ref="P239:R239"/>
    <mergeCell ref="S239:T239"/>
    <mergeCell ref="U239:V239"/>
    <mergeCell ref="A238:C238"/>
    <mergeCell ref="D238:F238"/>
    <mergeCell ref="H238:I238"/>
    <mergeCell ref="J238:M238"/>
    <mergeCell ref="N238:O238"/>
    <mergeCell ref="P238:R238"/>
    <mergeCell ref="S236:T236"/>
    <mergeCell ref="U236:V236"/>
    <mergeCell ref="A237:C237"/>
    <mergeCell ref="D237:F237"/>
    <mergeCell ref="H237:I237"/>
    <mergeCell ref="J237:M237"/>
    <mergeCell ref="N237:O237"/>
    <mergeCell ref="P237:R237"/>
    <mergeCell ref="S237:T237"/>
    <mergeCell ref="U237:V237"/>
    <mergeCell ref="A236:C236"/>
    <mergeCell ref="D236:F236"/>
    <mergeCell ref="H236:I236"/>
    <mergeCell ref="J236:M236"/>
    <mergeCell ref="N236:O236"/>
    <mergeCell ref="P236:R236"/>
    <mergeCell ref="P244:Q244"/>
    <mergeCell ref="S244:T244"/>
    <mergeCell ref="A245:B245"/>
    <mergeCell ref="E245:I245"/>
    <mergeCell ref="J245:M245"/>
    <mergeCell ref="N245:O245"/>
    <mergeCell ref="P245:Q245"/>
    <mergeCell ref="S245:T245"/>
    <mergeCell ref="B243:C243"/>
    <mergeCell ref="D243:M243"/>
    <mergeCell ref="A244:B244"/>
    <mergeCell ref="E244:I244"/>
    <mergeCell ref="J244:M244"/>
    <mergeCell ref="N244:O244"/>
    <mergeCell ref="S240:T240"/>
    <mergeCell ref="U240:V240"/>
    <mergeCell ref="J242:M242"/>
    <mergeCell ref="N242:O242"/>
    <mergeCell ref="P242:R242"/>
    <mergeCell ref="S242:T242"/>
    <mergeCell ref="U242:V242"/>
    <mergeCell ref="A240:C240"/>
    <mergeCell ref="D240:F240"/>
    <mergeCell ref="H240:I240"/>
    <mergeCell ref="J240:M240"/>
    <mergeCell ref="N240:O240"/>
    <mergeCell ref="P240:R240"/>
    <mergeCell ref="S248:T248"/>
    <mergeCell ref="U248:V248"/>
    <mergeCell ref="A249:C249"/>
    <mergeCell ref="D249:F249"/>
    <mergeCell ref="H249:I249"/>
    <mergeCell ref="J249:M249"/>
    <mergeCell ref="N249:O249"/>
    <mergeCell ref="P249:R249"/>
    <mergeCell ref="S249:T249"/>
    <mergeCell ref="U249:V249"/>
    <mergeCell ref="A248:C248"/>
    <mergeCell ref="D248:F248"/>
    <mergeCell ref="H248:I248"/>
    <mergeCell ref="J248:M248"/>
    <mergeCell ref="N248:O248"/>
    <mergeCell ref="P248:R248"/>
    <mergeCell ref="S246:T246"/>
    <mergeCell ref="U246:V246"/>
    <mergeCell ref="A247:C247"/>
    <mergeCell ref="D247:F247"/>
    <mergeCell ref="H247:I247"/>
    <mergeCell ref="J247:M247"/>
    <mergeCell ref="N247:O247"/>
    <mergeCell ref="P247:R247"/>
    <mergeCell ref="S247:T247"/>
    <mergeCell ref="U247:V247"/>
    <mergeCell ref="A246:C246"/>
    <mergeCell ref="D246:F246"/>
    <mergeCell ref="H246:I246"/>
    <mergeCell ref="J246:M246"/>
    <mergeCell ref="N246:O246"/>
    <mergeCell ref="P246:R246"/>
    <mergeCell ref="S252:T252"/>
    <mergeCell ref="U252:V252"/>
    <mergeCell ref="A253:C253"/>
    <mergeCell ref="D253:F253"/>
    <mergeCell ref="H253:I253"/>
    <mergeCell ref="J253:M253"/>
    <mergeCell ref="N253:O253"/>
    <mergeCell ref="P253:R253"/>
    <mergeCell ref="S253:T253"/>
    <mergeCell ref="U253:V253"/>
    <mergeCell ref="A252:C252"/>
    <mergeCell ref="D252:F252"/>
    <mergeCell ref="H252:I252"/>
    <mergeCell ref="J252:M252"/>
    <mergeCell ref="N252:O252"/>
    <mergeCell ref="P252:R252"/>
    <mergeCell ref="S250:T250"/>
    <mergeCell ref="U250:V250"/>
    <mergeCell ref="A251:C251"/>
    <mergeCell ref="D251:F251"/>
    <mergeCell ref="H251:I251"/>
    <mergeCell ref="J251:M251"/>
    <mergeCell ref="N251:O251"/>
    <mergeCell ref="P251:R251"/>
    <mergeCell ref="S251:T251"/>
    <mergeCell ref="U251:V251"/>
    <mergeCell ref="A250:C250"/>
    <mergeCell ref="D250:F250"/>
    <mergeCell ref="H250:I250"/>
    <mergeCell ref="J250:M250"/>
    <mergeCell ref="N250:O250"/>
    <mergeCell ref="P250:R250"/>
    <mergeCell ref="S256:T256"/>
    <mergeCell ref="U256:V256"/>
    <mergeCell ref="A257:C257"/>
    <mergeCell ref="D257:F257"/>
    <mergeCell ref="H257:I257"/>
    <mergeCell ref="J257:M257"/>
    <mergeCell ref="N257:O257"/>
    <mergeCell ref="P257:R257"/>
    <mergeCell ref="S257:T257"/>
    <mergeCell ref="U257:V257"/>
    <mergeCell ref="A256:C256"/>
    <mergeCell ref="D256:F256"/>
    <mergeCell ref="H256:I256"/>
    <mergeCell ref="J256:M256"/>
    <mergeCell ref="N256:O256"/>
    <mergeCell ref="P256:R256"/>
    <mergeCell ref="S254:T254"/>
    <mergeCell ref="U254:V254"/>
    <mergeCell ref="A255:C255"/>
    <mergeCell ref="D255:F255"/>
    <mergeCell ref="H255:I255"/>
    <mergeCell ref="J255:M255"/>
    <mergeCell ref="N255:O255"/>
    <mergeCell ref="P255:R255"/>
    <mergeCell ref="S255:T255"/>
    <mergeCell ref="U255:V255"/>
    <mergeCell ref="A254:C254"/>
    <mergeCell ref="D254:F254"/>
    <mergeCell ref="H254:I254"/>
    <mergeCell ref="J254:M254"/>
    <mergeCell ref="N254:O254"/>
    <mergeCell ref="P254:R254"/>
    <mergeCell ref="P262:Q262"/>
    <mergeCell ref="S262:T262"/>
    <mergeCell ref="A263:B263"/>
    <mergeCell ref="E263:I263"/>
    <mergeCell ref="J263:M263"/>
    <mergeCell ref="N263:O263"/>
    <mergeCell ref="P263:Q263"/>
    <mergeCell ref="S263:T263"/>
    <mergeCell ref="B261:C261"/>
    <mergeCell ref="D261:M261"/>
    <mergeCell ref="A262:B262"/>
    <mergeCell ref="E262:I262"/>
    <mergeCell ref="J262:M262"/>
    <mergeCell ref="N262:O262"/>
    <mergeCell ref="S258:T258"/>
    <mergeCell ref="U258:V258"/>
    <mergeCell ref="J260:M260"/>
    <mergeCell ref="N260:O260"/>
    <mergeCell ref="P260:R260"/>
    <mergeCell ref="S260:T260"/>
    <mergeCell ref="U260:V260"/>
    <mergeCell ref="A258:C258"/>
    <mergeCell ref="D258:F258"/>
    <mergeCell ref="H258:I258"/>
    <mergeCell ref="J258:M258"/>
    <mergeCell ref="N258:O258"/>
    <mergeCell ref="P258:R258"/>
    <mergeCell ref="S266:T266"/>
    <mergeCell ref="U266:V266"/>
    <mergeCell ref="A267:C267"/>
    <mergeCell ref="D267:F267"/>
    <mergeCell ref="H267:I267"/>
    <mergeCell ref="J267:M267"/>
    <mergeCell ref="N267:O267"/>
    <mergeCell ref="P267:R267"/>
    <mergeCell ref="S267:T267"/>
    <mergeCell ref="U267:V267"/>
    <mergeCell ref="A266:C266"/>
    <mergeCell ref="D266:F266"/>
    <mergeCell ref="H266:I266"/>
    <mergeCell ref="J266:M266"/>
    <mergeCell ref="N266:O266"/>
    <mergeCell ref="P266:R266"/>
    <mergeCell ref="S264:T264"/>
    <mergeCell ref="U264:V264"/>
    <mergeCell ref="A265:C265"/>
    <mergeCell ref="D265:F265"/>
    <mergeCell ref="H265:I265"/>
    <mergeCell ref="J265:M265"/>
    <mergeCell ref="N265:O265"/>
    <mergeCell ref="P265:R265"/>
    <mergeCell ref="S265:T265"/>
    <mergeCell ref="U265:V265"/>
    <mergeCell ref="A264:C264"/>
    <mergeCell ref="D264:F264"/>
    <mergeCell ref="H264:I264"/>
    <mergeCell ref="J264:M264"/>
    <mergeCell ref="N264:O264"/>
    <mergeCell ref="P264:R264"/>
    <mergeCell ref="S270:T270"/>
    <mergeCell ref="U270:V270"/>
    <mergeCell ref="A271:C271"/>
    <mergeCell ref="D271:F271"/>
    <mergeCell ref="H271:I271"/>
    <mergeCell ref="J271:M271"/>
    <mergeCell ref="N271:O271"/>
    <mergeCell ref="P271:R271"/>
    <mergeCell ref="S271:T271"/>
    <mergeCell ref="U271:V271"/>
    <mergeCell ref="A270:C270"/>
    <mergeCell ref="D270:F270"/>
    <mergeCell ref="H270:I270"/>
    <mergeCell ref="J270:M270"/>
    <mergeCell ref="N270:O270"/>
    <mergeCell ref="P270:R270"/>
    <mergeCell ref="S268:T268"/>
    <mergeCell ref="U268:V268"/>
    <mergeCell ref="A269:C269"/>
    <mergeCell ref="D269:F269"/>
    <mergeCell ref="H269:I269"/>
    <mergeCell ref="J269:M269"/>
    <mergeCell ref="N269:O269"/>
    <mergeCell ref="P269:R269"/>
    <mergeCell ref="S269:T269"/>
    <mergeCell ref="U269:V269"/>
    <mergeCell ref="A268:C268"/>
    <mergeCell ref="D268:F268"/>
    <mergeCell ref="H268:I268"/>
    <mergeCell ref="J268:M268"/>
    <mergeCell ref="N268:O268"/>
    <mergeCell ref="P268:R268"/>
    <mergeCell ref="S274:T274"/>
    <mergeCell ref="U274:V274"/>
    <mergeCell ref="A275:C275"/>
    <mergeCell ref="D275:F275"/>
    <mergeCell ref="H275:I275"/>
    <mergeCell ref="J275:M275"/>
    <mergeCell ref="N275:O275"/>
    <mergeCell ref="P275:R275"/>
    <mergeCell ref="S275:T275"/>
    <mergeCell ref="U275:V275"/>
    <mergeCell ref="A274:C274"/>
    <mergeCell ref="D274:F274"/>
    <mergeCell ref="H274:I274"/>
    <mergeCell ref="J274:M274"/>
    <mergeCell ref="N274:O274"/>
    <mergeCell ref="P274:R274"/>
    <mergeCell ref="S272:T272"/>
    <mergeCell ref="U272:V272"/>
    <mergeCell ref="A273:C273"/>
    <mergeCell ref="D273:F273"/>
    <mergeCell ref="H273:I273"/>
    <mergeCell ref="J273:M273"/>
    <mergeCell ref="N273:O273"/>
    <mergeCell ref="P273:R273"/>
    <mergeCell ref="S273:T273"/>
    <mergeCell ref="U273:V273"/>
    <mergeCell ref="A272:C272"/>
    <mergeCell ref="D272:F272"/>
    <mergeCell ref="H272:I272"/>
    <mergeCell ref="J272:M272"/>
    <mergeCell ref="N272:O272"/>
    <mergeCell ref="P272:R272"/>
    <mergeCell ref="A281:B282"/>
    <mergeCell ref="C281:K281"/>
    <mergeCell ref="B283:C283"/>
    <mergeCell ref="D283:M283"/>
    <mergeCell ref="A284:B284"/>
    <mergeCell ref="E284:I284"/>
    <mergeCell ref="J284:M284"/>
    <mergeCell ref="A280:H280"/>
    <mergeCell ref="J280:M280"/>
    <mergeCell ref="N280:O280"/>
    <mergeCell ref="P280:R280"/>
    <mergeCell ref="S280:T280"/>
    <mergeCell ref="U280:V280"/>
    <mergeCell ref="S276:T276"/>
    <mergeCell ref="U276:V276"/>
    <mergeCell ref="J278:M278"/>
    <mergeCell ref="N278:O278"/>
    <mergeCell ref="P278:R278"/>
    <mergeCell ref="S278:T278"/>
    <mergeCell ref="U278:V278"/>
    <mergeCell ref="A276:C276"/>
    <mergeCell ref="D276:F276"/>
    <mergeCell ref="H276:I276"/>
    <mergeCell ref="J276:M276"/>
    <mergeCell ref="N276:O276"/>
    <mergeCell ref="P276:R276"/>
    <mergeCell ref="S286:T286"/>
    <mergeCell ref="U286:V286"/>
    <mergeCell ref="A287:C287"/>
    <mergeCell ref="D287:F287"/>
    <mergeCell ref="H287:I287"/>
    <mergeCell ref="J287:M287"/>
    <mergeCell ref="N287:O287"/>
    <mergeCell ref="P287:R287"/>
    <mergeCell ref="S287:T287"/>
    <mergeCell ref="U287:V287"/>
    <mergeCell ref="A286:C286"/>
    <mergeCell ref="D286:F286"/>
    <mergeCell ref="H286:I286"/>
    <mergeCell ref="J286:M286"/>
    <mergeCell ref="N286:O286"/>
    <mergeCell ref="P286:R286"/>
    <mergeCell ref="N284:O284"/>
    <mergeCell ref="P284:Q284"/>
    <mergeCell ref="S284:T284"/>
    <mergeCell ref="A285:B285"/>
    <mergeCell ref="E285:I285"/>
    <mergeCell ref="J285:M285"/>
    <mergeCell ref="N285:O285"/>
    <mergeCell ref="P285:Q285"/>
    <mergeCell ref="S285:T285"/>
    <mergeCell ref="S290:T290"/>
    <mergeCell ref="U290:V290"/>
    <mergeCell ref="A291:C291"/>
    <mergeCell ref="D291:F291"/>
    <mergeCell ref="H291:I291"/>
    <mergeCell ref="J291:M291"/>
    <mergeCell ref="N291:O291"/>
    <mergeCell ref="P291:R291"/>
    <mergeCell ref="S291:T291"/>
    <mergeCell ref="U291:V291"/>
    <mergeCell ref="A290:C290"/>
    <mergeCell ref="D290:F290"/>
    <mergeCell ref="H290:I290"/>
    <mergeCell ref="J290:M290"/>
    <mergeCell ref="N290:O290"/>
    <mergeCell ref="P290:R290"/>
    <mergeCell ref="S288:T288"/>
    <mergeCell ref="U288:V288"/>
    <mergeCell ref="A289:C289"/>
    <mergeCell ref="D289:F289"/>
    <mergeCell ref="H289:I289"/>
    <mergeCell ref="J289:M289"/>
    <mergeCell ref="N289:O289"/>
    <mergeCell ref="P289:R289"/>
    <mergeCell ref="S289:T289"/>
    <mergeCell ref="U289:V289"/>
    <mergeCell ref="A288:C288"/>
    <mergeCell ref="D288:F288"/>
    <mergeCell ref="H288:I288"/>
    <mergeCell ref="J288:M288"/>
    <mergeCell ref="N288:O288"/>
    <mergeCell ref="P288:R288"/>
    <mergeCell ref="B295:C295"/>
    <mergeCell ref="D295:M295"/>
    <mergeCell ref="A296:B296"/>
    <mergeCell ref="E296:I296"/>
    <mergeCell ref="J296:M296"/>
    <mergeCell ref="N296:O296"/>
    <mergeCell ref="S292:T292"/>
    <mergeCell ref="U292:V292"/>
    <mergeCell ref="J294:M294"/>
    <mergeCell ref="N294:O294"/>
    <mergeCell ref="P294:R294"/>
    <mergeCell ref="S294:T294"/>
    <mergeCell ref="U294:V294"/>
    <mergeCell ref="A292:C292"/>
    <mergeCell ref="D292:F292"/>
    <mergeCell ref="H292:I292"/>
    <mergeCell ref="J292:M292"/>
    <mergeCell ref="N292:O292"/>
    <mergeCell ref="P292:R292"/>
    <mergeCell ref="S298:T298"/>
    <mergeCell ref="U298:V298"/>
    <mergeCell ref="A299:C299"/>
    <mergeCell ref="D299:F299"/>
    <mergeCell ref="H299:I299"/>
    <mergeCell ref="J299:M299"/>
    <mergeCell ref="N299:O299"/>
    <mergeCell ref="P299:R299"/>
    <mergeCell ref="S299:T299"/>
    <mergeCell ref="U299:V299"/>
    <mergeCell ref="A298:C298"/>
    <mergeCell ref="D298:F298"/>
    <mergeCell ref="H298:I298"/>
    <mergeCell ref="J298:M298"/>
    <mergeCell ref="N298:O298"/>
    <mergeCell ref="P298:R298"/>
    <mergeCell ref="P296:Q296"/>
    <mergeCell ref="S296:T296"/>
    <mergeCell ref="A297:B297"/>
    <mergeCell ref="E297:I297"/>
    <mergeCell ref="J297:M297"/>
    <mergeCell ref="N297:O297"/>
    <mergeCell ref="P297:Q297"/>
    <mergeCell ref="S297:T297"/>
    <mergeCell ref="S302:T302"/>
    <mergeCell ref="U302:V302"/>
    <mergeCell ref="A303:C303"/>
    <mergeCell ref="D303:F303"/>
    <mergeCell ref="H303:I303"/>
    <mergeCell ref="J303:M303"/>
    <mergeCell ref="N303:O303"/>
    <mergeCell ref="P303:R303"/>
    <mergeCell ref="S303:T303"/>
    <mergeCell ref="U303:V303"/>
    <mergeCell ref="A302:C302"/>
    <mergeCell ref="D302:F302"/>
    <mergeCell ref="H302:I302"/>
    <mergeCell ref="J302:M302"/>
    <mergeCell ref="N302:O302"/>
    <mergeCell ref="P302:R302"/>
    <mergeCell ref="S300:T300"/>
    <mergeCell ref="U300:V300"/>
    <mergeCell ref="A301:C301"/>
    <mergeCell ref="D301:F301"/>
    <mergeCell ref="H301:I301"/>
    <mergeCell ref="J301:M301"/>
    <mergeCell ref="N301:O301"/>
    <mergeCell ref="P301:R301"/>
    <mergeCell ref="S301:T301"/>
    <mergeCell ref="U301:V301"/>
    <mergeCell ref="A300:C300"/>
    <mergeCell ref="D300:F300"/>
    <mergeCell ref="H300:I300"/>
    <mergeCell ref="J300:M300"/>
    <mergeCell ref="N300:O300"/>
    <mergeCell ref="P300:R300"/>
    <mergeCell ref="B307:C307"/>
    <mergeCell ref="D307:M307"/>
    <mergeCell ref="A308:B308"/>
    <mergeCell ref="E308:I308"/>
    <mergeCell ref="J308:M308"/>
    <mergeCell ref="N308:O308"/>
    <mergeCell ref="S304:T304"/>
    <mergeCell ref="U304:V304"/>
    <mergeCell ref="J306:M306"/>
    <mergeCell ref="N306:O306"/>
    <mergeCell ref="P306:R306"/>
    <mergeCell ref="S306:T306"/>
    <mergeCell ref="U306:V306"/>
    <mergeCell ref="A304:C304"/>
    <mergeCell ref="D304:F304"/>
    <mergeCell ref="H304:I304"/>
    <mergeCell ref="J304:M304"/>
    <mergeCell ref="N304:O304"/>
    <mergeCell ref="P304:R304"/>
    <mergeCell ref="S310:T310"/>
    <mergeCell ref="U310:V310"/>
    <mergeCell ref="A311:C311"/>
    <mergeCell ref="D311:F311"/>
    <mergeCell ref="H311:I311"/>
    <mergeCell ref="J311:M311"/>
    <mergeCell ref="N311:O311"/>
    <mergeCell ref="P311:R311"/>
    <mergeCell ref="S311:T311"/>
    <mergeCell ref="U311:V311"/>
    <mergeCell ref="A310:C310"/>
    <mergeCell ref="D310:F310"/>
    <mergeCell ref="H310:I310"/>
    <mergeCell ref="J310:M310"/>
    <mergeCell ref="N310:O310"/>
    <mergeCell ref="P310:R310"/>
    <mergeCell ref="P308:Q308"/>
    <mergeCell ref="S308:T308"/>
    <mergeCell ref="A309:B309"/>
    <mergeCell ref="E309:I309"/>
    <mergeCell ref="J309:M309"/>
    <mergeCell ref="N309:O309"/>
    <mergeCell ref="P309:Q309"/>
    <mergeCell ref="S309:T309"/>
    <mergeCell ref="S314:T314"/>
    <mergeCell ref="U314:V314"/>
    <mergeCell ref="A315:C315"/>
    <mergeCell ref="D315:F315"/>
    <mergeCell ref="H315:I315"/>
    <mergeCell ref="J315:M315"/>
    <mergeCell ref="N315:O315"/>
    <mergeCell ref="P315:R315"/>
    <mergeCell ref="S315:T315"/>
    <mergeCell ref="U315:V315"/>
    <mergeCell ref="A314:C314"/>
    <mergeCell ref="D314:F314"/>
    <mergeCell ref="H314:I314"/>
    <mergeCell ref="J314:M314"/>
    <mergeCell ref="N314:O314"/>
    <mergeCell ref="P314:R314"/>
    <mergeCell ref="S312:T312"/>
    <mergeCell ref="U312:V312"/>
    <mergeCell ref="A313:C313"/>
    <mergeCell ref="D313:F313"/>
    <mergeCell ref="H313:I313"/>
    <mergeCell ref="J313:M313"/>
    <mergeCell ref="N313:O313"/>
    <mergeCell ref="P313:R313"/>
    <mergeCell ref="S313:T313"/>
    <mergeCell ref="U313:V313"/>
    <mergeCell ref="A312:C312"/>
    <mergeCell ref="D312:F312"/>
    <mergeCell ref="H312:I312"/>
    <mergeCell ref="J312:M312"/>
    <mergeCell ref="N312:O312"/>
    <mergeCell ref="P312:R312"/>
    <mergeCell ref="A320:H320"/>
    <mergeCell ref="J320:M320"/>
    <mergeCell ref="N320:O320"/>
    <mergeCell ref="P320:R320"/>
    <mergeCell ref="S320:T320"/>
    <mergeCell ref="U320:V320"/>
    <mergeCell ref="S316:T316"/>
    <mergeCell ref="U316:V316"/>
    <mergeCell ref="J318:M318"/>
    <mergeCell ref="N318:O318"/>
    <mergeCell ref="P318:R318"/>
    <mergeCell ref="S318:T318"/>
    <mergeCell ref="U318:V318"/>
    <mergeCell ref="A316:C316"/>
    <mergeCell ref="D316:F316"/>
    <mergeCell ref="H316:I316"/>
    <mergeCell ref="J316:M316"/>
    <mergeCell ref="N316:O316"/>
    <mergeCell ref="P316:R31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536"/>
    </sheetView>
  </sheetViews>
  <sheetFormatPr defaultColWidth="9.33203125" defaultRowHeight="10.5"/>
  <cols>
    <col min="1" max="1" width="9.33203125" style="83" customWidth="1"/>
    <col min="2" max="4" width="9.33203125" style="88" customWidth="1"/>
    <col min="5" max="5" width="9.33203125" style="47" customWidth="1"/>
    <col min="6" max="16384" width="9.33203125" style="48" customWidth="1"/>
  </cols>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Y69"/>
  <sheetViews>
    <sheetView zoomScalePageLayoutView="0" workbookViewId="0" topLeftCell="A1">
      <pane xSplit="1" topLeftCell="B1" activePane="topRight" state="frozen"/>
      <selection pane="topLeft" activeCell="A1" sqref="A1"/>
      <selection pane="topRight" activeCell="A19" sqref="A19:IV23"/>
    </sheetView>
  </sheetViews>
  <sheetFormatPr defaultColWidth="9.33203125" defaultRowHeight="10.5"/>
  <cols>
    <col min="1" max="1" width="55.16015625" style="99" customWidth="1"/>
    <col min="2" max="2" width="13.5" style="99" customWidth="1"/>
    <col min="3" max="3" width="16" style="99" bestFit="1" customWidth="1"/>
    <col min="4" max="4" width="13.66015625" style="99" customWidth="1"/>
    <col min="5" max="5" width="15.83203125" style="99" bestFit="1" customWidth="1"/>
    <col min="6" max="7" width="13.66015625" style="99" customWidth="1"/>
    <col min="8" max="8" width="14.83203125" style="99" bestFit="1" customWidth="1"/>
    <col min="9" max="12" width="13.66015625" style="99" customWidth="1"/>
    <col min="13" max="13" width="20.16015625" style="99" bestFit="1" customWidth="1"/>
    <col min="14" max="19" width="13.66015625" style="99" customWidth="1"/>
    <col min="20" max="20" width="19.16015625" style="99" bestFit="1" customWidth="1"/>
    <col min="21" max="21" width="13.66015625" style="99" customWidth="1"/>
    <col min="22" max="22" width="17.83203125" style="99" bestFit="1" customWidth="1"/>
    <col min="23" max="23" width="14.16015625" style="99" customWidth="1"/>
    <col min="24" max="16384" width="9.33203125" style="99" customWidth="1"/>
  </cols>
  <sheetData>
    <row r="1" spans="1:22" ht="10.5">
      <c r="A1" s="99" t="s">
        <v>11</v>
      </c>
      <c r="C1" s="195"/>
      <c r="D1" s="195"/>
      <c r="E1" s="195"/>
      <c r="F1" s="195"/>
      <c r="G1" s="195"/>
      <c r="H1" s="195"/>
      <c r="I1" s="195"/>
      <c r="J1" s="196"/>
      <c r="K1" s="196"/>
      <c r="L1" s="196"/>
      <c r="M1" s="196"/>
      <c r="N1" s="196"/>
      <c r="O1" s="196"/>
      <c r="P1" s="196"/>
      <c r="Q1" s="196"/>
      <c r="R1" s="196"/>
      <c r="S1" s="196"/>
      <c r="T1" s="196"/>
      <c r="U1" s="196"/>
      <c r="V1" s="196"/>
    </row>
    <row r="2" spans="1:22" ht="10.5">
      <c r="A2" s="158" t="s">
        <v>164</v>
      </c>
      <c r="C2" s="195"/>
      <c r="D2" s="195"/>
      <c r="E2" s="195"/>
      <c r="F2" s="195"/>
      <c r="G2" s="195"/>
      <c r="H2" s="195"/>
      <c r="I2" s="195"/>
      <c r="J2" s="196"/>
      <c r="K2" s="196"/>
      <c r="L2" s="196"/>
      <c r="M2" s="196"/>
      <c r="N2" s="196"/>
      <c r="O2" s="196"/>
      <c r="P2" s="196"/>
      <c r="Q2" s="196"/>
      <c r="R2" s="196"/>
      <c r="S2" s="196"/>
      <c r="T2" s="196"/>
      <c r="U2" s="196"/>
      <c r="V2" s="196"/>
    </row>
    <row r="3" spans="1:22" ht="10.5">
      <c r="A3" s="158" t="s">
        <v>414</v>
      </c>
      <c r="C3" s="195"/>
      <c r="D3" s="195"/>
      <c r="E3" s="195"/>
      <c r="F3" s="195"/>
      <c r="G3" s="195"/>
      <c r="H3" s="195"/>
      <c r="I3" s="195"/>
      <c r="J3" s="196"/>
      <c r="K3" s="196"/>
      <c r="L3" s="196"/>
      <c r="M3" s="196"/>
      <c r="N3" s="196"/>
      <c r="O3" s="196"/>
      <c r="P3" s="196"/>
      <c r="Q3" s="196"/>
      <c r="R3" s="196"/>
      <c r="S3" s="196"/>
      <c r="T3" s="196"/>
      <c r="U3" s="196"/>
      <c r="V3" s="196"/>
    </row>
    <row r="4" spans="1:22" ht="10.5">
      <c r="A4" s="158" t="s">
        <v>415</v>
      </c>
      <c r="C4" s="195"/>
      <c r="D4" s="195"/>
      <c r="E4" s="195"/>
      <c r="F4" s="195"/>
      <c r="G4" s="195"/>
      <c r="H4" s="195"/>
      <c r="I4" s="195"/>
      <c r="J4" s="196"/>
      <c r="K4" s="196"/>
      <c r="L4" s="196"/>
      <c r="M4" s="196"/>
      <c r="N4" s="196"/>
      <c r="O4" s="196"/>
      <c r="P4" s="196"/>
      <c r="Q4" s="196"/>
      <c r="R4" s="196"/>
      <c r="S4" s="196"/>
      <c r="T4" s="196"/>
      <c r="U4" s="196"/>
      <c r="V4" s="196"/>
    </row>
    <row r="5" spans="1:22" ht="10.5">
      <c r="A5" s="158"/>
      <c r="C5" s="195"/>
      <c r="D5" s="195"/>
      <c r="E5" s="195"/>
      <c r="F5" s="195"/>
      <c r="G5" s="195"/>
      <c r="H5" s="195"/>
      <c r="I5" s="195"/>
      <c r="J5" s="196"/>
      <c r="K5" s="196"/>
      <c r="L5" s="196"/>
      <c r="M5" s="196"/>
      <c r="N5" s="196"/>
      <c r="O5" s="196"/>
      <c r="P5" s="196"/>
      <c r="Q5" s="196"/>
      <c r="R5" s="196"/>
      <c r="S5" s="196"/>
      <c r="T5" s="196"/>
      <c r="U5" s="196"/>
      <c r="V5" s="196"/>
    </row>
    <row r="6" spans="1:22" ht="10.5">
      <c r="A6" s="173" t="s">
        <v>52</v>
      </c>
      <c r="C6" s="457" t="s">
        <v>190</v>
      </c>
      <c r="D6" s="457"/>
      <c r="E6" s="457"/>
      <c r="F6" s="457"/>
      <c r="G6" s="457"/>
      <c r="H6" s="457"/>
      <c r="I6" s="457"/>
      <c r="J6" s="458" t="s">
        <v>191</v>
      </c>
      <c r="K6" s="458"/>
      <c r="L6" s="458"/>
      <c r="M6" s="458"/>
      <c r="N6" s="458"/>
      <c r="O6" s="458"/>
      <c r="P6" s="458"/>
      <c r="Q6" s="458"/>
      <c r="R6" s="458"/>
      <c r="S6" s="458"/>
      <c r="T6" s="458"/>
      <c r="U6" s="458"/>
      <c r="V6" s="458"/>
    </row>
    <row r="7" spans="1:22" ht="10.5">
      <c r="A7" s="157" t="s">
        <v>416</v>
      </c>
      <c r="B7" s="277" t="s">
        <v>11</v>
      </c>
      <c r="C7" s="279" t="s">
        <v>35</v>
      </c>
      <c r="D7" s="279" t="s">
        <v>25</v>
      </c>
      <c r="E7" s="279" t="s">
        <v>34</v>
      </c>
      <c r="F7" s="279" t="s">
        <v>36</v>
      </c>
      <c r="G7" s="279" t="s">
        <v>28</v>
      </c>
      <c r="H7" s="279" t="s">
        <v>29</v>
      </c>
      <c r="I7" s="279" t="s">
        <v>30</v>
      </c>
      <c r="J7" s="281" t="s">
        <v>32</v>
      </c>
      <c r="K7" s="281" t="s">
        <v>33</v>
      </c>
      <c r="L7" s="281" t="s">
        <v>23</v>
      </c>
      <c r="M7" s="281" t="s">
        <v>31</v>
      </c>
      <c r="N7" s="281" t="s">
        <v>165</v>
      </c>
      <c r="O7" s="281" t="s">
        <v>37</v>
      </c>
      <c r="P7" s="281" t="s">
        <v>27</v>
      </c>
      <c r="Q7" s="281" t="s">
        <v>29</v>
      </c>
      <c r="R7" s="281" t="s">
        <v>30</v>
      </c>
      <c r="S7" s="281" t="s">
        <v>25</v>
      </c>
      <c r="T7" s="281" t="s">
        <v>24</v>
      </c>
      <c r="U7" s="281" t="s">
        <v>26</v>
      </c>
      <c r="V7" s="281" t="s">
        <v>28</v>
      </c>
    </row>
    <row r="8" spans="2:23" ht="10.5">
      <c r="B8" s="287" t="s">
        <v>44</v>
      </c>
      <c r="C8" s="283" t="s">
        <v>280</v>
      </c>
      <c r="D8" s="283" t="s">
        <v>281</v>
      </c>
      <c r="E8" s="283" t="s">
        <v>282</v>
      </c>
      <c r="F8" s="283" t="s">
        <v>283</v>
      </c>
      <c r="G8" s="283" t="s">
        <v>284</v>
      </c>
      <c r="H8" s="283" t="s">
        <v>285</v>
      </c>
      <c r="I8" s="283" t="s">
        <v>286</v>
      </c>
      <c r="J8" s="285" t="s">
        <v>288</v>
      </c>
      <c r="K8" s="285" t="s">
        <v>289</v>
      </c>
      <c r="L8" s="285" t="s">
        <v>291</v>
      </c>
      <c r="M8" s="285" t="s">
        <v>292</v>
      </c>
      <c r="N8" s="285" t="s">
        <v>294</v>
      </c>
      <c r="O8" s="285" t="s">
        <v>296</v>
      </c>
      <c r="P8" s="285" t="s">
        <v>297</v>
      </c>
      <c r="Q8" s="285" t="s">
        <v>285</v>
      </c>
      <c r="R8" s="285" t="s">
        <v>286</v>
      </c>
      <c r="S8" s="285" t="s">
        <v>299</v>
      </c>
      <c r="T8" s="285" t="s">
        <v>304</v>
      </c>
      <c r="U8" s="285" t="s">
        <v>301</v>
      </c>
      <c r="V8" s="285" t="s">
        <v>302</v>
      </c>
      <c r="W8" s="277" t="s">
        <v>3</v>
      </c>
    </row>
    <row r="9" spans="2:23" ht="10.5">
      <c r="B9" s="169" t="s">
        <v>52</v>
      </c>
      <c r="C9" s="280" t="s">
        <v>52</v>
      </c>
      <c r="D9" s="280" t="s">
        <v>52</v>
      </c>
      <c r="E9" s="280" t="s">
        <v>52</v>
      </c>
      <c r="F9" s="280" t="s">
        <v>52</v>
      </c>
      <c r="G9" s="280" t="s">
        <v>52</v>
      </c>
      <c r="H9" s="280" t="s">
        <v>52</v>
      </c>
      <c r="I9" s="284" t="s">
        <v>287</v>
      </c>
      <c r="J9" s="282" t="s">
        <v>52</v>
      </c>
      <c r="K9" s="286" t="s">
        <v>290</v>
      </c>
      <c r="L9" s="282" t="s">
        <v>52</v>
      </c>
      <c r="M9" s="286" t="s">
        <v>293</v>
      </c>
      <c r="N9" s="286" t="s">
        <v>295</v>
      </c>
      <c r="O9" s="282" t="s">
        <v>52</v>
      </c>
      <c r="P9" s="286" t="s">
        <v>298</v>
      </c>
      <c r="Q9" s="282" t="s">
        <v>52</v>
      </c>
      <c r="R9" s="286" t="s">
        <v>287</v>
      </c>
      <c r="S9" s="286" t="s">
        <v>300</v>
      </c>
      <c r="T9" s="286" t="s">
        <v>305</v>
      </c>
      <c r="U9" s="282" t="s">
        <v>52</v>
      </c>
      <c r="V9" s="286" t="s">
        <v>303</v>
      </c>
      <c r="W9" s="163"/>
    </row>
    <row r="10" spans="1:25" ht="11.25" hidden="1">
      <c r="A10" s="161" t="s">
        <v>45</v>
      </c>
      <c r="B10" s="181">
        <f>4962.83+432089.66</f>
        <v>437052.49</v>
      </c>
      <c r="C10" s="197">
        <v>1533655.91</v>
      </c>
      <c r="D10" s="197">
        <v>3567.11</v>
      </c>
      <c r="E10" s="197">
        <v>1413595.94</v>
      </c>
      <c r="F10" s="197">
        <v>139527.43</v>
      </c>
      <c r="G10" s="197">
        <v>1389.16</v>
      </c>
      <c r="H10" s="197">
        <v>3198997.57</v>
      </c>
      <c r="I10" s="197">
        <v>823555.77</v>
      </c>
      <c r="J10" s="198">
        <v>156427.4</v>
      </c>
      <c r="K10" s="198">
        <v>292152.93</v>
      </c>
      <c r="L10" s="198">
        <v>592131.24</v>
      </c>
      <c r="M10" s="198">
        <v>538970.45</v>
      </c>
      <c r="N10" s="198">
        <v>91591.52</v>
      </c>
      <c r="O10" s="198">
        <v>32078.07</v>
      </c>
      <c r="P10" s="198">
        <v>790018.54</v>
      </c>
      <c r="Q10" s="198">
        <v>1099764.63</v>
      </c>
      <c r="R10" s="198">
        <v>162769.17</v>
      </c>
      <c r="S10" s="198">
        <v>157746.97</v>
      </c>
      <c r="T10" s="198">
        <v>302391.85</v>
      </c>
      <c r="U10" s="198">
        <v>24986.88</v>
      </c>
      <c r="V10" s="198">
        <v>27164.96</v>
      </c>
      <c r="W10" s="181">
        <f>SUM(B10:V10)</f>
        <v>11819535.990000002</v>
      </c>
      <c r="X10" s="181"/>
      <c r="Y10" s="181"/>
    </row>
    <row r="11" spans="1:25" ht="11.25" hidden="1">
      <c r="A11" s="159" t="s">
        <v>195</v>
      </c>
      <c r="B11" s="199">
        <v>0</v>
      </c>
      <c r="C11" s="200">
        <v>0</v>
      </c>
      <c r="D11" s="197">
        <v>0</v>
      </c>
      <c r="E11" s="197"/>
      <c r="F11" s="197"/>
      <c r="G11" s="197"/>
      <c r="H11" s="197"/>
      <c r="I11" s="197"/>
      <c r="J11" s="198"/>
      <c r="K11" s="198"/>
      <c r="L11" s="198"/>
      <c r="M11" s="198"/>
      <c r="N11" s="198"/>
      <c r="O11" s="198"/>
      <c r="P11" s="198"/>
      <c r="Q11" s="198"/>
      <c r="R11" s="198"/>
      <c r="S11" s="198"/>
      <c r="T11" s="198"/>
      <c r="U11" s="198"/>
      <c r="V11" s="198"/>
      <c r="W11" s="181">
        <f>SUM(B11:V11)</f>
        <v>0</v>
      </c>
      <c r="X11" s="181"/>
      <c r="Y11" s="181"/>
    </row>
    <row r="12" spans="1:25" ht="11.25" hidden="1">
      <c r="A12" s="160" t="s">
        <v>46</v>
      </c>
      <c r="B12" s="199">
        <v>0</v>
      </c>
      <c r="C12" s="200">
        <v>0</v>
      </c>
      <c r="D12" s="197">
        <v>0</v>
      </c>
      <c r="E12" s="197">
        <v>0</v>
      </c>
      <c r="F12" s="197">
        <v>0</v>
      </c>
      <c r="G12" s="197">
        <v>0</v>
      </c>
      <c r="H12" s="197">
        <v>0</v>
      </c>
      <c r="I12" s="197">
        <v>0</v>
      </c>
      <c r="J12" s="198">
        <v>0</v>
      </c>
      <c r="K12" s="198">
        <v>0</v>
      </c>
      <c r="L12" s="198">
        <v>0</v>
      </c>
      <c r="M12" s="198">
        <v>0</v>
      </c>
      <c r="N12" s="198">
        <v>0</v>
      </c>
      <c r="O12" s="198">
        <v>0</v>
      </c>
      <c r="P12" s="198">
        <v>0</v>
      </c>
      <c r="Q12" s="198">
        <v>0</v>
      </c>
      <c r="R12" s="198">
        <v>0</v>
      </c>
      <c r="S12" s="198">
        <v>0</v>
      </c>
      <c r="T12" s="198">
        <v>0</v>
      </c>
      <c r="U12" s="198">
        <v>0</v>
      </c>
      <c r="V12" s="198">
        <v>0</v>
      </c>
      <c r="W12" s="181">
        <f>SUM(B12:V12)</f>
        <v>0</v>
      </c>
      <c r="X12" s="181"/>
      <c r="Y12" s="181"/>
    </row>
    <row r="13" spans="1:25" ht="11.25" hidden="1">
      <c r="A13" s="160" t="s">
        <v>47</v>
      </c>
      <c r="B13" s="201">
        <v>0</v>
      </c>
      <c r="C13" s="202">
        <v>0</v>
      </c>
      <c r="D13" s="203">
        <v>0</v>
      </c>
      <c r="E13" s="203">
        <v>0</v>
      </c>
      <c r="F13" s="203">
        <v>0</v>
      </c>
      <c r="G13" s="203">
        <v>0</v>
      </c>
      <c r="H13" s="203">
        <v>0</v>
      </c>
      <c r="I13" s="203">
        <v>0</v>
      </c>
      <c r="J13" s="204">
        <v>0</v>
      </c>
      <c r="K13" s="204">
        <v>0</v>
      </c>
      <c r="L13" s="204">
        <v>0</v>
      </c>
      <c r="M13" s="204">
        <v>0</v>
      </c>
      <c r="N13" s="204">
        <v>0</v>
      </c>
      <c r="O13" s="204">
        <v>0</v>
      </c>
      <c r="P13" s="204">
        <v>0</v>
      </c>
      <c r="Q13" s="204">
        <v>0</v>
      </c>
      <c r="R13" s="204">
        <v>0</v>
      </c>
      <c r="S13" s="204">
        <v>0</v>
      </c>
      <c r="T13" s="204">
        <v>0</v>
      </c>
      <c r="U13" s="204">
        <v>0</v>
      </c>
      <c r="V13" s="204">
        <v>0</v>
      </c>
      <c r="W13" s="181">
        <f>SUM(B13:V13)</f>
        <v>0</v>
      </c>
      <c r="X13" s="181"/>
      <c r="Y13" s="181"/>
    </row>
    <row r="14" spans="1:25" ht="11.25">
      <c r="A14" s="160" t="s">
        <v>270</v>
      </c>
      <c r="B14" s="199">
        <f aca="true" t="shared" si="0" ref="B14:W14">B10+B11+B12-B13</f>
        <v>437052.49</v>
      </c>
      <c r="C14" s="200">
        <f t="shared" si="0"/>
        <v>1533655.91</v>
      </c>
      <c r="D14" s="200">
        <f t="shared" si="0"/>
        <v>3567.11</v>
      </c>
      <c r="E14" s="200">
        <f t="shared" si="0"/>
        <v>1413595.94</v>
      </c>
      <c r="F14" s="200">
        <f t="shared" si="0"/>
        <v>139527.43</v>
      </c>
      <c r="G14" s="200">
        <f t="shared" si="0"/>
        <v>1389.16</v>
      </c>
      <c r="H14" s="200">
        <f t="shared" si="0"/>
        <v>3198997.57</v>
      </c>
      <c r="I14" s="200">
        <f t="shared" si="0"/>
        <v>823555.77</v>
      </c>
      <c r="J14" s="206">
        <f t="shared" si="0"/>
        <v>156427.4</v>
      </c>
      <c r="K14" s="206">
        <f t="shared" si="0"/>
        <v>292152.93</v>
      </c>
      <c r="L14" s="206">
        <f t="shared" si="0"/>
        <v>592131.24</v>
      </c>
      <c r="M14" s="206">
        <f t="shared" si="0"/>
        <v>538970.45</v>
      </c>
      <c r="N14" s="206">
        <f t="shared" si="0"/>
        <v>91591.52</v>
      </c>
      <c r="O14" s="206">
        <f t="shared" si="0"/>
        <v>32078.07</v>
      </c>
      <c r="P14" s="206">
        <f t="shared" si="0"/>
        <v>790018.54</v>
      </c>
      <c r="Q14" s="206">
        <f t="shared" si="0"/>
        <v>1099764.63</v>
      </c>
      <c r="R14" s="206">
        <f t="shared" si="0"/>
        <v>162769.17</v>
      </c>
      <c r="S14" s="206">
        <f t="shared" si="0"/>
        <v>157746.97</v>
      </c>
      <c r="T14" s="206">
        <f t="shared" si="0"/>
        <v>302391.85</v>
      </c>
      <c r="U14" s="206">
        <f t="shared" si="0"/>
        <v>24986.88</v>
      </c>
      <c r="V14" s="206">
        <f t="shared" si="0"/>
        <v>27164.96</v>
      </c>
      <c r="W14" s="199">
        <f t="shared" si="0"/>
        <v>11819535.990000002</v>
      </c>
      <c r="X14" s="181"/>
      <c r="Y14" s="181"/>
    </row>
    <row r="15" spans="1:25" ht="10.5">
      <c r="A15" s="158"/>
      <c r="B15" s="199"/>
      <c r="C15" s="200"/>
      <c r="D15" s="197"/>
      <c r="E15" s="197"/>
      <c r="F15" s="197"/>
      <c r="G15" s="197"/>
      <c r="H15" s="197"/>
      <c r="I15" s="197"/>
      <c r="J15" s="198"/>
      <c r="K15" s="198"/>
      <c r="L15" s="198"/>
      <c r="M15" s="198"/>
      <c r="N15" s="198"/>
      <c r="O15" s="198"/>
      <c r="P15" s="198"/>
      <c r="Q15" s="198"/>
      <c r="R15" s="198"/>
      <c r="S15" s="198"/>
      <c r="T15" s="198"/>
      <c r="U15" s="198"/>
      <c r="V15" s="198"/>
      <c r="W15" s="181"/>
      <c r="X15" s="181"/>
      <c r="Y15" s="181"/>
    </row>
    <row r="16" spans="1:25" ht="11.25">
      <c r="A16" s="159" t="s">
        <v>277</v>
      </c>
      <c r="B16" s="181"/>
      <c r="C16" s="197"/>
      <c r="D16" s="197"/>
      <c r="E16" s="197"/>
      <c r="F16" s="197"/>
      <c r="G16" s="197"/>
      <c r="H16" s="197"/>
      <c r="I16" s="197"/>
      <c r="J16" s="198"/>
      <c r="K16" s="198"/>
      <c r="L16" s="198"/>
      <c r="M16" s="198"/>
      <c r="N16" s="198"/>
      <c r="O16" s="198"/>
      <c r="P16" s="198"/>
      <c r="Q16" s="198"/>
      <c r="R16" s="198"/>
      <c r="S16" s="198"/>
      <c r="T16" s="198"/>
      <c r="U16" s="198"/>
      <c r="V16" s="198"/>
      <c r="W16" s="181"/>
      <c r="X16" s="181"/>
      <c r="Y16" s="181"/>
    </row>
    <row r="17" spans="1:25" ht="11.25">
      <c r="A17" s="162" t="s">
        <v>190</v>
      </c>
      <c r="B17" s="181">
        <v>120864.52</v>
      </c>
      <c r="C17" s="197">
        <v>768008.94</v>
      </c>
      <c r="D17" s="197">
        <v>2256.44</v>
      </c>
      <c r="E17" s="197">
        <v>1100695.64</v>
      </c>
      <c r="F17" s="197">
        <v>123771.36</v>
      </c>
      <c r="G17" s="197">
        <v>206.85</v>
      </c>
      <c r="H17" s="197">
        <v>1349843.94</v>
      </c>
      <c r="I17" s="197">
        <v>563169.08</v>
      </c>
      <c r="J17" s="198"/>
      <c r="K17" s="198"/>
      <c r="L17" s="198"/>
      <c r="M17" s="198"/>
      <c r="N17" s="198"/>
      <c r="O17" s="198"/>
      <c r="P17" s="198"/>
      <c r="Q17" s="198"/>
      <c r="R17" s="198"/>
      <c r="S17" s="198"/>
      <c r="T17" s="198"/>
      <c r="U17" s="198"/>
      <c r="V17" s="198"/>
      <c r="W17" s="181">
        <f>SUM(B17:V17)</f>
        <v>4028816.77</v>
      </c>
      <c r="X17" s="181"/>
      <c r="Y17" s="181"/>
    </row>
    <row r="18" spans="1:25" ht="11.25">
      <c r="A18" s="162" t="s">
        <v>278</v>
      </c>
      <c r="B18" s="181">
        <v>82710.91</v>
      </c>
      <c r="C18" s="197">
        <v>0</v>
      </c>
      <c r="D18" s="197"/>
      <c r="E18" s="197"/>
      <c r="F18" s="197"/>
      <c r="G18" s="200" t="s">
        <v>52</v>
      </c>
      <c r="H18" s="197"/>
      <c r="I18" s="197"/>
      <c r="J18" s="198">
        <v>107905.48</v>
      </c>
      <c r="K18" s="198">
        <v>358492.4</v>
      </c>
      <c r="L18" s="198">
        <v>399492.57</v>
      </c>
      <c r="M18" s="198">
        <v>345488.95</v>
      </c>
      <c r="N18" s="198">
        <v>181254.33</v>
      </c>
      <c r="O18" s="198">
        <v>34347.91</v>
      </c>
      <c r="P18" s="198">
        <v>433630.34</v>
      </c>
      <c r="Q18" s="198">
        <v>430338.94</v>
      </c>
      <c r="R18" s="198">
        <v>105861.6</v>
      </c>
      <c r="S18" s="198">
        <v>96392.21</v>
      </c>
      <c r="T18" s="198">
        <v>122262.82</v>
      </c>
      <c r="U18" s="198">
        <v>19836.65</v>
      </c>
      <c r="V18" s="198">
        <v>39013.91</v>
      </c>
      <c r="W18" s="181">
        <f>SUM(B18:V18)</f>
        <v>2757029.02</v>
      </c>
      <c r="X18" s="181"/>
      <c r="Y18" s="181"/>
    </row>
    <row r="19" spans="1:25" ht="11.25">
      <c r="A19" s="162" t="s">
        <v>279</v>
      </c>
      <c r="B19" s="181">
        <v>23198.79</v>
      </c>
      <c r="C19" s="197"/>
      <c r="D19" s="197"/>
      <c r="E19" s="197"/>
      <c r="F19" s="197"/>
      <c r="G19" s="197"/>
      <c r="H19" s="197"/>
      <c r="I19" s="197"/>
      <c r="J19" s="198"/>
      <c r="K19" s="198"/>
      <c r="L19" s="198"/>
      <c r="M19" s="198"/>
      <c r="N19" s="198"/>
      <c r="O19" s="198"/>
      <c r="P19" s="198"/>
      <c r="Q19" s="198"/>
      <c r="R19" s="206" t="s">
        <v>52</v>
      </c>
      <c r="S19" s="198"/>
      <c r="T19" s="198"/>
      <c r="U19" s="198"/>
      <c r="V19" s="198"/>
      <c r="W19" s="181">
        <f>SUM(B19:V19)</f>
        <v>23198.79</v>
      </c>
      <c r="X19" s="181"/>
      <c r="Y19" s="181"/>
    </row>
    <row r="20" spans="1:25" ht="11.25" hidden="1">
      <c r="A20" s="162" t="s">
        <v>48</v>
      </c>
      <c r="B20" s="181"/>
      <c r="C20" s="197"/>
      <c r="D20" s="197"/>
      <c r="E20" s="197"/>
      <c r="F20" s="197"/>
      <c r="G20" s="197"/>
      <c r="H20" s="197"/>
      <c r="I20" s="197"/>
      <c r="J20" s="198"/>
      <c r="K20" s="198"/>
      <c r="L20" s="198"/>
      <c r="M20" s="198"/>
      <c r="N20" s="198"/>
      <c r="O20" s="198"/>
      <c r="P20" s="198"/>
      <c r="Q20" s="198"/>
      <c r="R20" s="198"/>
      <c r="S20" s="198"/>
      <c r="T20" s="198"/>
      <c r="U20" s="198"/>
      <c r="V20" s="198"/>
      <c r="W20" s="181">
        <f>SUM(B20:V20)</f>
        <v>0</v>
      </c>
      <c r="X20" s="181"/>
      <c r="Y20" s="181"/>
    </row>
    <row r="21" spans="1:25" ht="11.25" hidden="1">
      <c r="A21" s="162" t="s">
        <v>192</v>
      </c>
      <c r="B21" s="181">
        <v>0</v>
      </c>
      <c r="C21" s="197">
        <v>0</v>
      </c>
      <c r="D21" s="197">
        <v>0</v>
      </c>
      <c r="E21" s="197">
        <v>0</v>
      </c>
      <c r="F21" s="197">
        <v>0</v>
      </c>
      <c r="G21" s="197">
        <v>0</v>
      </c>
      <c r="H21" s="197">
        <v>0</v>
      </c>
      <c r="I21" s="197">
        <v>0</v>
      </c>
      <c r="J21" s="198">
        <v>0</v>
      </c>
      <c r="K21" s="198">
        <v>0</v>
      </c>
      <c r="L21" s="198">
        <v>0</v>
      </c>
      <c r="M21" s="198">
        <v>0</v>
      </c>
      <c r="N21" s="198">
        <v>0</v>
      </c>
      <c r="O21" s="198">
        <v>0</v>
      </c>
      <c r="P21" s="198">
        <v>0</v>
      </c>
      <c r="Q21" s="198">
        <v>0</v>
      </c>
      <c r="R21" s="198">
        <v>0</v>
      </c>
      <c r="S21" s="198">
        <v>0</v>
      </c>
      <c r="T21" s="198">
        <v>0</v>
      </c>
      <c r="U21" s="198">
        <v>0</v>
      </c>
      <c r="V21" s="198">
        <v>0</v>
      </c>
      <c r="W21" s="181">
        <f>SUM(B21:V21)</f>
        <v>0</v>
      </c>
      <c r="X21" s="181"/>
      <c r="Y21" s="181"/>
    </row>
    <row r="22" spans="2:25" ht="10.5" hidden="1">
      <c r="B22" s="205"/>
      <c r="C22" s="203"/>
      <c r="D22" s="203"/>
      <c r="E22" s="203"/>
      <c r="F22" s="203"/>
      <c r="G22" s="203"/>
      <c r="H22" s="203"/>
      <c r="I22" s="203"/>
      <c r="J22" s="204"/>
      <c r="K22" s="204"/>
      <c r="L22" s="204"/>
      <c r="M22" s="204"/>
      <c r="N22" s="204"/>
      <c r="O22" s="204"/>
      <c r="P22" s="204"/>
      <c r="Q22" s="204"/>
      <c r="R22" s="204"/>
      <c r="S22" s="204"/>
      <c r="T22" s="204"/>
      <c r="U22" s="204"/>
      <c r="V22" s="204"/>
      <c r="W22" s="201" t="s">
        <v>52</v>
      </c>
      <c r="X22" s="181"/>
      <c r="Y22" s="181"/>
    </row>
    <row r="23" spans="1:25" ht="11.25">
      <c r="A23" s="159" t="s">
        <v>49</v>
      </c>
      <c r="B23" s="273">
        <f>SUM(B17:B21)</f>
        <v>226774.22</v>
      </c>
      <c r="C23" s="274">
        <f aca="true" t="shared" si="1" ref="C23:W23">SUM(C17:C21)</f>
        <v>768008.94</v>
      </c>
      <c r="D23" s="274">
        <f t="shared" si="1"/>
        <v>2256.44</v>
      </c>
      <c r="E23" s="274">
        <f t="shared" si="1"/>
        <v>1100695.64</v>
      </c>
      <c r="F23" s="274">
        <f t="shared" si="1"/>
        <v>123771.36</v>
      </c>
      <c r="G23" s="274">
        <f t="shared" si="1"/>
        <v>206.85</v>
      </c>
      <c r="H23" s="274">
        <f t="shared" si="1"/>
        <v>1349843.94</v>
      </c>
      <c r="I23" s="274">
        <f t="shared" si="1"/>
        <v>563169.08</v>
      </c>
      <c r="J23" s="275">
        <f t="shared" si="1"/>
        <v>107905.48</v>
      </c>
      <c r="K23" s="275">
        <f t="shared" si="1"/>
        <v>358492.4</v>
      </c>
      <c r="L23" s="275">
        <f t="shared" si="1"/>
        <v>399492.57</v>
      </c>
      <c r="M23" s="275">
        <f t="shared" si="1"/>
        <v>345488.95</v>
      </c>
      <c r="N23" s="275">
        <f t="shared" si="1"/>
        <v>181254.33</v>
      </c>
      <c r="O23" s="275">
        <f t="shared" si="1"/>
        <v>34347.91</v>
      </c>
      <c r="P23" s="275">
        <f t="shared" si="1"/>
        <v>433630.34</v>
      </c>
      <c r="Q23" s="275">
        <f t="shared" si="1"/>
        <v>430338.94</v>
      </c>
      <c r="R23" s="275">
        <f t="shared" si="1"/>
        <v>105861.6</v>
      </c>
      <c r="S23" s="275">
        <f t="shared" si="1"/>
        <v>96392.21</v>
      </c>
      <c r="T23" s="275">
        <f t="shared" si="1"/>
        <v>122262.82</v>
      </c>
      <c r="U23" s="275">
        <f t="shared" si="1"/>
        <v>19836.65</v>
      </c>
      <c r="V23" s="275">
        <f t="shared" si="1"/>
        <v>39013.91</v>
      </c>
      <c r="W23" s="273">
        <f t="shared" si="1"/>
        <v>6809044.58</v>
      </c>
      <c r="X23" s="181"/>
      <c r="Y23" s="181"/>
    </row>
    <row r="24" spans="2:25" ht="10.5">
      <c r="B24" s="181"/>
      <c r="C24" s="197"/>
      <c r="D24" s="197"/>
      <c r="E24" s="197"/>
      <c r="F24" s="197"/>
      <c r="G24" s="197"/>
      <c r="H24" s="197"/>
      <c r="I24" s="197"/>
      <c r="J24" s="198"/>
      <c r="K24" s="198"/>
      <c r="L24" s="198"/>
      <c r="M24" s="198"/>
      <c r="N24" s="198"/>
      <c r="O24" s="198"/>
      <c r="P24" s="198"/>
      <c r="Q24" s="198"/>
      <c r="R24" s="198"/>
      <c r="S24" s="198"/>
      <c r="T24" s="198"/>
      <c r="U24" s="198"/>
      <c r="V24" s="198"/>
      <c r="W24" s="181"/>
      <c r="X24" s="181"/>
      <c r="Y24" s="181"/>
    </row>
    <row r="25" spans="1:25" ht="11.25">
      <c r="A25" s="159" t="s">
        <v>50</v>
      </c>
      <c r="B25" s="181"/>
      <c r="C25" s="197"/>
      <c r="D25" s="197"/>
      <c r="E25" s="197"/>
      <c r="F25" s="197"/>
      <c r="G25" s="197"/>
      <c r="H25" s="197"/>
      <c r="I25" s="197"/>
      <c r="J25" s="198"/>
      <c r="K25" s="198"/>
      <c r="L25" s="198"/>
      <c r="M25" s="198"/>
      <c r="N25" s="198"/>
      <c r="O25" s="198"/>
      <c r="P25" s="198"/>
      <c r="Q25" s="198"/>
      <c r="R25" s="198"/>
      <c r="S25" s="198"/>
      <c r="T25" s="198"/>
      <c r="U25" s="198"/>
      <c r="V25" s="198"/>
      <c r="W25" s="181"/>
      <c r="X25" s="181"/>
      <c r="Y25" s="181"/>
    </row>
    <row r="26" spans="1:25" ht="11.25">
      <c r="A26" s="167" t="s">
        <v>204</v>
      </c>
      <c r="B26" s="181">
        <v>119066.63</v>
      </c>
      <c r="C26" s="197"/>
      <c r="D26" s="197"/>
      <c r="E26" s="197"/>
      <c r="F26" s="197"/>
      <c r="G26" s="197"/>
      <c r="H26" s="197"/>
      <c r="I26" s="197"/>
      <c r="J26" s="198"/>
      <c r="K26" s="198"/>
      <c r="L26" s="198"/>
      <c r="M26" s="198"/>
      <c r="N26" s="198"/>
      <c r="O26" s="198"/>
      <c r="P26" s="198"/>
      <c r="Q26" s="198"/>
      <c r="R26" s="198"/>
      <c r="S26" s="198"/>
      <c r="T26" s="198"/>
      <c r="U26" s="198"/>
      <c r="V26" s="198"/>
      <c r="W26" s="181">
        <f>SUM(B26:V26)</f>
        <v>119066.63</v>
      </c>
      <c r="X26" s="181"/>
      <c r="Y26" s="181"/>
    </row>
    <row r="27" spans="1:25" ht="11.25">
      <c r="A27" s="162" t="s">
        <v>189</v>
      </c>
      <c r="B27" s="181">
        <v>29751.88</v>
      </c>
      <c r="C27" s="197">
        <v>121828.03</v>
      </c>
      <c r="D27" s="197">
        <v>0</v>
      </c>
      <c r="E27" s="197">
        <v>88207</v>
      </c>
      <c r="F27" s="197">
        <v>8488.31</v>
      </c>
      <c r="G27" s="197">
        <v>0</v>
      </c>
      <c r="H27" s="197">
        <v>153672.38</v>
      </c>
      <c r="I27" s="197">
        <v>22712</v>
      </c>
      <c r="J27" s="198">
        <v>9635</v>
      </c>
      <c r="K27" s="198">
        <v>36054.42</v>
      </c>
      <c r="L27" s="198">
        <v>61785.3</v>
      </c>
      <c r="M27" s="198">
        <v>12220</v>
      </c>
      <c r="N27" s="198">
        <v>22136</v>
      </c>
      <c r="O27" s="198">
        <v>2533</v>
      </c>
      <c r="P27" s="198">
        <v>41890</v>
      </c>
      <c r="Q27" s="198">
        <v>41172.64</v>
      </c>
      <c r="R27" s="198">
        <v>2750</v>
      </c>
      <c r="S27" s="198">
        <v>1612</v>
      </c>
      <c r="T27" s="198">
        <v>7767.33</v>
      </c>
      <c r="U27" s="198">
        <v>897</v>
      </c>
      <c r="V27" s="198">
        <v>2571.49</v>
      </c>
      <c r="W27" s="181">
        <f>SUM(B27:V27)</f>
        <v>667683.7799999999</v>
      </c>
      <c r="X27" s="181"/>
      <c r="Y27" s="181"/>
    </row>
    <row r="28" spans="1:25" ht="11.25">
      <c r="A28" s="162" t="s">
        <v>187</v>
      </c>
      <c r="B28" s="181"/>
      <c r="C28" s="197">
        <v>140096.18</v>
      </c>
      <c r="D28" s="197"/>
      <c r="E28" s="197">
        <v>163383</v>
      </c>
      <c r="F28" s="197">
        <v>20116.25</v>
      </c>
      <c r="G28" s="197">
        <v>0</v>
      </c>
      <c r="H28" s="197">
        <v>76031.15</v>
      </c>
      <c r="I28" s="197">
        <v>45288</v>
      </c>
      <c r="J28" s="198">
        <v>13419</v>
      </c>
      <c r="K28" s="198">
        <v>29692.1</v>
      </c>
      <c r="L28" s="198">
        <v>26082.77</v>
      </c>
      <c r="M28" s="198">
        <v>32324</v>
      </c>
      <c r="N28" s="198">
        <v>19887</v>
      </c>
      <c r="O28" s="198">
        <v>1574</v>
      </c>
      <c r="P28" s="198">
        <v>16341</v>
      </c>
      <c r="Q28" s="198">
        <v>41402.04</v>
      </c>
      <c r="R28" s="198">
        <v>9500</v>
      </c>
      <c r="S28" s="198">
        <v>10666</v>
      </c>
      <c r="T28" s="198">
        <v>15775.8</v>
      </c>
      <c r="U28" s="198">
        <v>1286</v>
      </c>
      <c r="V28" s="198">
        <v>4378</v>
      </c>
      <c r="W28" s="181">
        <f>SUM(B28:V28)</f>
        <v>667242.29</v>
      </c>
      <c r="X28" s="181"/>
      <c r="Y28" s="181"/>
    </row>
    <row r="29" spans="1:25" ht="11.25">
      <c r="A29" s="162" t="s">
        <v>188</v>
      </c>
      <c r="B29" s="181">
        <v>0</v>
      </c>
      <c r="C29" s="197">
        <v>388624</v>
      </c>
      <c r="D29" s="197">
        <v>0</v>
      </c>
      <c r="E29" s="197">
        <v>695901</v>
      </c>
      <c r="F29" s="197">
        <v>101480</v>
      </c>
      <c r="G29" s="197">
        <v>0</v>
      </c>
      <c r="H29" s="197">
        <v>1456486</v>
      </c>
      <c r="I29" s="197">
        <v>306826</v>
      </c>
      <c r="J29" s="198">
        <v>68163</v>
      </c>
      <c r="K29" s="198">
        <v>288901.16</v>
      </c>
      <c r="L29" s="198">
        <v>202199</v>
      </c>
      <c r="M29" s="198">
        <v>36189</v>
      </c>
      <c r="N29" s="198">
        <v>114816</v>
      </c>
      <c r="O29" s="198">
        <v>20575</v>
      </c>
      <c r="P29" s="198">
        <v>219975</v>
      </c>
      <c r="Q29" s="198">
        <v>332720</v>
      </c>
      <c r="R29" s="198">
        <v>64480</v>
      </c>
      <c r="S29" s="198">
        <v>26760</v>
      </c>
      <c r="T29" s="198">
        <v>35935</v>
      </c>
      <c r="U29" s="198">
        <v>10570</v>
      </c>
      <c r="V29" s="198">
        <v>3642</v>
      </c>
      <c r="W29" s="181">
        <f>SUM(B29:V29)</f>
        <v>4374242.16</v>
      </c>
      <c r="X29" s="181"/>
      <c r="Y29" s="181"/>
    </row>
    <row r="30" spans="1:25" ht="11.25">
      <c r="A30" s="162" t="s">
        <v>52</v>
      </c>
      <c r="B30" s="205"/>
      <c r="C30" s="203"/>
      <c r="D30" s="203"/>
      <c r="E30" s="203"/>
      <c r="F30" s="203"/>
      <c r="G30" s="203"/>
      <c r="H30" s="203"/>
      <c r="I30" s="203"/>
      <c r="J30" s="204"/>
      <c r="K30" s="204"/>
      <c r="L30" s="204"/>
      <c r="M30" s="204"/>
      <c r="N30" s="204"/>
      <c r="O30" s="204"/>
      <c r="P30" s="204"/>
      <c r="Q30" s="204"/>
      <c r="R30" s="204"/>
      <c r="S30" s="204"/>
      <c r="T30" s="204"/>
      <c r="U30" s="204"/>
      <c r="V30" s="204"/>
      <c r="W30" s="205"/>
      <c r="X30" s="181"/>
      <c r="Y30" s="181"/>
    </row>
    <row r="31" spans="1:25" ht="11.25">
      <c r="A31" s="159" t="s">
        <v>51</v>
      </c>
      <c r="B31" s="181">
        <f>SUM(B26:B30)</f>
        <v>148818.51</v>
      </c>
      <c r="C31" s="197">
        <f aca="true" t="shared" si="2" ref="C31:V31">SUM(C27:C30)</f>
        <v>650548.21</v>
      </c>
      <c r="D31" s="197">
        <f t="shared" si="2"/>
        <v>0</v>
      </c>
      <c r="E31" s="197">
        <f t="shared" si="2"/>
        <v>947491</v>
      </c>
      <c r="F31" s="197">
        <f t="shared" si="2"/>
        <v>130084.56</v>
      </c>
      <c r="G31" s="197">
        <f t="shared" si="2"/>
        <v>0</v>
      </c>
      <c r="H31" s="197">
        <f t="shared" si="2"/>
        <v>1686189.53</v>
      </c>
      <c r="I31" s="197">
        <f t="shared" si="2"/>
        <v>374826</v>
      </c>
      <c r="J31" s="198">
        <f t="shared" si="2"/>
        <v>91217</v>
      </c>
      <c r="K31" s="198">
        <f t="shared" si="2"/>
        <v>354647.67999999993</v>
      </c>
      <c r="L31" s="198">
        <f t="shared" si="2"/>
        <v>290067.07</v>
      </c>
      <c r="M31" s="198">
        <f t="shared" si="2"/>
        <v>80733</v>
      </c>
      <c r="N31" s="198">
        <f t="shared" si="2"/>
        <v>156839</v>
      </c>
      <c r="O31" s="198">
        <f t="shared" si="2"/>
        <v>24682</v>
      </c>
      <c r="P31" s="198">
        <f t="shared" si="2"/>
        <v>278206</v>
      </c>
      <c r="Q31" s="198">
        <f t="shared" si="2"/>
        <v>415294.68</v>
      </c>
      <c r="R31" s="198">
        <f t="shared" si="2"/>
        <v>76730</v>
      </c>
      <c r="S31" s="198">
        <f t="shared" si="2"/>
        <v>39038</v>
      </c>
      <c r="T31" s="198">
        <f t="shared" si="2"/>
        <v>59478.13</v>
      </c>
      <c r="U31" s="198">
        <f t="shared" si="2"/>
        <v>12753</v>
      </c>
      <c r="V31" s="198">
        <f t="shared" si="2"/>
        <v>10591.49</v>
      </c>
      <c r="W31" s="181">
        <f>SUM(B31:V31)</f>
        <v>5828234.86</v>
      </c>
      <c r="X31" s="181"/>
      <c r="Y31" s="181"/>
    </row>
    <row r="32" spans="1:25" ht="10.5">
      <c r="A32" s="48"/>
      <c r="B32" s="181"/>
      <c r="C32" s="197"/>
      <c r="D32" s="197"/>
      <c r="E32" s="197"/>
      <c r="F32" s="197"/>
      <c r="G32" s="197"/>
      <c r="H32" s="197"/>
      <c r="I32" s="197"/>
      <c r="J32" s="198"/>
      <c r="K32" s="198"/>
      <c r="L32" s="198"/>
      <c r="M32" s="198"/>
      <c r="N32" s="198"/>
      <c r="O32" s="198"/>
      <c r="P32" s="198"/>
      <c r="Q32" s="198"/>
      <c r="R32" s="198"/>
      <c r="S32" s="198"/>
      <c r="T32" s="198"/>
      <c r="U32" s="198"/>
      <c r="V32" s="198"/>
      <c r="W32" s="181"/>
      <c r="X32" s="181"/>
      <c r="Y32" s="181"/>
    </row>
    <row r="33" spans="1:25" ht="10.5">
      <c r="A33" s="48"/>
      <c r="B33" s="205"/>
      <c r="C33" s="203"/>
      <c r="D33" s="203"/>
      <c r="E33" s="203"/>
      <c r="F33" s="203"/>
      <c r="G33" s="203"/>
      <c r="H33" s="203"/>
      <c r="I33" s="203"/>
      <c r="J33" s="204"/>
      <c r="K33" s="204"/>
      <c r="L33" s="204"/>
      <c r="M33" s="204"/>
      <c r="N33" s="204"/>
      <c r="O33" s="204"/>
      <c r="P33" s="204"/>
      <c r="Q33" s="204"/>
      <c r="R33" s="204"/>
      <c r="S33" s="204"/>
      <c r="T33" s="204"/>
      <c r="U33" s="204"/>
      <c r="V33" s="204"/>
      <c r="W33" s="205"/>
      <c r="X33" s="181"/>
      <c r="Y33" s="181"/>
    </row>
    <row r="34" spans="1:25" ht="12" thickBot="1">
      <c r="A34" s="159" t="s">
        <v>410</v>
      </c>
      <c r="B34" s="207">
        <f>B14+B23-B31</f>
        <v>515008.19999999995</v>
      </c>
      <c r="C34" s="208">
        <f>C14+C23-C31</f>
        <v>1651116.6399999997</v>
      </c>
      <c r="D34" s="208">
        <f>D14+D23-D31</f>
        <v>5823.55</v>
      </c>
      <c r="E34" s="208">
        <f aca="true" t="shared" si="3" ref="E34:V34">E14+E23-E31</f>
        <v>1566800.58</v>
      </c>
      <c r="F34" s="208">
        <f t="shared" si="3"/>
        <v>133214.22999999998</v>
      </c>
      <c r="G34" s="208">
        <f t="shared" si="3"/>
        <v>1596.01</v>
      </c>
      <c r="H34" s="208">
        <f t="shared" si="3"/>
        <v>2862651.9799999995</v>
      </c>
      <c r="I34" s="208">
        <f t="shared" si="3"/>
        <v>1011898.8500000001</v>
      </c>
      <c r="J34" s="209">
        <f t="shared" si="3"/>
        <v>173115.88</v>
      </c>
      <c r="K34" s="209">
        <f t="shared" si="3"/>
        <v>295997.65000000014</v>
      </c>
      <c r="L34" s="209">
        <f t="shared" si="3"/>
        <v>701556.74</v>
      </c>
      <c r="M34" s="209">
        <f t="shared" si="3"/>
        <v>803726.3999999999</v>
      </c>
      <c r="N34" s="209">
        <f t="shared" si="3"/>
        <v>116006.84999999998</v>
      </c>
      <c r="O34" s="209">
        <f t="shared" si="3"/>
        <v>41743.98000000001</v>
      </c>
      <c r="P34" s="209">
        <f t="shared" si="3"/>
        <v>945442.8800000001</v>
      </c>
      <c r="Q34" s="209">
        <f t="shared" si="3"/>
        <v>1114808.89</v>
      </c>
      <c r="R34" s="209">
        <f t="shared" si="3"/>
        <v>191900.77000000002</v>
      </c>
      <c r="S34" s="209">
        <f t="shared" si="3"/>
        <v>215101.18</v>
      </c>
      <c r="T34" s="209">
        <f t="shared" si="3"/>
        <v>365176.54</v>
      </c>
      <c r="U34" s="209">
        <f t="shared" si="3"/>
        <v>32070.53</v>
      </c>
      <c r="V34" s="209">
        <f t="shared" si="3"/>
        <v>55587.38</v>
      </c>
      <c r="W34" s="207">
        <f>SUM(B34:V34)</f>
        <v>12800345.709999999</v>
      </c>
      <c r="X34" s="181"/>
      <c r="Y34" s="181" t="s">
        <v>52</v>
      </c>
    </row>
    <row r="35" spans="2:25" ht="11.25" thickTop="1">
      <c r="B35" s="181"/>
      <c r="C35" s="197"/>
      <c r="D35" s="197"/>
      <c r="E35" s="197"/>
      <c r="F35" s="197"/>
      <c r="G35" s="197"/>
      <c r="H35" s="197"/>
      <c r="I35" s="197"/>
      <c r="J35" s="198"/>
      <c r="K35" s="198"/>
      <c r="L35" s="198"/>
      <c r="M35" s="198"/>
      <c r="N35" s="198"/>
      <c r="O35" s="198"/>
      <c r="P35" s="198"/>
      <c r="Q35" s="198"/>
      <c r="R35" s="198"/>
      <c r="S35" s="198"/>
      <c r="T35" s="198"/>
      <c r="U35" s="198"/>
      <c r="V35" s="198"/>
      <c r="W35" s="181"/>
      <c r="X35" s="181"/>
      <c r="Y35" s="181"/>
    </row>
    <row r="36" spans="2:25" ht="10.5">
      <c r="B36" s="181"/>
      <c r="C36" s="197"/>
      <c r="D36" s="197"/>
      <c r="E36" s="197"/>
      <c r="F36" s="197"/>
      <c r="G36" s="197"/>
      <c r="H36" s="197"/>
      <c r="I36" s="197"/>
      <c r="J36" s="198"/>
      <c r="K36" s="198"/>
      <c r="L36" s="198"/>
      <c r="M36" s="198"/>
      <c r="N36" s="198"/>
      <c r="O36" s="198"/>
      <c r="P36" s="198"/>
      <c r="Q36" s="198"/>
      <c r="R36" s="198"/>
      <c r="S36" s="198"/>
      <c r="T36" s="198"/>
      <c r="U36" s="198"/>
      <c r="V36" s="198"/>
      <c r="W36" s="181"/>
      <c r="X36" s="181"/>
      <c r="Y36" s="181"/>
    </row>
    <row r="37" spans="1:25" ht="11.25">
      <c r="A37" s="166" t="s">
        <v>411</v>
      </c>
      <c r="B37" s="181">
        <v>0</v>
      </c>
      <c r="C37" s="197">
        <v>0</v>
      </c>
      <c r="D37" s="197">
        <v>0</v>
      </c>
      <c r="E37" s="197">
        <v>0</v>
      </c>
      <c r="F37" s="197">
        <v>0</v>
      </c>
      <c r="G37" s="197">
        <v>0</v>
      </c>
      <c r="H37" s="197">
        <v>0</v>
      </c>
      <c r="I37" s="197">
        <v>0</v>
      </c>
      <c r="J37" s="206">
        <v>0</v>
      </c>
      <c r="K37" s="198">
        <v>0</v>
      </c>
      <c r="L37" s="198">
        <v>0.2</v>
      </c>
      <c r="M37" s="198">
        <v>0</v>
      </c>
      <c r="N37" s="198">
        <v>0</v>
      </c>
      <c r="O37" s="198">
        <v>0</v>
      </c>
      <c r="P37" s="198">
        <f>950</f>
        <v>950</v>
      </c>
      <c r="Q37" s="198">
        <v>0</v>
      </c>
      <c r="R37" s="198">
        <v>0</v>
      </c>
      <c r="S37" s="198">
        <v>0</v>
      </c>
      <c r="T37" s="198">
        <v>0</v>
      </c>
      <c r="U37" s="198">
        <v>0</v>
      </c>
      <c r="V37" s="198">
        <v>0</v>
      </c>
      <c r="W37" s="181">
        <f>SUM(B37:V37)</f>
        <v>950.2</v>
      </c>
      <c r="X37" s="181"/>
      <c r="Y37" s="181"/>
    </row>
    <row r="38" spans="1:25" ht="11.25">
      <c r="A38" s="166" t="s">
        <v>412</v>
      </c>
      <c r="B38" s="181">
        <v>1174.12</v>
      </c>
      <c r="C38" s="197">
        <v>1460060.73</v>
      </c>
      <c r="D38" s="197">
        <v>5259</v>
      </c>
      <c r="E38" s="197">
        <v>1292575</v>
      </c>
      <c r="F38" s="197">
        <v>102457.09</v>
      </c>
      <c r="G38" s="197">
        <v>1543</v>
      </c>
      <c r="H38" s="197">
        <v>2522102.73</v>
      </c>
      <c r="I38" s="197">
        <v>870737.84</v>
      </c>
      <c r="J38" s="198">
        <v>156840</v>
      </c>
      <c r="K38" s="198">
        <v>210620.79</v>
      </c>
      <c r="L38" s="198">
        <v>602107.4</v>
      </c>
      <c r="M38" s="198">
        <v>706645</v>
      </c>
      <c r="N38" s="198">
        <v>71724.77</v>
      </c>
      <c r="O38" s="198">
        <v>32801.33</v>
      </c>
      <c r="P38" s="198">
        <v>836681</v>
      </c>
      <c r="Q38" s="198">
        <v>1008084.48</v>
      </c>
      <c r="R38" s="198">
        <v>166259</v>
      </c>
      <c r="S38" s="198">
        <v>191580</v>
      </c>
      <c r="T38" s="198">
        <v>335134.36</v>
      </c>
      <c r="U38" s="198">
        <v>27581</v>
      </c>
      <c r="V38" s="198">
        <v>45921.93</v>
      </c>
      <c r="W38" s="181">
        <f>SUM(B38:V38)</f>
        <v>10647890.57</v>
      </c>
      <c r="X38" s="181"/>
      <c r="Y38" s="181"/>
    </row>
    <row r="39" spans="1:25" ht="11.25">
      <c r="A39" s="167" t="s">
        <v>52</v>
      </c>
      <c r="B39" s="201" t="s">
        <v>53</v>
      </c>
      <c r="C39" s="203"/>
      <c r="D39" s="203"/>
      <c r="E39" s="203"/>
      <c r="F39" s="203"/>
      <c r="G39" s="203"/>
      <c r="H39" s="203"/>
      <c r="I39" s="203"/>
      <c r="J39" s="204"/>
      <c r="K39" s="204"/>
      <c r="L39" s="204"/>
      <c r="M39" s="204"/>
      <c r="N39" s="204"/>
      <c r="O39" s="204"/>
      <c r="P39" s="204"/>
      <c r="Q39" s="204"/>
      <c r="R39" s="204"/>
      <c r="S39" s="204"/>
      <c r="T39" s="204"/>
      <c r="U39" s="204"/>
      <c r="V39" s="204"/>
      <c r="W39" s="205"/>
      <c r="X39" s="181"/>
      <c r="Y39" s="181"/>
    </row>
    <row r="40" spans="1:25" ht="11.25">
      <c r="A40" s="159"/>
      <c r="B40" s="181">
        <f>SUM(B37:B39)</f>
        <v>1174.12</v>
      </c>
      <c r="C40" s="197">
        <f aca="true" t="shared" si="4" ref="C40:V40">SUM(C37:C39)</f>
        <v>1460060.73</v>
      </c>
      <c r="D40" s="197">
        <f t="shared" si="4"/>
        <v>5259</v>
      </c>
      <c r="E40" s="197">
        <f t="shared" si="4"/>
        <v>1292575</v>
      </c>
      <c r="F40" s="197">
        <f t="shared" si="4"/>
        <v>102457.09</v>
      </c>
      <c r="G40" s="197">
        <f t="shared" si="4"/>
        <v>1543</v>
      </c>
      <c r="H40" s="197">
        <f t="shared" si="4"/>
        <v>2522102.73</v>
      </c>
      <c r="I40" s="197">
        <f t="shared" si="4"/>
        <v>870737.84</v>
      </c>
      <c r="J40" s="198">
        <f t="shared" si="4"/>
        <v>156840</v>
      </c>
      <c r="K40" s="198">
        <f t="shared" si="4"/>
        <v>210620.79</v>
      </c>
      <c r="L40" s="198">
        <f t="shared" si="4"/>
        <v>602107.6</v>
      </c>
      <c r="M40" s="198">
        <f t="shared" si="4"/>
        <v>706645</v>
      </c>
      <c r="N40" s="198">
        <f t="shared" si="4"/>
        <v>71724.77</v>
      </c>
      <c r="O40" s="198">
        <f t="shared" si="4"/>
        <v>32801.33</v>
      </c>
      <c r="P40" s="198">
        <f t="shared" si="4"/>
        <v>837631</v>
      </c>
      <c r="Q40" s="198">
        <f t="shared" si="4"/>
        <v>1008084.48</v>
      </c>
      <c r="R40" s="198">
        <f t="shared" si="4"/>
        <v>166259</v>
      </c>
      <c r="S40" s="198">
        <f t="shared" si="4"/>
        <v>191580</v>
      </c>
      <c r="T40" s="198">
        <f t="shared" si="4"/>
        <v>335134.36</v>
      </c>
      <c r="U40" s="198">
        <f t="shared" si="4"/>
        <v>27581</v>
      </c>
      <c r="V40" s="198">
        <f t="shared" si="4"/>
        <v>45921.93</v>
      </c>
      <c r="W40" s="181">
        <f>SUM(B40:V40)</f>
        <v>10648840.77</v>
      </c>
      <c r="X40" s="181"/>
      <c r="Y40" s="181"/>
    </row>
    <row r="41" spans="1:25" ht="11.25">
      <c r="A41" s="168"/>
      <c r="B41" s="205"/>
      <c r="C41" s="203"/>
      <c r="D41" s="203"/>
      <c r="E41" s="203"/>
      <c r="F41" s="203"/>
      <c r="G41" s="203"/>
      <c r="H41" s="203"/>
      <c r="I41" s="203"/>
      <c r="J41" s="204"/>
      <c r="K41" s="204"/>
      <c r="L41" s="204"/>
      <c r="M41" s="204"/>
      <c r="N41" s="204"/>
      <c r="O41" s="204"/>
      <c r="P41" s="204"/>
      <c r="Q41" s="204"/>
      <c r="R41" s="204"/>
      <c r="S41" s="204"/>
      <c r="T41" s="204"/>
      <c r="U41" s="204"/>
      <c r="V41" s="204"/>
      <c r="W41" s="205"/>
      <c r="X41" s="181"/>
      <c r="Y41" s="181"/>
    </row>
    <row r="42" spans="1:25" ht="12" thickBot="1">
      <c r="A42" s="159" t="s">
        <v>413</v>
      </c>
      <c r="B42" s="207">
        <f aca="true" t="shared" si="5" ref="B42:V42">B34-B40</f>
        <v>513834.07999999996</v>
      </c>
      <c r="C42" s="208">
        <f t="shared" si="5"/>
        <v>191055.90999999968</v>
      </c>
      <c r="D42" s="208">
        <f t="shared" si="5"/>
        <v>564.5500000000002</v>
      </c>
      <c r="E42" s="208">
        <f t="shared" si="5"/>
        <v>274225.5800000001</v>
      </c>
      <c r="F42" s="208">
        <f t="shared" si="5"/>
        <v>30757.139999999985</v>
      </c>
      <c r="G42" s="208">
        <f t="shared" si="5"/>
        <v>53.00999999999999</v>
      </c>
      <c r="H42" s="208">
        <f t="shared" si="5"/>
        <v>340549.24999999953</v>
      </c>
      <c r="I42" s="208">
        <f t="shared" si="5"/>
        <v>141161.01000000013</v>
      </c>
      <c r="J42" s="209">
        <f t="shared" si="5"/>
        <v>16275.880000000005</v>
      </c>
      <c r="K42" s="209">
        <f t="shared" si="5"/>
        <v>85376.86000000013</v>
      </c>
      <c r="L42" s="209">
        <f t="shared" si="5"/>
        <v>99449.14000000001</v>
      </c>
      <c r="M42" s="209">
        <f t="shared" si="5"/>
        <v>97081.3999999999</v>
      </c>
      <c r="N42" s="209">
        <f t="shared" si="5"/>
        <v>44282.07999999997</v>
      </c>
      <c r="O42" s="209">
        <f t="shared" si="5"/>
        <v>8942.650000000009</v>
      </c>
      <c r="P42" s="209">
        <f t="shared" si="5"/>
        <v>107811.88000000012</v>
      </c>
      <c r="Q42" s="209">
        <f t="shared" si="5"/>
        <v>106724.40999999992</v>
      </c>
      <c r="R42" s="209">
        <f t="shared" si="5"/>
        <v>25641.77000000002</v>
      </c>
      <c r="S42" s="209">
        <f t="shared" si="5"/>
        <v>23521.179999999993</v>
      </c>
      <c r="T42" s="209">
        <f t="shared" si="5"/>
        <v>30042.179999999993</v>
      </c>
      <c r="U42" s="209">
        <f t="shared" si="5"/>
        <v>4489.529999999999</v>
      </c>
      <c r="V42" s="209">
        <f t="shared" si="5"/>
        <v>9665.449999999997</v>
      </c>
      <c r="W42" s="207">
        <f>SUM(B42:V42)</f>
        <v>2151504.9399999995</v>
      </c>
      <c r="X42" s="181"/>
      <c r="Y42" s="181"/>
    </row>
    <row r="43" spans="2:25" ht="11.25" thickTop="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row>
    <row r="44" spans="2:25" ht="10.5">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row>
    <row r="45" spans="1:25" ht="10.5">
      <c r="A45" s="214" t="s">
        <v>52</v>
      </c>
      <c r="B45" s="181" t="s">
        <v>52</v>
      </c>
      <c r="C45" s="181" t="s">
        <v>52</v>
      </c>
      <c r="D45" s="181" t="s">
        <v>52</v>
      </c>
      <c r="E45" s="181" t="s">
        <v>52</v>
      </c>
      <c r="F45" s="181" t="s">
        <v>52</v>
      </c>
      <c r="G45" s="181" t="s">
        <v>52</v>
      </c>
      <c r="H45" s="181" t="s">
        <v>52</v>
      </c>
      <c r="I45" s="181" t="s">
        <v>52</v>
      </c>
      <c r="J45" s="181" t="s">
        <v>52</v>
      </c>
      <c r="K45" s="181" t="s">
        <v>52</v>
      </c>
      <c r="L45" s="181" t="s">
        <v>52</v>
      </c>
      <c r="M45" s="181" t="s">
        <v>52</v>
      </c>
      <c r="N45" s="181" t="s">
        <v>52</v>
      </c>
      <c r="O45" s="181" t="s">
        <v>52</v>
      </c>
      <c r="P45" s="181" t="s">
        <v>52</v>
      </c>
      <c r="Q45" s="181" t="s">
        <v>52</v>
      </c>
      <c r="R45" s="181" t="s">
        <v>52</v>
      </c>
      <c r="S45" s="181" t="s">
        <v>52</v>
      </c>
      <c r="T45" s="181" t="s">
        <v>52</v>
      </c>
      <c r="U45" s="181" t="s">
        <v>52</v>
      </c>
      <c r="V45" s="181" t="s">
        <v>52</v>
      </c>
      <c r="W45" s="181" t="s">
        <v>52</v>
      </c>
      <c r="X45" s="181"/>
      <c r="Y45" s="181"/>
    </row>
    <row r="46" spans="2:25" ht="10.5">
      <c r="B46" s="181"/>
      <c r="C46" s="210" t="s">
        <v>52</v>
      </c>
      <c r="D46" s="181"/>
      <c r="E46" s="181"/>
      <c r="F46" s="181"/>
      <c r="G46" s="181"/>
      <c r="H46" s="181"/>
      <c r="I46" s="181"/>
      <c r="J46" s="181"/>
      <c r="K46" s="181"/>
      <c r="L46" s="181"/>
      <c r="M46" s="181"/>
      <c r="N46" s="181"/>
      <c r="O46" s="210" t="s">
        <v>52</v>
      </c>
      <c r="P46" s="181"/>
      <c r="Q46" s="210" t="s">
        <v>52</v>
      </c>
      <c r="R46" s="181"/>
      <c r="S46" s="181"/>
      <c r="T46" s="210" t="s">
        <v>52</v>
      </c>
      <c r="U46" s="210" t="s">
        <v>52</v>
      </c>
      <c r="V46" s="210" t="s">
        <v>52</v>
      </c>
      <c r="W46" s="181"/>
      <c r="X46" s="181"/>
      <c r="Y46" s="181"/>
    </row>
    <row r="47" spans="2:25" ht="10.5">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row>
    <row r="48" spans="2:23" ht="10.5">
      <c r="B48" s="218"/>
      <c r="C48" s="218"/>
      <c r="D48" s="218"/>
      <c r="E48" s="218"/>
      <c r="F48" s="218"/>
      <c r="G48" s="218"/>
      <c r="H48" s="218"/>
      <c r="I48" s="218"/>
      <c r="J48" s="218"/>
      <c r="K48" s="218"/>
      <c r="L48" s="218"/>
      <c r="M48" s="218"/>
      <c r="N48" s="218"/>
      <c r="O48" s="218"/>
      <c r="P48" s="218"/>
      <c r="Q48" s="218"/>
      <c r="R48" s="218"/>
      <c r="S48" s="218"/>
      <c r="T48" s="218"/>
      <c r="U48" s="218"/>
      <c r="V48" s="218"/>
      <c r="W48" s="219"/>
    </row>
    <row r="49" spans="2:23" ht="10.5">
      <c r="B49" s="220"/>
      <c r="C49" s="220"/>
      <c r="D49" s="220"/>
      <c r="E49" s="220"/>
      <c r="F49" s="220"/>
      <c r="G49" s="220"/>
      <c r="H49" s="220"/>
      <c r="I49" s="220"/>
      <c r="J49" s="220"/>
      <c r="K49" s="220"/>
      <c r="L49" s="220"/>
      <c r="M49" s="220"/>
      <c r="N49" s="220"/>
      <c r="O49" s="220"/>
      <c r="P49" s="220"/>
      <c r="Q49" s="220"/>
      <c r="R49" s="220"/>
      <c r="S49" s="220"/>
      <c r="T49" s="220"/>
      <c r="U49" s="220"/>
      <c r="V49" s="220"/>
      <c r="W49" s="220"/>
    </row>
    <row r="50" spans="2:24" ht="10.5">
      <c r="B50" s="221"/>
      <c r="C50" s="221"/>
      <c r="D50" s="221"/>
      <c r="E50" s="221"/>
      <c r="F50" s="221"/>
      <c r="G50" s="221"/>
      <c r="H50" s="221"/>
      <c r="I50" s="221"/>
      <c r="J50" s="221"/>
      <c r="K50" s="221"/>
      <c r="L50" s="221"/>
      <c r="M50" s="221"/>
      <c r="N50" s="221"/>
      <c r="O50" s="221"/>
      <c r="P50" s="221"/>
      <c r="Q50" s="221"/>
      <c r="R50" s="221"/>
      <c r="S50" s="221"/>
      <c r="T50" s="221"/>
      <c r="U50" s="221"/>
      <c r="V50" s="221"/>
      <c r="W50" s="222"/>
      <c r="X50" s="223"/>
    </row>
    <row r="51" spans="2:24" ht="10.5">
      <c r="B51" s="222"/>
      <c r="C51" s="222"/>
      <c r="D51" s="222"/>
      <c r="E51" s="222"/>
      <c r="F51" s="222"/>
      <c r="G51" s="222"/>
      <c r="H51" s="222"/>
      <c r="I51" s="222"/>
      <c r="J51" s="222"/>
      <c r="K51" s="222"/>
      <c r="L51" s="222"/>
      <c r="M51" s="222"/>
      <c r="N51" s="222"/>
      <c r="O51" s="222"/>
      <c r="P51" s="222"/>
      <c r="Q51" s="222"/>
      <c r="R51" s="222"/>
      <c r="S51" s="222"/>
      <c r="T51" s="222"/>
      <c r="U51" s="222"/>
      <c r="V51" s="222"/>
      <c r="W51" s="222"/>
      <c r="X51" s="223"/>
    </row>
    <row r="52" spans="1:24" ht="10.5">
      <c r="A52" s="215"/>
      <c r="B52" s="224"/>
      <c r="C52" s="224"/>
      <c r="D52" s="224"/>
      <c r="E52" s="224"/>
      <c r="F52" s="224"/>
      <c r="G52" s="224"/>
      <c r="H52" s="224"/>
      <c r="I52" s="224"/>
      <c r="J52" s="224"/>
      <c r="K52" s="224"/>
      <c r="L52" s="224"/>
      <c r="M52" s="224"/>
      <c r="N52" s="224"/>
      <c r="O52" s="224"/>
      <c r="P52" s="224"/>
      <c r="Q52" s="224"/>
      <c r="R52" s="224"/>
      <c r="S52" s="224"/>
      <c r="T52" s="224"/>
      <c r="U52" s="224"/>
      <c r="V52" s="224"/>
      <c r="W52" s="224"/>
      <c r="X52" s="223"/>
    </row>
    <row r="53" spans="2:24" ht="10.5">
      <c r="B53" s="223"/>
      <c r="C53" s="223"/>
      <c r="D53" s="223"/>
      <c r="E53" s="223"/>
      <c r="F53" s="223"/>
      <c r="G53" s="223"/>
      <c r="H53" s="223"/>
      <c r="I53" s="223"/>
      <c r="J53" s="223"/>
      <c r="K53" s="223"/>
      <c r="L53" s="223"/>
      <c r="M53" s="223"/>
      <c r="N53" s="223"/>
      <c r="O53" s="223"/>
      <c r="P53" s="223"/>
      <c r="Q53" s="223"/>
      <c r="R53" s="223"/>
      <c r="S53" s="223"/>
      <c r="T53" s="223"/>
      <c r="U53" s="223"/>
      <c r="V53" s="223"/>
      <c r="W53" s="223"/>
      <c r="X53" s="223"/>
    </row>
    <row r="54" spans="1:24" ht="10.5">
      <c r="A54" s="215"/>
      <c r="B54" s="225"/>
      <c r="C54" s="225"/>
      <c r="D54" s="225"/>
      <c r="E54" s="225"/>
      <c r="F54" s="225"/>
      <c r="G54" s="225"/>
      <c r="H54" s="225"/>
      <c r="I54" s="225"/>
      <c r="J54" s="225"/>
      <c r="K54" s="225"/>
      <c r="L54" s="225"/>
      <c r="M54" s="225"/>
      <c r="N54" s="225"/>
      <c r="O54" s="225"/>
      <c r="P54" s="225"/>
      <c r="Q54" s="225"/>
      <c r="R54" s="225"/>
      <c r="S54" s="225"/>
      <c r="T54" s="225"/>
      <c r="U54" s="225"/>
      <c r="V54" s="225"/>
      <c r="W54" s="225"/>
      <c r="X54" s="223"/>
    </row>
    <row r="55" spans="2:24" ht="10.5">
      <c r="B55" s="223"/>
      <c r="C55" s="223"/>
      <c r="D55" s="223"/>
      <c r="E55" s="223"/>
      <c r="F55" s="223"/>
      <c r="G55" s="223"/>
      <c r="H55" s="223"/>
      <c r="I55" s="223"/>
      <c r="J55" s="223"/>
      <c r="K55" s="223"/>
      <c r="L55" s="223"/>
      <c r="M55" s="223"/>
      <c r="N55" s="223"/>
      <c r="O55" s="223"/>
      <c r="P55" s="223"/>
      <c r="Q55" s="223"/>
      <c r="R55" s="223"/>
      <c r="S55" s="223"/>
      <c r="T55" s="223"/>
      <c r="U55" s="223"/>
      <c r="V55" s="223"/>
      <c r="W55" s="223"/>
      <c r="X55" s="223"/>
    </row>
    <row r="56" spans="1:24" ht="10.5">
      <c r="A56" s="214"/>
      <c r="B56" s="224"/>
      <c r="C56" s="224"/>
      <c r="D56" s="224"/>
      <c r="E56" s="224"/>
      <c r="F56" s="224"/>
      <c r="G56" s="224"/>
      <c r="H56" s="224"/>
      <c r="I56" s="224"/>
      <c r="J56" s="224"/>
      <c r="K56" s="224"/>
      <c r="L56" s="224"/>
      <c r="M56" s="224"/>
      <c r="N56" s="224"/>
      <c r="O56" s="224"/>
      <c r="P56" s="224"/>
      <c r="Q56" s="224"/>
      <c r="R56" s="224"/>
      <c r="S56" s="224"/>
      <c r="T56" s="224"/>
      <c r="U56" s="224"/>
      <c r="V56" s="224"/>
      <c r="W56" s="224"/>
      <c r="X56" s="223"/>
    </row>
    <row r="57" spans="2:24" ht="10.5">
      <c r="B57" s="223"/>
      <c r="C57" s="223"/>
      <c r="D57" s="223"/>
      <c r="E57" s="223"/>
      <c r="F57" s="223"/>
      <c r="G57" s="223"/>
      <c r="H57" s="223"/>
      <c r="I57" s="223"/>
      <c r="J57" s="223"/>
      <c r="K57" s="223"/>
      <c r="L57" s="223"/>
      <c r="M57" s="223"/>
      <c r="N57" s="223"/>
      <c r="O57" s="223"/>
      <c r="P57" s="223"/>
      <c r="Q57" s="223"/>
      <c r="R57" s="223"/>
      <c r="S57" s="223"/>
      <c r="T57" s="223"/>
      <c r="U57" s="223"/>
      <c r="V57" s="223"/>
      <c r="W57" s="223"/>
      <c r="X57" s="223"/>
    </row>
    <row r="58" spans="1:24" ht="10.5">
      <c r="A58" s="214"/>
      <c r="B58" s="224"/>
      <c r="C58" s="224"/>
      <c r="D58" s="224"/>
      <c r="E58" s="224"/>
      <c r="F58" s="224"/>
      <c r="G58" s="224"/>
      <c r="H58" s="224"/>
      <c r="I58" s="224"/>
      <c r="J58" s="224"/>
      <c r="K58" s="224"/>
      <c r="L58" s="224"/>
      <c r="M58" s="224"/>
      <c r="N58" s="224"/>
      <c r="O58" s="224"/>
      <c r="P58" s="224"/>
      <c r="Q58" s="224"/>
      <c r="R58" s="224"/>
      <c r="S58" s="224"/>
      <c r="T58" s="224"/>
      <c r="U58" s="224"/>
      <c r="V58" s="224"/>
      <c r="W58" s="224"/>
      <c r="X58" s="223"/>
    </row>
    <row r="59" spans="2:24" ht="10.5">
      <c r="B59" s="224"/>
      <c r="C59" s="224"/>
      <c r="D59" s="224"/>
      <c r="E59" s="224"/>
      <c r="F59" s="224"/>
      <c r="G59" s="224"/>
      <c r="H59" s="224"/>
      <c r="I59" s="224"/>
      <c r="J59" s="224"/>
      <c r="K59" s="224"/>
      <c r="L59" s="224"/>
      <c r="M59" s="224"/>
      <c r="N59" s="224"/>
      <c r="O59" s="224"/>
      <c r="P59" s="224"/>
      <c r="Q59" s="224"/>
      <c r="R59" s="224"/>
      <c r="S59" s="224"/>
      <c r="T59" s="224"/>
      <c r="U59" s="224"/>
      <c r="V59" s="224"/>
      <c r="W59" s="224"/>
      <c r="X59" s="223"/>
    </row>
    <row r="60" spans="1:23" ht="10.5">
      <c r="A60" s="214"/>
      <c r="B60" s="181"/>
      <c r="C60" s="181"/>
      <c r="D60" s="181"/>
      <c r="E60" s="181"/>
      <c r="F60" s="181"/>
      <c r="G60" s="181"/>
      <c r="H60" s="181"/>
      <c r="I60" s="181"/>
      <c r="J60" s="181"/>
      <c r="K60" s="181"/>
      <c r="L60" s="181"/>
      <c r="M60" s="181"/>
      <c r="N60" s="181"/>
      <c r="O60" s="181"/>
      <c r="P60" s="181"/>
      <c r="Q60" s="181"/>
      <c r="R60" s="181"/>
      <c r="S60" s="181"/>
      <c r="T60" s="181"/>
      <c r="U60" s="181"/>
      <c r="V60" s="181"/>
      <c r="W60" s="181"/>
    </row>
    <row r="62" spans="1:10" ht="10.5">
      <c r="A62" s="214"/>
      <c r="C62" s="181"/>
      <c r="J62" s="181"/>
    </row>
    <row r="63" ht="10.5">
      <c r="A63" s="217"/>
    </row>
    <row r="64" spans="1:11" ht="10.5">
      <c r="A64" s="214"/>
      <c r="B64" s="181"/>
      <c r="C64" s="199"/>
      <c r="J64" s="164"/>
      <c r="K64" s="181"/>
    </row>
    <row r="65" ht="10.5">
      <c r="B65" s="199"/>
    </row>
    <row r="66" spans="1:2" ht="10.5">
      <c r="A66" s="214"/>
      <c r="B66" s="181"/>
    </row>
    <row r="67" spans="1:10" ht="10.5">
      <c r="A67" s="215"/>
      <c r="C67" s="199"/>
      <c r="J67" s="181"/>
    </row>
    <row r="69" spans="3:11" ht="10.5">
      <c r="C69" s="216"/>
      <c r="J69" s="181"/>
      <c r="K69" s="181"/>
    </row>
  </sheetData>
  <sheetProtection/>
  <mergeCells count="2">
    <mergeCell ref="C6:I6"/>
    <mergeCell ref="J6:V6"/>
  </mergeCells>
  <printOptions/>
  <pageMargins left="0.7" right="0.7" top="0.75" bottom="0.75" header="0.3" footer="0.3"/>
  <pageSetup horizontalDpi="600" verticalDpi="600" orientation="landscape" paperSize="17" r:id="rId3"/>
  <colBreaks count="1" manualBreakCount="1">
    <brk id="9" max="65535" man="1"/>
  </colBreaks>
  <ignoredErrors>
    <ignoredError sqref="V31:W31 V34:W34 V40:W40 V42:W42 W10:W13 V14:W14 W17:W21 B14:U14 B34:U34 Q31:U31 Q40:U40 B31:P31 B40:P40 B42:R42 S42:U42 B23:W23 W37 W38 W26:W29 P37" unlockedFormula="1"/>
  </ignoredErrors>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61"/>
  <sheetViews>
    <sheetView zoomScalePageLayoutView="0" workbookViewId="0" topLeftCell="A19">
      <selection activeCell="B152" sqref="B152"/>
    </sheetView>
  </sheetViews>
  <sheetFormatPr defaultColWidth="9.33203125" defaultRowHeight="10.5" outlineLevelRow="1"/>
  <cols>
    <col min="1" max="1" width="68.16015625" style="63" bestFit="1" customWidth="1"/>
    <col min="2" max="2" width="22.33203125" style="61" customWidth="1"/>
    <col min="3" max="3" width="21.16015625" style="62" customWidth="1"/>
    <col min="4" max="4" width="23.83203125" style="66" bestFit="1" customWidth="1"/>
    <col min="5" max="5" width="9.33203125" style="63" customWidth="1"/>
    <col min="6" max="6" width="15.33203125" style="64" hidden="1" customWidth="1"/>
    <col min="7" max="7" width="17.66015625" style="65" hidden="1" customWidth="1"/>
    <col min="8" max="8" width="10.66015625" style="63" bestFit="1" customWidth="1"/>
    <col min="9" max="16384" width="9.33203125" style="63" customWidth="1"/>
  </cols>
  <sheetData>
    <row r="1" spans="1:4" ht="13.5" customHeight="1">
      <c r="A1" s="415" t="s">
        <v>201</v>
      </c>
      <c r="B1" s="415"/>
      <c r="C1" s="415"/>
      <c r="D1" s="415"/>
    </row>
    <row r="2" spans="1:4" ht="13.5" customHeight="1">
      <c r="A2" s="415" t="s">
        <v>202</v>
      </c>
      <c r="B2" s="415"/>
      <c r="C2" s="415"/>
      <c r="D2" s="415"/>
    </row>
    <row r="3" spans="1:4" ht="13.5" customHeight="1">
      <c r="A3" s="415" t="s">
        <v>550</v>
      </c>
      <c r="B3" s="415"/>
      <c r="C3" s="415"/>
      <c r="D3" s="415"/>
    </row>
    <row r="4" ht="13.5" customHeight="1"/>
    <row r="5" ht="13.5" customHeight="1">
      <c r="A5" s="67"/>
    </row>
    <row r="6" ht="13.5" customHeight="1">
      <c r="A6" s="58"/>
    </row>
    <row r="7" spans="1:4" ht="13.5" customHeight="1">
      <c r="A7" s="28" t="s">
        <v>502</v>
      </c>
      <c r="C7" s="61"/>
      <c r="D7" s="256">
        <f>'Cash Flow 17-19'!D20</f>
        <v>6201571.01</v>
      </c>
    </row>
    <row r="8" ht="13.5" customHeight="1"/>
    <row r="9" ht="13.5" customHeight="1"/>
    <row r="10" spans="1:4" ht="13.5" customHeight="1">
      <c r="A10" s="416" t="s">
        <v>203</v>
      </c>
      <c r="B10" s="416"/>
      <c r="C10" s="416"/>
      <c r="D10" s="416"/>
    </row>
    <row r="11" ht="13.5" customHeight="1">
      <c r="A11" s="68" t="s">
        <v>551</v>
      </c>
    </row>
    <row r="12" spans="1:2" ht="13.5" customHeight="1">
      <c r="A12" s="69" t="s">
        <v>161</v>
      </c>
      <c r="B12" s="61">
        <f>'Cash Flow 17-19'!AE8</f>
        <v>15223685.499999998</v>
      </c>
    </row>
    <row r="13" spans="1:2" ht="13.5" customHeight="1">
      <c r="A13" s="69" t="s">
        <v>43</v>
      </c>
      <c r="B13" s="61">
        <f>'Cash Flow 15-17'!AE9</f>
        <v>0</v>
      </c>
    </row>
    <row r="14" spans="1:6" ht="13.5" customHeight="1">
      <c r="A14" s="69" t="str">
        <f>'Cash Flow 15-17'!B10</f>
        <v>Move within Indenture</v>
      </c>
      <c r="B14" s="61">
        <f>'Cash Flow 15-17'!AE10</f>
        <v>0</v>
      </c>
      <c r="F14" s="70"/>
    </row>
    <row r="15" spans="1:6" ht="13.5" customHeight="1">
      <c r="A15" s="69" t="str">
        <f>'Cash Flow 15-17'!B11</f>
        <v>Treasury Interest</v>
      </c>
      <c r="B15" s="71">
        <f>'Cash Flow 17-19'!AE11</f>
        <v>88305.25</v>
      </c>
      <c r="F15" s="70"/>
    </row>
    <row r="16" spans="1:7" ht="13.5" customHeight="1">
      <c r="A16" s="72" t="s">
        <v>3</v>
      </c>
      <c r="C16" s="61">
        <f>SUM(B12:B15)</f>
        <v>15311990.749999998</v>
      </c>
      <c r="F16" s="73"/>
      <c r="G16" s="73"/>
    </row>
    <row r="17" spans="1:6" ht="13.5" customHeight="1">
      <c r="A17" s="74"/>
      <c r="F17" s="65"/>
    </row>
    <row r="18" spans="1:6" ht="13.5" customHeight="1">
      <c r="A18" s="75" t="s">
        <v>505</v>
      </c>
      <c r="F18" s="65"/>
    </row>
    <row r="19" spans="1:6" ht="13.5" customHeight="1">
      <c r="A19" s="69" t="s">
        <v>161</v>
      </c>
      <c r="B19" s="61">
        <f>'Cash Flow 15-17'!AF8</f>
        <v>0</v>
      </c>
      <c r="F19" s="65"/>
    </row>
    <row r="20" spans="1:6" ht="13.5" customHeight="1">
      <c r="A20" s="69" t="str">
        <f>A14</f>
        <v>Move within Indenture</v>
      </c>
      <c r="B20" s="61">
        <f>'Cash Flow 15-17'!AF10</f>
        <v>0</v>
      </c>
      <c r="F20" s="65"/>
    </row>
    <row r="21" spans="1:6" ht="13.5" customHeight="1">
      <c r="A21" s="69" t="str">
        <f>A15</f>
        <v>Treasury Interest</v>
      </c>
      <c r="B21" s="71">
        <f>'Cash Flow 15-17'!AF11</f>
        <v>0</v>
      </c>
      <c r="F21" s="65"/>
    </row>
    <row r="22" spans="1:7" ht="13.5" customHeight="1">
      <c r="A22" s="72" t="s">
        <v>3</v>
      </c>
      <c r="C22" s="71">
        <f>SUM(B19:B21)</f>
        <v>0</v>
      </c>
      <c r="D22" s="78"/>
      <c r="F22" s="76"/>
      <c r="G22" s="73"/>
    </row>
    <row r="23" spans="1:6" ht="13.5" customHeight="1">
      <c r="A23" s="72"/>
      <c r="F23" s="65"/>
    </row>
    <row r="24" spans="1:7" ht="13.5" customHeight="1">
      <c r="A24" s="77" t="s">
        <v>260</v>
      </c>
      <c r="D24" s="66">
        <f>D7+C16+C22</f>
        <v>21513561.759999998</v>
      </c>
      <c r="F24" s="76">
        <f>'Cash Flow 15-17'!AD12</f>
        <v>51821587.440000005</v>
      </c>
      <c r="G24" s="73">
        <f>D24-F24</f>
        <v>-30308025.680000007</v>
      </c>
    </row>
    <row r="25" spans="1:6" ht="13.5" customHeight="1">
      <c r="A25" s="77"/>
      <c r="D25" s="257"/>
      <c r="F25" s="65"/>
    </row>
    <row r="26" spans="1:6" ht="13.5" customHeight="1">
      <c r="A26" s="72"/>
      <c r="F26" s="65"/>
    </row>
    <row r="27" spans="1:6" ht="13.5" customHeight="1">
      <c r="A27" s="416" t="s">
        <v>12</v>
      </c>
      <c r="B27" s="416"/>
      <c r="C27" s="416"/>
      <c r="D27" s="416"/>
      <c r="F27" s="65"/>
    </row>
    <row r="28" spans="1:6" ht="13.5" customHeight="1">
      <c r="A28" s="68" t="str">
        <f>A11</f>
        <v>Actuals   7/1/17 thru 03/31/18</v>
      </c>
      <c r="F28" s="65"/>
    </row>
    <row r="29" spans="1:6" ht="13.5" customHeight="1" hidden="1" outlineLevel="1">
      <c r="A29" s="255" t="s">
        <v>208</v>
      </c>
      <c r="B29" s="255">
        <v>1578.4200000000005</v>
      </c>
      <c r="F29" s="65"/>
    </row>
    <row r="30" spans="1:6" ht="13.5" customHeight="1" hidden="1" outlineLevel="1">
      <c r="A30" s="255" t="s">
        <v>209</v>
      </c>
      <c r="B30" s="255">
        <v>184.54</v>
      </c>
      <c r="F30" s="65"/>
    </row>
    <row r="31" spans="1:6" ht="13.5" customHeight="1" hidden="1" outlineLevel="1">
      <c r="A31" s="255" t="s">
        <v>210</v>
      </c>
      <c r="B31" s="255">
        <v>739.829999999988</v>
      </c>
      <c r="F31" s="65"/>
    </row>
    <row r="32" spans="1:6" ht="13.5" customHeight="1" hidden="1" outlineLevel="1">
      <c r="A32" s="255" t="s">
        <v>475</v>
      </c>
      <c r="B32" s="255">
        <v>9.870000000000001</v>
      </c>
      <c r="F32" s="65"/>
    </row>
    <row r="33" spans="1:6" ht="13.5" customHeight="1" hidden="1" outlineLevel="1">
      <c r="A33" s="255" t="s">
        <v>554</v>
      </c>
      <c r="B33" s="255">
        <v>9.27</v>
      </c>
      <c r="F33" s="65"/>
    </row>
    <row r="34" spans="1:6" ht="13.5" customHeight="1" hidden="1" outlineLevel="1">
      <c r="A34" s="255" t="s">
        <v>211</v>
      </c>
      <c r="B34" s="255">
        <v>44.790000000000006</v>
      </c>
      <c r="F34" s="65"/>
    </row>
    <row r="35" spans="1:6" ht="13.5" customHeight="1" hidden="1" outlineLevel="1">
      <c r="A35" s="255" t="s">
        <v>212</v>
      </c>
      <c r="B35" s="255">
        <v>29.560000000000002</v>
      </c>
      <c r="F35" s="65"/>
    </row>
    <row r="36" spans="1:6" ht="13.5" customHeight="1" hidden="1" outlineLevel="1">
      <c r="A36" s="255" t="s">
        <v>326</v>
      </c>
      <c r="B36" s="255">
        <v>19.29</v>
      </c>
      <c r="F36" s="65"/>
    </row>
    <row r="37" spans="1:6" ht="13.5" customHeight="1" hidden="1" outlineLevel="1">
      <c r="A37" s="255" t="s">
        <v>213</v>
      </c>
      <c r="B37" s="255">
        <v>713.05</v>
      </c>
      <c r="F37" s="65"/>
    </row>
    <row r="38" spans="1:6" ht="13.5" customHeight="1" hidden="1" outlineLevel="1">
      <c r="A38" s="255" t="s">
        <v>214</v>
      </c>
      <c r="B38" s="255">
        <v>632.45</v>
      </c>
      <c r="F38" s="65"/>
    </row>
    <row r="39" spans="1:6" ht="13.5" customHeight="1" hidden="1" outlineLevel="1">
      <c r="A39" s="255" t="s">
        <v>215</v>
      </c>
      <c r="B39" s="255">
        <v>462.85</v>
      </c>
      <c r="F39" s="65"/>
    </row>
    <row r="40" spans="1:6" ht="13.5" customHeight="1" hidden="1" outlineLevel="1">
      <c r="A40" s="255" t="s">
        <v>531</v>
      </c>
      <c r="B40" s="255">
        <f>65.85+34.24</f>
        <v>100.09</v>
      </c>
      <c r="F40" s="65"/>
    </row>
    <row r="41" spans="1:6" ht="13.5" customHeight="1" hidden="1" outlineLevel="1">
      <c r="A41" s="255" t="s">
        <v>216</v>
      </c>
      <c r="B41" s="255">
        <v>99.25000000000001</v>
      </c>
      <c r="F41" s="65"/>
    </row>
    <row r="42" spans="1:6" ht="13.5" customHeight="1" hidden="1" outlineLevel="1">
      <c r="A42" s="255" t="s">
        <v>217</v>
      </c>
      <c r="B42" s="255">
        <v>420</v>
      </c>
      <c r="F42" s="65"/>
    </row>
    <row r="43" spans="1:6" ht="13.5" customHeight="1" hidden="1" outlineLevel="1">
      <c r="A43" s="255" t="s">
        <v>419</v>
      </c>
      <c r="B43" s="255">
        <v>112.99</v>
      </c>
      <c r="F43" s="65"/>
    </row>
    <row r="44" spans="1:6" ht="13.5" customHeight="1" hidden="1" outlineLevel="1">
      <c r="A44" s="255" t="s">
        <v>218</v>
      </c>
      <c r="B44" s="255">
        <v>81.02000000000001</v>
      </c>
      <c r="F44" s="65"/>
    </row>
    <row r="45" spans="1:6" ht="13.5" customHeight="1" hidden="1" outlineLevel="1">
      <c r="A45" s="255" t="s">
        <v>457</v>
      </c>
      <c r="B45" s="255">
        <v>854.25</v>
      </c>
      <c r="F45" s="65"/>
    </row>
    <row r="46" spans="1:6" ht="13.5" customHeight="1" hidden="1" outlineLevel="1">
      <c r="A46" s="255" t="s">
        <v>477</v>
      </c>
      <c r="B46" s="255">
        <v>0</v>
      </c>
      <c r="F46" s="65"/>
    </row>
    <row r="47" spans="1:6" ht="13.5" customHeight="1" hidden="1" outlineLevel="1">
      <c r="A47" s="255" t="s">
        <v>532</v>
      </c>
      <c r="B47" s="255">
        <v>57.690000000000005</v>
      </c>
      <c r="F47" s="65"/>
    </row>
    <row r="48" spans="1:6" ht="13.5" customHeight="1" hidden="1" outlineLevel="1">
      <c r="A48" s="255" t="s">
        <v>219</v>
      </c>
      <c r="B48" s="255">
        <v>1458</v>
      </c>
      <c r="F48" s="65"/>
    </row>
    <row r="49" spans="1:6" ht="13.5" customHeight="1" hidden="1" outlineLevel="1">
      <c r="A49" s="255" t="s">
        <v>533</v>
      </c>
      <c r="B49" s="255">
        <v>866.5</v>
      </c>
      <c r="F49" s="65"/>
    </row>
    <row r="50" spans="1:6" ht="13.5" customHeight="1" hidden="1" outlineLevel="1">
      <c r="A50" s="255" t="s">
        <v>220</v>
      </c>
      <c r="B50" s="255">
        <v>35.49</v>
      </c>
      <c r="F50" s="65"/>
    </row>
    <row r="51" spans="1:6" ht="13.5" customHeight="1" hidden="1" outlineLevel="1">
      <c r="A51" s="255" t="s">
        <v>474</v>
      </c>
      <c r="B51" s="255">
        <v>432.23</v>
      </c>
      <c r="F51" s="65"/>
    </row>
    <row r="52" spans="1:6" ht="13.5" customHeight="1" hidden="1" outlineLevel="1">
      <c r="A52" s="255" t="s">
        <v>534</v>
      </c>
      <c r="B52" s="255">
        <v>31.75</v>
      </c>
      <c r="F52" s="65"/>
    </row>
    <row r="53" spans="1:6" ht="13.5" customHeight="1" hidden="1" outlineLevel="1">
      <c r="A53" s="255" t="s">
        <v>221</v>
      </c>
      <c r="B53" s="255">
        <f>366.2+85</f>
        <v>451.2</v>
      </c>
      <c r="F53" s="65"/>
    </row>
    <row r="54" spans="1:6" ht="13.5" customHeight="1" hidden="1" outlineLevel="1">
      <c r="A54" s="255" t="s">
        <v>222</v>
      </c>
      <c r="B54" s="255">
        <v>30785.249999999996</v>
      </c>
      <c r="F54" s="65"/>
    </row>
    <row r="55" spans="1:6" ht="13.5" customHeight="1" hidden="1" outlineLevel="1">
      <c r="A55" s="255" t="s">
        <v>223</v>
      </c>
      <c r="B55" s="255">
        <v>605.3800000000001</v>
      </c>
      <c r="F55" s="65"/>
    </row>
    <row r="56" spans="1:6" ht="13.5" customHeight="1" hidden="1" outlineLevel="1">
      <c r="A56" s="255" t="s">
        <v>224</v>
      </c>
      <c r="B56" s="255">
        <v>136219.69999999998</v>
      </c>
      <c r="F56" s="65"/>
    </row>
    <row r="57" spans="1:6" ht="13.5" customHeight="1" hidden="1" outlineLevel="1">
      <c r="A57" s="255" t="s">
        <v>225</v>
      </c>
      <c r="B57" s="255">
        <v>8381.47</v>
      </c>
      <c r="F57" s="65"/>
    </row>
    <row r="58" spans="1:6" ht="13.5" customHeight="1" hidden="1" outlineLevel="1">
      <c r="A58" s="255" t="s">
        <v>517</v>
      </c>
      <c r="B58" s="255">
        <v>2566.8000000000015</v>
      </c>
      <c r="F58" s="65"/>
    </row>
    <row r="59" spans="1:6" ht="13.5" customHeight="1" hidden="1" outlineLevel="1">
      <c r="A59" s="255" t="s">
        <v>518</v>
      </c>
      <c r="B59" s="255">
        <v>572.46</v>
      </c>
      <c r="F59" s="65"/>
    </row>
    <row r="60" spans="1:6" ht="13.5" customHeight="1" hidden="1" outlineLevel="1">
      <c r="A60" s="255" t="s">
        <v>519</v>
      </c>
      <c r="B60" s="255">
        <v>536.8200000000002</v>
      </c>
      <c r="F60" s="65"/>
    </row>
    <row r="61" spans="1:6" ht="13.5" customHeight="1" hidden="1" outlineLevel="1">
      <c r="A61" s="255" t="s">
        <v>473</v>
      </c>
      <c r="B61" s="255">
        <v>1357.5</v>
      </c>
      <c r="F61" s="65"/>
    </row>
    <row r="62" spans="1:6" ht="13.5" customHeight="1" hidden="1" outlineLevel="1">
      <c r="A62" s="255" t="s">
        <v>226</v>
      </c>
      <c r="B62" s="255">
        <v>3413.1600000000003</v>
      </c>
      <c r="F62" s="65"/>
    </row>
    <row r="63" spans="1:6" ht="13.5" customHeight="1" hidden="1" outlineLevel="1">
      <c r="A63" s="255" t="s">
        <v>227</v>
      </c>
      <c r="B63" s="255">
        <v>18761.98</v>
      </c>
      <c r="F63" s="65"/>
    </row>
    <row r="64" spans="1:6" ht="13.5" customHeight="1" hidden="1" outlineLevel="1">
      <c r="A64" s="255" t="s">
        <v>420</v>
      </c>
      <c r="B64" s="255">
        <v>448.2800000000001</v>
      </c>
      <c r="F64" s="65"/>
    </row>
    <row r="65" spans="1:6" ht="13.5" customHeight="1" hidden="1" outlineLevel="1">
      <c r="A65" s="255" t="s">
        <v>228</v>
      </c>
      <c r="B65" s="255">
        <v>70.6</v>
      </c>
      <c r="F65" s="65"/>
    </row>
    <row r="66" spans="1:6" ht="13.5" customHeight="1" hidden="1" outlineLevel="1">
      <c r="A66" s="255" t="s">
        <v>520</v>
      </c>
      <c r="B66" s="255">
        <v>2.3999999999999995</v>
      </c>
      <c r="F66" s="65"/>
    </row>
    <row r="67" spans="1:6" ht="13.5" customHeight="1" hidden="1" outlineLevel="1">
      <c r="A67" s="255" t="s">
        <v>229</v>
      </c>
      <c r="B67" s="255">
        <v>602.2400000000001</v>
      </c>
      <c r="F67" s="65"/>
    </row>
    <row r="68" spans="1:6" ht="13.5" customHeight="1" hidden="1" outlineLevel="1">
      <c r="A68" s="255" t="s">
        <v>444</v>
      </c>
      <c r="B68" s="255">
        <v>10.38</v>
      </c>
      <c r="F68" s="65"/>
    </row>
    <row r="69" spans="1:6" ht="13.5" customHeight="1" hidden="1" outlineLevel="1">
      <c r="A69" s="255" t="s">
        <v>230</v>
      </c>
      <c r="B69" s="255">
        <v>425.12</v>
      </c>
      <c r="F69" s="65"/>
    </row>
    <row r="70" spans="1:6" ht="13.5" customHeight="1" hidden="1" outlineLevel="1">
      <c r="A70" s="255" t="s">
        <v>231</v>
      </c>
      <c r="B70" s="255">
        <v>377.2099999999999</v>
      </c>
      <c r="F70" s="65"/>
    </row>
    <row r="71" spans="1:6" ht="13.5" customHeight="1" hidden="1" outlineLevel="1">
      <c r="A71" s="255" t="s">
        <v>232</v>
      </c>
      <c r="B71" s="255">
        <v>3360.3899999999994</v>
      </c>
      <c r="F71" s="65"/>
    </row>
    <row r="72" spans="1:6" ht="13.5" customHeight="1" hidden="1" outlineLevel="1">
      <c r="A72" s="255" t="s">
        <v>233</v>
      </c>
      <c r="B72" s="255">
        <v>168.6099999999999</v>
      </c>
      <c r="F72" s="65"/>
    </row>
    <row r="73" spans="1:6" ht="13.5" customHeight="1" hidden="1" outlineLevel="1">
      <c r="A73" s="255" t="s">
        <v>234</v>
      </c>
      <c r="B73" s="255">
        <v>814.28</v>
      </c>
      <c r="F73" s="65"/>
    </row>
    <row r="74" spans="1:6" ht="13.5" customHeight="1" hidden="1" outlineLevel="1">
      <c r="A74" s="255" t="s">
        <v>235</v>
      </c>
      <c r="B74" s="255">
        <v>413.02000000000004</v>
      </c>
      <c r="F74" s="65"/>
    </row>
    <row r="75" spans="1:6" ht="13.5" customHeight="1" hidden="1" outlineLevel="1">
      <c r="A75" s="255" t="s">
        <v>236</v>
      </c>
      <c r="B75" s="255">
        <v>301.58</v>
      </c>
      <c r="F75" s="65"/>
    </row>
    <row r="76" spans="1:6" ht="13.5" customHeight="1" hidden="1" outlineLevel="1">
      <c r="A76" s="255" t="s">
        <v>458</v>
      </c>
      <c r="B76" s="255">
        <v>49.33</v>
      </c>
      <c r="F76" s="65"/>
    </row>
    <row r="77" spans="1:6" ht="13.5" customHeight="1" hidden="1" outlineLevel="1">
      <c r="A77" s="255" t="s">
        <v>237</v>
      </c>
      <c r="B77" s="255">
        <v>5638.8</v>
      </c>
      <c r="F77" s="65"/>
    </row>
    <row r="78" spans="1:6" ht="13.5" customHeight="1" hidden="1" outlineLevel="1">
      <c r="A78" s="255" t="s">
        <v>238</v>
      </c>
      <c r="B78" s="255">
        <v>1391.0100000000004</v>
      </c>
      <c r="F78" s="65"/>
    </row>
    <row r="79" spans="1:6" ht="13.5" customHeight="1" hidden="1" outlineLevel="1">
      <c r="A79" s="255" t="s">
        <v>478</v>
      </c>
      <c r="B79" s="255">
        <v>0</v>
      </c>
      <c r="F79" s="65"/>
    </row>
    <row r="80" spans="1:6" ht="13.5" customHeight="1" hidden="1" outlineLevel="1">
      <c r="A80" s="255" t="s">
        <v>239</v>
      </c>
      <c r="B80" s="255">
        <v>10447.519999999995</v>
      </c>
      <c r="F80" s="65"/>
    </row>
    <row r="81" spans="1:6" ht="13.5" customHeight="1" hidden="1" outlineLevel="1">
      <c r="A81" s="255" t="s">
        <v>240</v>
      </c>
      <c r="B81" s="255">
        <v>16521.290000000005</v>
      </c>
      <c r="F81" s="65"/>
    </row>
    <row r="82" spans="1:6" ht="13.5" customHeight="1" hidden="1" outlineLevel="1">
      <c r="A82" s="255" t="s">
        <v>521</v>
      </c>
      <c r="B82" s="255">
        <v>608.9300000000001</v>
      </c>
      <c r="F82" s="65"/>
    </row>
    <row r="83" spans="1:6" ht="13.5" customHeight="1" hidden="1" outlineLevel="1">
      <c r="A83" s="255" t="s">
        <v>508</v>
      </c>
      <c r="B83" s="255">
        <v>22.26</v>
      </c>
      <c r="F83" s="65"/>
    </row>
    <row r="84" spans="1:6" ht="13.5" customHeight="1" hidden="1" outlineLevel="1">
      <c r="A84" s="255" t="s">
        <v>509</v>
      </c>
      <c r="B84" s="255">
        <v>138.88000000000002</v>
      </c>
      <c r="F84" s="65"/>
    </row>
    <row r="85" spans="1:6" ht="13.5" customHeight="1" hidden="1" outlineLevel="1">
      <c r="A85" s="255" t="s">
        <v>241</v>
      </c>
      <c r="B85" s="255">
        <v>446.3</v>
      </c>
      <c r="F85" s="65"/>
    </row>
    <row r="86" spans="1:6" ht="13.5" customHeight="1" hidden="1" outlineLevel="1">
      <c r="A86" s="255" t="s">
        <v>242</v>
      </c>
      <c r="B86" s="255">
        <v>45.64999999999998</v>
      </c>
      <c r="F86" s="65"/>
    </row>
    <row r="87" spans="1:6" ht="13.5" customHeight="1" collapsed="1">
      <c r="A87" s="63" t="s">
        <v>535</v>
      </c>
      <c r="B87" s="410">
        <f>SUM(B29:B86)</f>
        <v>254928.9799999999</v>
      </c>
      <c r="F87" s="65"/>
    </row>
    <row r="88" spans="1:6" ht="13.5" customHeight="1" hidden="1" outlineLevel="1">
      <c r="A88" s="254" t="s">
        <v>243</v>
      </c>
      <c r="B88" s="255">
        <v>38582.86</v>
      </c>
      <c r="F88" s="65"/>
    </row>
    <row r="89" spans="1:6" ht="13.5" customHeight="1" hidden="1" outlineLevel="1">
      <c r="A89" s="254" t="s">
        <v>255</v>
      </c>
      <c r="B89" s="255">
        <v>927.4</v>
      </c>
      <c r="F89" s="65"/>
    </row>
    <row r="90" spans="1:6" ht="13.5" customHeight="1" hidden="1" outlineLevel="1">
      <c r="A90" s="255" t="s">
        <v>259</v>
      </c>
      <c r="B90" s="255">
        <v>633</v>
      </c>
      <c r="F90" s="65"/>
    </row>
    <row r="91" spans="1:6" ht="13.5" customHeight="1" collapsed="1">
      <c r="A91" s="253" t="s">
        <v>476</v>
      </c>
      <c r="B91" s="61">
        <f>SUM(B88:B90)</f>
        <v>40143.26</v>
      </c>
      <c r="F91" s="65"/>
    </row>
    <row r="92" spans="1:6" ht="13.5" customHeight="1" hidden="1" outlineLevel="1">
      <c r="A92" s="255" t="s">
        <v>244</v>
      </c>
      <c r="B92" s="255">
        <v>62782.719999999994</v>
      </c>
      <c r="F92" s="65"/>
    </row>
    <row r="93" spans="1:6" ht="13.5" customHeight="1" hidden="1" outlineLevel="1">
      <c r="A93" s="255" t="s">
        <v>245</v>
      </c>
      <c r="B93" s="255">
        <v>122654</v>
      </c>
      <c r="F93" s="65"/>
    </row>
    <row r="94" spans="1:6" ht="13.5" customHeight="1" hidden="1" outlineLevel="1">
      <c r="A94" s="255" t="s">
        <v>246</v>
      </c>
      <c r="B94" s="255">
        <v>10084.93</v>
      </c>
      <c r="F94" s="65"/>
    </row>
    <row r="95" spans="1:6" ht="13.5" customHeight="1" hidden="1" outlineLevel="1">
      <c r="A95" s="255" t="s">
        <v>247</v>
      </c>
      <c r="B95" s="255">
        <v>30644.1</v>
      </c>
      <c r="F95" s="65"/>
    </row>
    <row r="96" spans="1:6" ht="13.5" customHeight="1" hidden="1" outlineLevel="1">
      <c r="A96" s="255" t="s">
        <v>248</v>
      </c>
      <c r="B96" s="255">
        <v>3195</v>
      </c>
      <c r="F96" s="65"/>
    </row>
    <row r="97" spans="1:6" ht="13.5" customHeight="1" hidden="1" outlineLevel="1">
      <c r="A97" s="255" t="s">
        <v>249</v>
      </c>
      <c r="B97" s="255">
        <v>70148</v>
      </c>
      <c r="F97" s="65"/>
    </row>
    <row r="98" spans="1:6" ht="13.5" customHeight="1" hidden="1" outlineLevel="1">
      <c r="A98" s="255" t="s">
        <v>250</v>
      </c>
      <c r="B98" s="255">
        <v>136895.85</v>
      </c>
      <c r="F98" s="65"/>
    </row>
    <row r="99" spans="1:6" ht="13.5" customHeight="1" hidden="1" outlineLevel="1">
      <c r="A99" s="255" t="s">
        <v>251</v>
      </c>
      <c r="B99" s="255">
        <v>7852</v>
      </c>
      <c r="F99" s="65"/>
    </row>
    <row r="100" spans="1:6" ht="13.5" customHeight="1" hidden="1" outlineLevel="1">
      <c r="A100" s="255" t="s">
        <v>252</v>
      </c>
      <c r="B100" s="255">
        <v>356384.0999999999</v>
      </c>
      <c r="F100" s="65"/>
    </row>
    <row r="101" spans="1:6" ht="13.5" customHeight="1" hidden="1" outlineLevel="1">
      <c r="A101" s="255" t="s">
        <v>253</v>
      </c>
      <c r="B101" s="255">
        <v>20133.84</v>
      </c>
      <c r="F101" s="65"/>
    </row>
    <row r="102" spans="1:6" ht="13.5" customHeight="1" hidden="1" outlineLevel="1">
      <c r="A102" s="255" t="s">
        <v>254</v>
      </c>
      <c r="B102" s="255">
        <v>9144.24</v>
      </c>
      <c r="F102" s="65"/>
    </row>
    <row r="103" spans="1:6" ht="13.5" customHeight="1" hidden="1" outlineLevel="1">
      <c r="A103" s="255" t="s">
        <v>255</v>
      </c>
      <c r="B103" s="255">
        <v>49713.96</v>
      </c>
      <c r="F103" s="65"/>
    </row>
    <row r="104" spans="1:6" ht="13.5" customHeight="1" hidden="1" outlineLevel="1">
      <c r="A104" s="255" t="s">
        <v>256</v>
      </c>
      <c r="B104" s="255">
        <v>33906</v>
      </c>
      <c r="F104" s="65"/>
    </row>
    <row r="105" spans="1:6" ht="13.5" customHeight="1" hidden="1" outlineLevel="1">
      <c r="A105" s="255" t="s">
        <v>257</v>
      </c>
      <c r="B105" s="255">
        <v>16278</v>
      </c>
      <c r="F105" s="65"/>
    </row>
    <row r="106" spans="1:6" ht="13.5" customHeight="1" hidden="1" outlineLevel="1">
      <c r="A106" s="255" t="s">
        <v>258</v>
      </c>
      <c r="B106" s="255">
        <v>73688</v>
      </c>
      <c r="F106" s="65"/>
    </row>
    <row r="107" spans="1:6" ht="13.5" customHeight="1" hidden="1" outlineLevel="1">
      <c r="A107" s="255" t="s">
        <v>259</v>
      </c>
      <c r="B107" s="255">
        <v>23144.440000000002</v>
      </c>
      <c r="F107" s="65"/>
    </row>
    <row r="108" spans="1:6" ht="13.5" customHeight="1" collapsed="1">
      <c r="A108" s="63" t="s">
        <v>205</v>
      </c>
      <c r="B108" s="410">
        <f>SUM(B92:B107)</f>
        <v>1026649.1799999999</v>
      </c>
      <c r="F108" s="65"/>
    </row>
    <row r="109" spans="1:6" ht="13.5" customHeight="1" hidden="1" outlineLevel="1">
      <c r="A109" s="255" t="s">
        <v>244</v>
      </c>
      <c r="B109" s="255">
        <v>35900.280000000006</v>
      </c>
      <c r="F109" s="65"/>
    </row>
    <row r="110" spans="1:6" ht="13.5" customHeight="1" hidden="1" outlineLevel="1">
      <c r="A110" s="255" t="s">
        <v>245</v>
      </c>
      <c r="B110" s="255">
        <v>421290</v>
      </c>
      <c r="F110" s="65"/>
    </row>
    <row r="111" spans="1:6" ht="13.5" customHeight="1" hidden="1" outlineLevel="1">
      <c r="A111" s="255" t="s">
        <v>246</v>
      </c>
      <c r="B111" s="255">
        <v>39982.44</v>
      </c>
      <c r="F111" s="65"/>
    </row>
    <row r="112" spans="1:6" ht="13.5" customHeight="1" hidden="1" outlineLevel="1">
      <c r="A112" s="255" t="s">
        <v>247</v>
      </c>
      <c r="B112" s="255">
        <v>56302.450000000004</v>
      </c>
      <c r="F112" s="65"/>
    </row>
    <row r="113" spans="1:6" ht="13.5" customHeight="1" hidden="1" outlineLevel="1">
      <c r="A113" s="255" t="s">
        <v>248</v>
      </c>
      <c r="B113" s="255">
        <v>2234</v>
      </c>
      <c r="F113" s="65"/>
    </row>
    <row r="114" spans="1:6" ht="13.5" customHeight="1" hidden="1" outlineLevel="1">
      <c r="A114" s="255" t="s">
        <v>249</v>
      </c>
      <c r="B114" s="255">
        <v>129646</v>
      </c>
      <c r="F114" s="65"/>
    </row>
    <row r="115" spans="1:6" ht="13.5" customHeight="1" hidden="1" outlineLevel="1">
      <c r="A115" s="255" t="s">
        <v>250</v>
      </c>
      <c r="B115" s="255">
        <v>299725.05</v>
      </c>
      <c r="F115" s="65"/>
    </row>
    <row r="116" spans="1:6" ht="13.5" customHeight="1" hidden="1" outlineLevel="1">
      <c r="A116" s="255" t="s">
        <v>251</v>
      </c>
      <c r="B116" s="255">
        <v>8552.5</v>
      </c>
      <c r="F116" s="65"/>
    </row>
    <row r="117" spans="1:6" ht="13.5" customHeight="1" hidden="1" outlineLevel="1">
      <c r="A117" s="255" t="s">
        <v>252</v>
      </c>
      <c r="B117" s="255">
        <v>305028.15</v>
      </c>
      <c r="F117" s="65"/>
    </row>
    <row r="118" spans="1:6" ht="13.5" customHeight="1" hidden="1" outlineLevel="1">
      <c r="A118" s="255" t="s">
        <v>253</v>
      </c>
      <c r="B118" s="255">
        <v>60715.15</v>
      </c>
      <c r="F118" s="65"/>
    </row>
    <row r="119" spans="1:6" ht="13.5" customHeight="1" hidden="1" outlineLevel="1">
      <c r="A119" s="255" t="s">
        <v>254</v>
      </c>
      <c r="B119" s="255">
        <v>31853.25</v>
      </c>
      <c r="F119" s="65"/>
    </row>
    <row r="120" spans="1:6" ht="13.5" customHeight="1" hidden="1" outlineLevel="1">
      <c r="A120" s="255" t="s">
        <v>255</v>
      </c>
      <c r="B120" s="255">
        <v>105689.79</v>
      </c>
      <c r="F120" s="65"/>
    </row>
    <row r="121" spans="1:6" ht="13.5" customHeight="1" hidden="1" outlineLevel="1">
      <c r="A121" s="255" t="s">
        <v>256</v>
      </c>
      <c r="B121" s="255">
        <v>104083</v>
      </c>
      <c r="F121" s="65"/>
    </row>
    <row r="122" spans="1:6" ht="13.5" customHeight="1" hidden="1" outlineLevel="1">
      <c r="A122" s="255" t="s">
        <v>257</v>
      </c>
      <c r="B122" s="255">
        <v>49952</v>
      </c>
      <c r="F122" s="65"/>
    </row>
    <row r="123" spans="1:6" ht="13.5" customHeight="1" hidden="1" outlineLevel="1">
      <c r="A123" s="255" t="s">
        <v>258</v>
      </c>
      <c r="B123" s="255">
        <v>74745</v>
      </c>
      <c r="F123" s="65"/>
    </row>
    <row r="124" spans="1:6" ht="13.5" customHeight="1" hidden="1" outlineLevel="1">
      <c r="A124" s="255" t="s">
        <v>259</v>
      </c>
      <c r="B124" s="255">
        <v>49279.009999999995</v>
      </c>
      <c r="F124" s="65"/>
    </row>
    <row r="125" spans="1:6" ht="13.5" customHeight="1" collapsed="1">
      <c r="A125" s="253" t="s">
        <v>206</v>
      </c>
      <c r="B125" s="61">
        <f>SUM(B109:B124)</f>
        <v>1774978.07</v>
      </c>
      <c r="F125" s="65"/>
    </row>
    <row r="126" spans="1:6" ht="13.5" customHeight="1" hidden="1" outlineLevel="1">
      <c r="A126" s="255" t="s">
        <v>244</v>
      </c>
      <c r="B126" s="255">
        <v>650862</v>
      </c>
      <c r="F126" s="65"/>
    </row>
    <row r="127" spans="1:6" ht="13.5" customHeight="1" hidden="1" outlineLevel="1">
      <c r="A127" s="255" t="s">
        <v>245</v>
      </c>
      <c r="B127" s="255">
        <v>1727874</v>
      </c>
      <c r="F127" s="65"/>
    </row>
    <row r="128" spans="1:6" ht="13.5" customHeight="1" hidden="1" outlineLevel="1">
      <c r="A128" s="255" t="s">
        <v>246</v>
      </c>
      <c r="B128" s="255">
        <v>207180</v>
      </c>
      <c r="F128" s="65"/>
    </row>
    <row r="129" spans="1:6" ht="13.5" customHeight="1" hidden="1" outlineLevel="1">
      <c r="A129" s="255" t="s">
        <v>247</v>
      </c>
      <c r="B129" s="255">
        <v>212990</v>
      </c>
      <c r="F129" s="65"/>
    </row>
    <row r="130" spans="1:6" ht="13.5" customHeight="1" hidden="1" outlineLevel="1">
      <c r="A130" s="255" t="s">
        <v>248</v>
      </c>
      <c r="B130" s="255">
        <v>11744</v>
      </c>
      <c r="F130" s="65"/>
    </row>
    <row r="131" spans="1:6" ht="13.5" customHeight="1" hidden="1" outlineLevel="1">
      <c r="A131" s="255" t="s">
        <v>249</v>
      </c>
      <c r="B131" s="255">
        <v>714020</v>
      </c>
      <c r="F131" s="65"/>
    </row>
    <row r="132" spans="1:6" ht="13.5" customHeight="1" hidden="1" outlineLevel="1">
      <c r="A132" s="255" t="s">
        <v>250</v>
      </c>
      <c r="B132" s="255">
        <v>1840755</v>
      </c>
      <c r="F132" s="65"/>
    </row>
    <row r="133" spans="1:6" ht="13.5" customHeight="1" hidden="1" outlineLevel="1">
      <c r="A133" s="255" t="s">
        <v>251</v>
      </c>
      <c r="B133" s="255">
        <v>56115</v>
      </c>
      <c r="F133" s="65"/>
    </row>
    <row r="134" spans="1:6" ht="13.5" customHeight="1" hidden="1" outlineLevel="1">
      <c r="A134" s="255" t="s">
        <v>252</v>
      </c>
      <c r="B134" s="255">
        <v>2590618</v>
      </c>
      <c r="F134" s="65"/>
    </row>
    <row r="135" spans="1:6" ht="13.5" customHeight="1" hidden="1" outlineLevel="1">
      <c r="A135" s="255" t="s">
        <v>253</v>
      </c>
      <c r="B135" s="255">
        <v>177096</v>
      </c>
      <c r="F135" s="65"/>
    </row>
    <row r="136" spans="1:6" ht="13.5" customHeight="1" hidden="1" outlineLevel="1">
      <c r="A136" s="255" t="s">
        <v>254</v>
      </c>
      <c r="B136" s="255">
        <v>86795</v>
      </c>
      <c r="F136" s="65"/>
    </row>
    <row r="137" spans="1:6" ht="13.5" customHeight="1" hidden="1" outlineLevel="1">
      <c r="A137" s="255" t="s">
        <v>255</v>
      </c>
      <c r="B137" s="255">
        <v>1285473</v>
      </c>
      <c r="F137" s="65"/>
    </row>
    <row r="138" spans="1:6" ht="13.5" customHeight="1" hidden="1" outlineLevel="1">
      <c r="A138" s="255" t="s">
        <v>256</v>
      </c>
      <c r="B138" s="255">
        <v>702610</v>
      </c>
      <c r="F138" s="65"/>
    </row>
    <row r="139" spans="1:6" ht="13.5" customHeight="1" hidden="1" outlineLevel="1">
      <c r="A139" s="255" t="s">
        <v>257</v>
      </c>
      <c r="B139" s="255">
        <v>151399</v>
      </c>
      <c r="F139" s="65"/>
    </row>
    <row r="140" spans="1:6" ht="13.5" customHeight="1" hidden="1" outlineLevel="1">
      <c r="A140" s="255" t="s">
        <v>258</v>
      </c>
      <c r="B140" s="255">
        <v>610214.29</v>
      </c>
      <c r="F140" s="65"/>
    </row>
    <row r="141" spans="1:6" ht="13.5" customHeight="1" hidden="1" outlineLevel="1">
      <c r="A141" s="255" t="s">
        <v>259</v>
      </c>
      <c r="B141" s="255">
        <v>197920</v>
      </c>
      <c r="F141" s="65"/>
    </row>
    <row r="142" spans="1:6" ht="13.5" customHeight="1" collapsed="1">
      <c r="A142" s="253" t="s">
        <v>207</v>
      </c>
      <c r="B142" s="71">
        <f>SUM(B126:B141)</f>
        <v>11223665.29</v>
      </c>
      <c r="F142" s="65"/>
    </row>
    <row r="143" spans="1:7" ht="13.5" customHeight="1">
      <c r="A143" s="72" t="s">
        <v>3</v>
      </c>
      <c r="C143" s="61">
        <f>B87+B91+B108+B125+B142</f>
        <v>14320364.78</v>
      </c>
      <c r="F143" s="73"/>
      <c r="G143" s="73"/>
    </row>
    <row r="144" ht="13.5" customHeight="1">
      <c r="A144" s="72"/>
    </row>
    <row r="145" ht="13.5" customHeight="1">
      <c r="A145" s="75" t="str">
        <f>A18</f>
        <v>Projected Through 6/30/19</v>
      </c>
    </row>
    <row r="146" spans="1:2" ht="13.5" customHeight="1">
      <c r="A146" s="253" t="s">
        <v>460</v>
      </c>
      <c r="B146" s="276">
        <f>'OEA GMR Summary 17-19'!E22</f>
        <v>5686062.71</v>
      </c>
    </row>
    <row r="147" spans="1:2" ht="13.5" customHeight="1">
      <c r="A147" s="253" t="s">
        <v>272</v>
      </c>
      <c r="B147" s="276">
        <f>'Cash Flow 15-17'!AF17</f>
        <v>0</v>
      </c>
    </row>
    <row r="148" spans="1:2" ht="13.5" customHeight="1">
      <c r="A148" s="253" t="s">
        <v>271</v>
      </c>
      <c r="B148" s="60">
        <f>'Cash Flow 15-17'!AF15+'Cash Flow 15-17'!AF16+'Cash Flow 15-17'!AF14</f>
        <v>0</v>
      </c>
    </row>
    <row r="149" spans="1:4" ht="13.5" customHeight="1">
      <c r="A149" s="72" t="s">
        <v>3</v>
      </c>
      <c r="C149" s="71">
        <f>SUM(B146:B148)</f>
        <v>5686062.71</v>
      </c>
      <c r="D149" s="78"/>
    </row>
    <row r="150" ht="13.5" customHeight="1">
      <c r="A150" s="72"/>
    </row>
    <row r="151" spans="1:8" ht="13.5" customHeight="1">
      <c r="A151" s="77" t="s">
        <v>14</v>
      </c>
      <c r="D151" s="66">
        <f>C143+C149</f>
        <v>20006427.49</v>
      </c>
      <c r="F151" s="64">
        <f>'Cash Flow 15-17'!AE18</f>
        <v>45620016.43000001</v>
      </c>
      <c r="G151" s="73">
        <f>D151-F151</f>
        <v>-25613588.94000001</v>
      </c>
      <c r="H151" s="79"/>
    </row>
    <row r="152" spans="1:8" ht="13.5" customHeight="1">
      <c r="A152" s="77"/>
      <c r="G152" s="73"/>
      <c r="H152" s="79"/>
    </row>
    <row r="153" spans="1:8" ht="13.5" customHeight="1">
      <c r="A153" s="251" t="s">
        <v>552</v>
      </c>
      <c r="B153" s="84"/>
      <c r="C153" s="85"/>
      <c r="D153" s="86">
        <f>D7+C16-C143</f>
        <v>7193196.979999999</v>
      </c>
      <c r="G153" s="73"/>
      <c r="H153" s="79"/>
    </row>
    <row r="154" spans="1:8" ht="13.5" customHeight="1">
      <c r="A154" s="74"/>
      <c r="B154" s="258"/>
      <c r="F154" s="80"/>
      <c r="G154" s="81"/>
      <c r="H154" s="82"/>
    </row>
    <row r="155" spans="1:8" ht="13.5" customHeight="1">
      <c r="A155" s="259" t="s">
        <v>553</v>
      </c>
      <c r="B155" s="260"/>
      <c r="C155" s="85"/>
      <c r="D155" s="86">
        <f>D7+C16-B146-C143</f>
        <v>1507134.2699999977</v>
      </c>
      <c r="F155" s="80"/>
      <c r="G155" s="81"/>
      <c r="H155" s="82"/>
    </row>
    <row r="156" spans="2:9" ht="13.5" customHeight="1">
      <c r="B156" s="258"/>
      <c r="G156"/>
      <c r="H156"/>
      <c r="I156"/>
    </row>
    <row r="157" spans="1:9" ht="13.5" customHeight="1" thickBot="1">
      <c r="A157" s="251" t="s">
        <v>507</v>
      </c>
      <c r="B157" s="84"/>
      <c r="C157" s="85"/>
      <c r="D157" s="252">
        <f>D24-D151</f>
        <v>1507134.2699999996</v>
      </c>
      <c r="G157"/>
      <c r="H157"/>
      <c r="I157"/>
    </row>
    <row r="158" ht="13.5" customHeight="1" thickTop="1">
      <c r="B158" s="59"/>
    </row>
    <row r="159" ht="13.5" customHeight="1"/>
    <row r="160" ht="13.5" customHeight="1"/>
    <row r="161" ht="13.5" customHeight="1">
      <c r="A161" s="57"/>
    </row>
  </sheetData>
  <sheetProtection/>
  <mergeCells count="5">
    <mergeCell ref="A1:D1"/>
    <mergeCell ref="A2:D2"/>
    <mergeCell ref="A3:D3"/>
    <mergeCell ref="A10:D10"/>
    <mergeCell ref="A27:D27"/>
  </mergeCells>
  <printOptions/>
  <pageMargins left="0.7" right="0.7" top="0.75" bottom="0.75" header="0.3" footer="0.3"/>
  <pageSetup fitToHeight="1" fitToWidth="1" horizontalDpi="600" verticalDpi="600" orientation="portrait" scale="84" r:id="rId1"/>
  <ignoredErrors>
    <ignoredError sqref="B12:B13 D151 B125 B142 D153 D157 B146:B148 A145 D155 C149 D24 B19:B21 C22 C16 B14:B15 A17:D17 A14:A15 C14:D15 A16:B16 D16 A23:D23 A22:B22 D22 A19:A21 C19:D21 A25:D28 A24:C24 B91 D7 B18:D18 B108 B87 C143" unlockedFormula="1"/>
  </ignoredErrors>
</worksheet>
</file>

<file path=xl/worksheets/sheet3.xml><?xml version="1.0" encoding="utf-8"?>
<worksheet xmlns="http://schemas.openxmlformats.org/spreadsheetml/2006/main" xmlns:r="http://schemas.openxmlformats.org/officeDocument/2006/relationships">
  <dimension ref="A1:Y155"/>
  <sheetViews>
    <sheetView tabSelected="1" zoomScalePageLayoutView="0" workbookViewId="0" topLeftCell="A113">
      <pane xSplit="1" topLeftCell="I1" activePane="topRight" state="frozen"/>
      <selection pane="topLeft" activeCell="A122" sqref="A122"/>
      <selection pane="topRight" activeCell="W134" sqref="W134"/>
    </sheetView>
  </sheetViews>
  <sheetFormatPr defaultColWidth="9.33203125" defaultRowHeight="10.5"/>
  <cols>
    <col min="1" max="1" width="55.16015625" style="304" customWidth="1"/>
    <col min="2" max="2" width="13.5" style="304" customWidth="1"/>
    <col min="3" max="3" width="15.83203125" style="304" bestFit="1" customWidth="1"/>
    <col min="4" max="4" width="16" style="304" bestFit="1" customWidth="1"/>
    <col min="5" max="6" width="13.66015625" style="304" customWidth="1"/>
    <col min="7" max="7" width="14.83203125" style="304" bestFit="1" customWidth="1"/>
    <col min="8" max="10" width="13.66015625" style="304" customWidth="1"/>
    <col min="11" max="11" width="19.16015625" style="304" bestFit="1" customWidth="1"/>
    <col min="12" max="13" width="13.66015625" style="304" customWidth="1"/>
    <col min="14" max="14" width="15.16015625" style="304" customWidth="1"/>
    <col min="15" max="16" width="13.66015625" style="304" customWidth="1"/>
    <col min="17" max="17" width="19.66015625" style="304" customWidth="1"/>
    <col min="18" max="19" width="13.66015625" style="304" customWidth="1"/>
    <col min="20" max="20" width="20.16015625" style="304" bestFit="1" customWidth="1"/>
    <col min="21" max="22" width="13.66015625" style="304" customWidth="1"/>
    <col min="23" max="23" width="14.16015625" style="304" customWidth="1"/>
    <col min="24" max="24" width="12.33203125" style="304" bestFit="1" customWidth="1"/>
    <col min="25" max="16384" width="9.33203125" style="304" customWidth="1"/>
  </cols>
  <sheetData>
    <row r="1" spans="1:23" ht="11.25">
      <c r="A1" s="422" t="s">
        <v>421</v>
      </c>
      <c r="B1" s="422"/>
      <c r="C1" s="422"/>
      <c r="D1" s="422"/>
      <c r="E1" s="422"/>
      <c r="F1" s="422"/>
      <c r="G1" s="422"/>
      <c r="H1" s="422"/>
      <c r="I1" s="422"/>
      <c r="J1" s="422"/>
      <c r="K1" s="422"/>
      <c r="L1" s="422"/>
      <c r="M1" s="422"/>
      <c r="N1" s="422"/>
      <c r="O1" s="422"/>
      <c r="P1" s="422"/>
      <c r="Q1" s="422"/>
      <c r="R1" s="422"/>
      <c r="S1" s="422"/>
      <c r="T1" s="422"/>
      <c r="U1" s="422"/>
      <c r="V1" s="422"/>
      <c r="W1" s="422"/>
    </row>
    <row r="2" spans="1:23" ht="11.25">
      <c r="A2" s="422" t="s">
        <v>422</v>
      </c>
      <c r="B2" s="422"/>
      <c r="C2" s="422"/>
      <c r="D2" s="422"/>
      <c r="E2" s="422"/>
      <c r="F2" s="422"/>
      <c r="G2" s="422"/>
      <c r="H2" s="422"/>
      <c r="I2" s="422"/>
      <c r="J2" s="422"/>
      <c r="K2" s="422"/>
      <c r="L2" s="422"/>
      <c r="M2" s="422"/>
      <c r="N2" s="422"/>
      <c r="O2" s="422"/>
      <c r="P2" s="422"/>
      <c r="Q2" s="422"/>
      <c r="R2" s="422"/>
      <c r="S2" s="422"/>
      <c r="T2" s="422"/>
      <c r="U2" s="422"/>
      <c r="V2" s="422"/>
      <c r="W2" s="422"/>
    </row>
    <row r="3" spans="1:23" ht="11.25">
      <c r="A3" s="422" t="s">
        <v>423</v>
      </c>
      <c r="B3" s="422"/>
      <c r="C3" s="422"/>
      <c r="D3" s="422"/>
      <c r="E3" s="422"/>
      <c r="F3" s="422"/>
      <c r="G3" s="422"/>
      <c r="H3" s="422"/>
      <c r="I3" s="422"/>
      <c r="J3" s="422"/>
      <c r="K3" s="422"/>
      <c r="L3" s="422"/>
      <c r="M3" s="422"/>
      <c r="N3" s="422"/>
      <c r="O3" s="422"/>
      <c r="P3" s="422"/>
      <c r="Q3" s="422"/>
      <c r="R3" s="422"/>
      <c r="S3" s="422"/>
      <c r="T3" s="422"/>
      <c r="U3" s="422"/>
      <c r="V3" s="422"/>
      <c r="W3" s="422"/>
    </row>
    <row r="4" spans="1:23" ht="11.25">
      <c r="A4" s="422" t="s">
        <v>546</v>
      </c>
      <c r="B4" s="422"/>
      <c r="C4" s="422"/>
      <c r="D4" s="422"/>
      <c r="E4" s="422"/>
      <c r="F4" s="422"/>
      <c r="G4" s="422"/>
      <c r="H4" s="422"/>
      <c r="I4" s="422"/>
      <c r="J4" s="422"/>
      <c r="K4" s="422"/>
      <c r="L4" s="422"/>
      <c r="M4" s="422"/>
      <c r="N4" s="422"/>
      <c r="O4" s="422"/>
      <c r="P4" s="422"/>
      <c r="Q4" s="422"/>
      <c r="R4" s="422"/>
      <c r="S4" s="422"/>
      <c r="T4" s="422"/>
      <c r="U4" s="422"/>
      <c r="V4" s="422"/>
      <c r="W4" s="422"/>
    </row>
    <row r="5" spans="1:23" ht="11.25">
      <c r="A5" s="305"/>
      <c r="B5" s="305"/>
      <c r="C5" s="305"/>
      <c r="D5" s="305"/>
      <c r="E5" s="305"/>
      <c r="F5" s="305"/>
      <c r="G5" s="305"/>
      <c r="H5" s="305"/>
      <c r="I5" s="305"/>
      <c r="J5" s="305"/>
      <c r="K5" s="305"/>
      <c r="L5" s="305"/>
      <c r="M5" s="305"/>
      <c r="N5" s="305"/>
      <c r="O5" s="305"/>
      <c r="P5" s="305"/>
      <c r="Q5" s="305"/>
      <c r="R5" s="305"/>
      <c r="S5" s="305"/>
      <c r="T5" s="305"/>
      <c r="U5" s="305"/>
      <c r="V5" s="305"/>
      <c r="W5" s="305"/>
    </row>
    <row r="6" spans="3:22" ht="11.25">
      <c r="C6" s="423" t="s">
        <v>190</v>
      </c>
      <c r="D6" s="423"/>
      <c r="E6" s="423"/>
      <c r="F6" s="423"/>
      <c r="G6" s="423"/>
      <c r="H6" s="423"/>
      <c r="I6" s="423"/>
      <c r="J6" s="423" t="s">
        <v>424</v>
      </c>
      <c r="K6" s="423"/>
      <c r="L6" s="423"/>
      <c r="M6" s="423"/>
      <c r="N6" s="423"/>
      <c r="O6" s="423"/>
      <c r="P6" s="423"/>
      <c r="Q6" s="423"/>
      <c r="R6" s="423"/>
      <c r="S6" s="423"/>
      <c r="T6" s="423"/>
      <c r="U6" s="423"/>
      <c r="V6" s="423"/>
    </row>
    <row r="7" spans="1:22" ht="11.25">
      <c r="A7" s="306"/>
      <c r="B7" s="305" t="s">
        <v>11</v>
      </c>
      <c r="C7" s="307" t="s">
        <v>34</v>
      </c>
      <c r="D7" s="307" t="s">
        <v>35</v>
      </c>
      <c r="E7" s="307" t="s">
        <v>25</v>
      </c>
      <c r="F7" s="307" t="s">
        <v>28</v>
      </c>
      <c r="G7" s="307" t="s">
        <v>29</v>
      </c>
      <c r="H7" s="307" t="s">
        <v>30</v>
      </c>
      <c r="I7" s="307" t="s">
        <v>36</v>
      </c>
      <c r="J7" s="308" t="s">
        <v>23</v>
      </c>
      <c r="K7" s="308" t="s">
        <v>24</v>
      </c>
      <c r="L7" s="308" t="s">
        <v>25</v>
      </c>
      <c r="M7" s="308" t="s">
        <v>26</v>
      </c>
      <c r="N7" s="308" t="s">
        <v>27</v>
      </c>
      <c r="O7" s="308" t="s">
        <v>165</v>
      </c>
      <c r="P7" s="308" t="s">
        <v>37</v>
      </c>
      <c r="Q7" s="308" t="s">
        <v>28</v>
      </c>
      <c r="R7" s="308" t="s">
        <v>29</v>
      </c>
      <c r="S7" s="308" t="s">
        <v>30</v>
      </c>
      <c r="T7" s="308" t="s">
        <v>31</v>
      </c>
      <c r="U7" s="308" t="s">
        <v>32</v>
      </c>
      <c r="V7" s="308" t="s">
        <v>33</v>
      </c>
    </row>
    <row r="8" spans="2:23" ht="11.25">
      <c r="B8" s="305" t="s">
        <v>44</v>
      </c>
      <c r="C8" s="309" t="s">
        <v>282</v>
      </c>
      <c r="D8" s="309" t="s">
        <v>280</v>
      </c>
      <c r="E8" s="309" t="s">
        <v>281</v>
      </c>
      <c r="F8" s="309" t="s">
        <v>284</v>
      </c>
      <c r="G8" s="309" t="s">
        <v>285</v>
      </c>
      <c r="H8" s="420" t="s">
        <v>425</v>
      </c>
      <c r="I8" s="309" t="s">
        <v>283</v>
      </c>
      <c r="J8" s="310" t="s">
        <v>291</v>
      </c>
      <c r="K8" s="418" t="s">
        <v>431</v>
      </c>
      <c r="L8" s="418" t="s">
        <v>430</v>
      </c>
      <c r="M8" s="310" t="s">
        <v>301</v>
      </c>
      <c r="N8" s="418" t="s">
        <v>429</v>
      </c>
      <c r="O8" s="418" t="s">
        <v>428</v>
      </c>
      <c r="P8" s="310" t="s">
        <v>296</v>
      </c>
      <c r="Q8" s="418" t="s">
        <v>432</v>
      </c>
      <c r="R8" s="310" t="s">
        <v>285</v>
      </c>
      <c r="S8" s="418" t="s">
        <v>425</v>
      </c>
      <c r="T8" s="418" t="s">
        <v>427</v>
      </c>
      <c r="U8" s="310" t="s">
        <v>288</v>
      </c>
      <c r="V8" s="418" t="s">
        <v>426</v>
      </c>
      <c r="W8" s="305" t="s">
        <v>3</v>
      </c>
    </row>
    <row r="9" spans="2:23" ht="11.25">
      <c r="B9" s="311" t="s">
        <v>52</v>
      </c>
      <c r="C9" s="312" t="s">
        <v>52</v>
      </c>
      <c r="D9" s="312" t="s">
        <v>52</v>
      </c>
      <c r="E9" s="312" t="s">
        <v>52</v>
      </c>
      <c r="F9" s="312" t="s">
        <v>52</v>
      </c>
      <c r="G9" s="312" t="s">
        <v>52</v>
      </c>
      <c r="H9" s="421"/>
      <c r="I9" s="312" t="s">
        <v>52</v>
      </c>
      <c r="J9" s="313" t="s">
        <v>52</v>
      </c>
      <c r="K9" s="419"/>
      <c r="L9" s="419"/>
      <c r="M9" s="313" t="s">
        <v>52</v>
      </c>
      <c r="N9" s="419"/>
      <c r="O9" s="419"/>
      <c r="P9" s="313" t="s">
        <v>52</v>
      </c>
      <c r="Q9" s="419"/>
      <c r="R9" s="313" t="s">
        <v>52</v>
      </c>
      <c r="S9" s="419"/>
      <c r="T9" s="419"/>
      <c r="U9" s="313" t="s">
        <v>52</v>
      </c>
      <c r="V9" s="419"/>
      <c r="W9" s="314"/>
    </row>
    <row r="10" spans="1:23" ht="11.25">
      <c r="A10" s="160" t="s">
        <v>409</v>
      </c>
      <c r="B10" s="315">
        <f>3109.43+788461.08</f>
        <v>791570.51</v>
      </c>
      <c r="C10" s="316">
        <v>145804.99</v>
      </c>
      <c r="D10" s="316">
        <v>-111461.2</v>
      </c>
      <c r="E10" s="316">
        <v>129995.18</v>
      </c>
      <c r="F10" s="316">
        <f>2789.81</f>
        <v>2789.81</v>
      </c>
      <c r="G10" s="316">
        <v>1116699.91</v>
      </c>
      <c r="H10" s="316">
        <v>177064.87</v>
      </c>
      <c r="I10" s="316">
        <v>187972.02</v>
      </c>
      <c r="J10" s="317">
        <v>-19799.39</v>
      </c>
      <c r="K10" s="317">
        <v>63391.64</v>
      </c>
      <c r="L10" s="317">
        <v>-2833.03</v>
      </c>
      <c r="M10" s="317">
        <v>-8488.2</v>
      </c>
      <c r="N10" s="317">
        <v>327662.17</v>
      </c>
      <c r="O10" s="317">
        <f>228550.17+61355.68</f>
        <v>289905.85000000003</v>
      </c>
      <c r="P10" s="317">
        <v>-15773.63</v>
      </c>
      <c r="Q10" s="317">
        <v>-32499.67</v>
      </c>
      <c r="R10" s="317">
        <v>203394.09</v>
      </c>
      <c r="S10" s="317">
        <v>41081.55</v>
      </c>
      <c r="T10" s="317">
        <v>380697.56</v>
      </c>
      <c r="U10" s="317">
        <v>29234.04</v>
      </c>
      <c r="V10" s="317">
        <f>-952947.72+993953.55</f>
        <v>41005.830000000075</v>
      </c>
      <c r="W10" s="315">
        <f>SUM(B10:V10)</f>
        <v>3737414.9</v>
      </c>
    </row>
    <row r="11" spans="2:23" ht="11.25">
      <c r="B11" s="315"/>
      <c r="C11" s="316"/>
      <c r="D11" s="316"/>
      <c r="E11" s="316"/>
      <c r="F11" s="316"/>
      <c r="G11" s="316"/>
      <c r="H11" s="316"/>
      <c r="I11" s="316"/>
      <c r="J11" s="317"/>
      <c r="K11" s="317"/>
      <c r="L11" s="317"/>
      <c r="M11" s="317"/>
      <c r="N11" s="317"/>
      <c r="O11" s="317"/>
      <c r="P11" s="317"/>
      <c r="Q11" s="317"/>
      <c r="R11" s="317"/>
      <c r="S11" s="317"/>
      <c r="T11" s="317"/>
      <c r="U11" s="317"/>
      <c r="V11" s="317"/>
      <c r="W11" s="315"/>
    </row>
    <row r="12" spans="1:23" ht="11.25">
      <c r="A12" s="159" t="s">
        <v>277</v>
      </c>
      <c r="B12" s="315"/>
      <c r="C12" s="316"/>
      <c r="D12" s="316"/>
      <c r="E12" s="316"/>
      <c r="F12" s="316"/>
      <c r="G12" s="316"/>
      <c r="H12" s="316"/>
      <c r="I12" s="316"/>
      <c r="J12" s="317"/>
      <c r="K12" s="317"/>
      <c r="L12" s="317"/>
      <c r="M12" s="317"/>
      <c r="N12" s="317"/>
      <c r="O12" s="317"/>
      <c r="P12" s="317"/>
      <c r="Q12" s="317"/>
      <c r="R12" s="317"/>
      <c r="S12" s="317"/>
      <c r="T12" s="317"/>
      <c r="U12" s="317"/>
      <c r="V12" s="317"/>
      <c r="W12" s="315"/>
    </row>
    <row r="13" spans="1:23" ht="11.25">
      <c r="A13" s="318" t="s">
        <v>190</v>
      </c>
      <c r="B13" s="315">
        <v>713286.13</v>
      </c>
      <c r="C13" s="316">
        <v>4572742.21</v>
      </c>
      <c r="D13" s="316">
        <v>3157220.29</v>
      </c>
      <c r="E13" s="316">
        <v>13738.5</v>
      </c>
      <c r="F13" s="316">
        <v>2619.07</v>
      </c>
      <c r="G13" s="316">
        <f>5780017.81</f>
        <v>5780017.81</v>
      </c>
      <c r="H13" s="316">
        <v>2397092.14</v>
      </c>
      <c r="I13" s="316">
        <v>499171.06</v>
      </c>
      <c r="J13" s="317"/>
      <c r="K13" s="317"/>
      <c r="L13" s="317"/>
      <c r="M13" s="317"/>
      <c r="N13" s="317"/>
      <c r="O13" s="317"/>
      <c r="P13" s="317"/>
      <c r="Q13" s="317"/>
      <c r="R13" s="317"/>
      <c r="S13" s="317"/>
      <c r="T13" s="317"/>
      <c r="U13" s="317"/>
      <c r="V13" s="317"/>
      <c r="W13" s="315">
        <f>SUM(B13:V13)</f>
        <v>17135887.209999997</v>
      </c>
    </row>
    <row r="14" spans="1:23" ht="11.25">
      <c r="A14" s="318" t="s">
        <v>424</v>
      </c>
      <c r="B14" s="315">
        <v>487704.44</v>
      </c>
      <c r="C14" s="316"/>
      <c r="D14" s="316"/>
      <c r="E14" s="316"/>
      <c r="F14" s="316"/>
      <c r="G14" s="316"/>
      <c r="H14" s="316"/>
      <c r="I14" s="316"/>
      <c r="J14" s="317">
        <v>1618007.53</v>
      </c>
      <c r="K14" s="317">
        <v>499812.78</v>
      </c>
      <c r="L14" s="317">
        <v>409305.92</v>
      </c>
      <c r="M14" s="317">
        <v>76579</v>
      </c>
      <c r="N14" s="317">
        <v>1876969.15</v>
      </c>
      <c r="O14" s="317">
        <f>746956.08+14455.72</f>
        <v>761411.7999999999</v>
      </c>
      <c r="P14" s="317">
        <v>146624.31</v>
      </c>
      <c r="Q14" s="317">
        <v>158044.55</v>
      </c>
      <c r="R14" s="317">
        <v>1936988.4</v>
      </c>
      <c r="S14" s="317">
        <v>417640.26</v>
      </c>
      <c r="T14" s="317">
        <v>1367987.57</v>
      </c>
      <c r="U14" s="317">
        <v>475731.85</v>
      </c>
      <c r="V14" s="317">
        <f>1312622.39+204416.6</f>
        <v>1517038.99</v>
      </c>
      <c r="W14" s="315">
        <f>SUM(B14:V14)</f>
        <v>11749846.549999999</v>
      </c>
    </row>
    <row r="15" spans="1:23" ht="11.25">
      <c r="A15" s="318" t="s">
        <v>279</v>
      </c>
      <c r="B15" s="315">
        <v>22454.62</v>
      </c>
      <c r="C15" s="316"/>
      <c r="D15" s="316"/>
      <c r="E15" s="316"/>
      <c r="F15" s="316"/>
      <c r="G15" s="316"/>
      <c r="H15" s="316"/>
      <c r="I15" s="316"/>
      <c r="J15" s="317"/>
      <c r="K15" s="317"/>
      <c r="L15" s="317"/>
      <c r="M15" s="317"/>
      <c r="N15" s="317"/>
      <c r="O15" s="317"/>
      <c r="P15" s="317"/>
      <c r="Q15" s="317"/>
      <c r="R15" s="317"/>
      <c r="S15" s="317"/>
      <c r="T15" s="317"/>
      <c r="U15" s="317"/>
      <c r="V15" s="317"/>
      <c r="W15" s="315">
        <f>SUM(B15:V15)</f>
        <v>22454.62</v>
      </c>
    </row>
    <row r="16" spans="1:23" ht="11.25">
      <c r="A16" s="318" t="s">
        <v>433</v>
      </c>
      <c r="B16" s="315"/>
      <c r="C16" s="316"/>
      <c r="D16" s="316">
        <v>-300</v>
      </c>
      <c r="E16" s="316"/>
      <c r="F16" s="316"/>
      <c r="G16" s="316"/>
      <c r="H16" s="316"/>
      <c r="I16" s="316"/>
      <c r="J16" s="317"/>
      <c r="K16" s="317"/>
      <c r="L16" s="317"/>
      <c r="M16" s="317"/>
      <c r="N16" s="317"/>
      <c r="O16" s="317"/>
      <c r="P16" s="317"/>
      <c r="Q16" s="317"/>
      <c r="R16" s="317"/>
      <c r="S16" s="317"/>
      <c r="T16" s="317"/>
      <c r="U16" s="317"/>
      <c r="V16" s="317"/>
      <c r="W16" s="315">
        <f>SUM(B16:V16)</f>
        <v>-300</v>
      </c>
    </row>
    <row r="17" spans="1:23" ht="11.25">
      <c r="A17" s="318" t="s">
        <v>192</v>
      </c>
      <c r="B17" s="319">
        <v>-1130634</v>
      </c>
      <c r="C17" s="320">
        <v>249448</v>
      </c>
      <c r="D17" s="320">
        <v>101028</v>
      </c>
      <c r="E17" s="320"/>
      <c r="F17" s="320"/>
      <c r="G17" s="320">
        <v>152451</v>
      </c>
      <c r="H17" s="320">
        <v>72490</v>
      </c>
      <c r="I17" s="320">
        <v>11771</v>
      </c>
      <c r="J17" s="321">
        <v>46586</v>
      </c>
      <c r="K17" s="321">
        <v>16931</v>
      </c>
      <c r="L17" s="321">
        <v>12643</v>
      </c>
      <c r="M17" s="321"/>
      <c r="N17" s="321">
        <v>106650</v>
      </c>
      <c r="O17" s="321">
        <f>94887.4-75811.4</f>
        <v>19076</v>
      </c>
      <c r="P17" s="321"/>
      <c r="Q17" s="321">
        <v>5322</v>
      </c>
      <c r="R17" s="321">
        <v>54712</v>
      </c>
      <c r="S17" s="321">
        <v>13078</v>
      </c>
      <c r="T17" s="321">
        <v>93591</v>
      </c>
      <c r="U17" s="321">
        <v>72033</v>
      </c>
      <c r="V17" s="321">
        <f>1301194.15-1198370.15</f>
        <v>102824</v>
      </c>
      <c r="W17" s="319">
        <f>SUM(B17:V17)</f>
        <v>0</v>
      </c>
    </row>
    <row r="18" spans="2:23" ht="11.25">
      <c r="B18" s="315"/>
      <c r="C18" s="316"/>
      <c r="D18" s="316"/>
      <c r="E18" s="316"/>
      <c r="F18" s="316"/>
      <c r="G18" s="316"/>
      <c r="H18" s="316"/>
      <c r="I18" s="316"/>
      <c r="J18" s="317"/>
      <c r="K18" s="317"/>
      <c r="L18" s="317"/>
      <c r="M18" s="317"/>
      <c r="N18" s="317"/>
      <c r="O18" s="317"/>
      <c r="P18" s="317"/>
      <c r="Q18" s="317"/>
      <c r="R18" s="317"/>
      <c r="S18" s="317"/>
      <c r="T18" s="317"/>
      <c r="U18" s="317"/>
      <c r="V18" s="317"/>
      <c r="W18" s="315"/>
    </row>
    <row r="19" spans="1:23" ht="11.25">
      <c r="A19" s="159" t="s">
        <v>434</v>
      </c>
      <c r="B19" s="315">
        <f>SUM(B13:B17)</f>
        <v>92811.19000000018</v>
      </c>
      <c r="C19" s="316">
        <f aca="true" t="shared" si="0" ref="C19:H19">SUM(C13:C17)</f>
        <v>4822190.21</v>
      </c>
      <c r="D19" s="316">
        <f>SUM(D13:D17)</f>
        <v>3257948.29</v>
      </c>
      <c r="E19" s="316">
        <f>SUM(E13:E17)</f>
        <v>13738.5</v>
      </c>
      <c r="F19" s="316">
        <f t="shared" si="0"/>
        <v>2619.07</v>
      </c>
      <c r="G19" s="316">
        <f t="shared" si="0"/>
        <v>5932468.81</v>
      </c>
      <c r="H19" s="316">
        <f t="shared" si="0"/>
        <v>2469582.14</v>
      </c>
      <c r="I19" s="316">
        <f>SUM(I13:I17)</f>
        <v>510942.06</v>
      </c>
      <c r="J19" s="317">
        <f aca="true" t="shared" si="1" ref="J19:S19">SUM(J13:J17)</f>
        <v>1664593.53</v>
      </c>
      <c r="K19" s="317">
        <f>SUM(K13:K17)</f>
        <v>516743.78</v>
      </c>
      <c r="L19" s="317">
        <f>SUM(L13:L17)</f>
        <v>421948.92</v>
      </c>
      <c r="M19" s="317">
        <f>SUM(M13:M17)</f>
        <v>76579</v>
      </c>
      <c r="N19" s="317">
        <f>SUM(N13:N17)</f>
        <v>1983619.15</v>
      </c>
      <c r="O19" s="317">
        <f t="shared" si="1"/>
        <v>780487.7999999999</v>
      </c>
      <c r="P19" s="317">
        <f t="shared" si="1"/>
        <v>146624.31</v>
      </c>
      <c r="Q19" s="317">
        <f>SUM(Q13:Q17)</f>
        <v>163366.55</v>
      </c>
      <c r="R19" s="317">
        <f t="shared" si="1"/>
        <v>1991700.4</v>
      </c>
      <c r="S19" s="317">
        <f t="shared" si="1"/>
        <v>430718.26</v>
      </c>
      <c r="T19" s="317">
        <f>SUM(T13:T17)</f>
        <v>1461578.57</v>
      </c>
      <c r="U19" s="317">
        <f>SUM(U13:U17)</f>
        <v>547764.85</v>
      </c>
      <c r="V19" s="317">
        <f>SUM(V13:V17)</f>
        <v>1619862.99</v>
      </c>
      <c r="W19" s="315">
        <f>SUM(B19:V19)</f>
        <v>28907888.380000003</v>
      </c>
    </row>
    <row r="20" spans="2:23" ht="11.25">
      <c r="B20" s="315"/>
      <c r="C20" s="316"/>
      <c r="D20" s="316"/>
      <c r="E20" s="316"/>
      <c r="F20" s="316"/>
      <c r="G20" s="316"/>
      <c r="H20" s="316"/>
      <c r="I20" s="316"/>
      <c r="J20" s="317"/>
      <c r="K20" s="317"/>
      <c r="L20" s="317"/>
      <c r="M20" s="317"/>
      <c r="N20" s="317"/>
      <c r="O20" s="317"/>
      <c r="P20" s="317"/>
      <c r="Q20" s="317"/>
      <c r="R20" s="317"/>
      <c r="S20" s="317"/>
      <c r="T20" s="317"/>
      <c r="U20" s="317"/>
      <c r="V20" s="317"/>
      <c r="W20" s="315"/>
    </row>
    <row r="21" spans="1:23" ht="11.25">
      <c r="A21" s="159" t="s">
        <v>50</v>
      </c>
      <c r="B21" s="315"/>
      <c r="C21" s="316"/>
      <c r="D21" s="316"/>
      <c r="E21" s="316"/>
      <c r="F21" s="316"/>
      <c r="G21" s="316"/>
      <c r="H21" s="316"/>
      <c r="I21" s="316"/>
      <c r="J21" s="317"/>
      <c r="K21" s="317"/>
      <c r="L21" s="317"/>
      <c r="M21" s="317"/>
      <c r="N21" s="317"/>
      <c r="O21" s="317"/>
      <c r="P21" s="317"/>
      <c r="Q21" s="317"/>
      <c r="R21" s="317"/>
      <c r="S21" s="317"/>
      <c r="T21" s="317"/>
      <c r="U21" s="317"/>
      <c r="V21" s="317"/>
      <c r="W21" s="315"/>
    </row>
    <row r="22" spans="1:23" ht="11.25">
      <c r="A22" s="322" t="s">
        <v>204</v>
      </c>
      <c r="B22" s="315">
        <f>730594.16+848.93-74.98</f>
        <v>731368.1100000001</v>
      </c>
      <c r="C22" s="316"/>
      <c r="D22" s="316"/>
      <c r="E22" s="316"/>
      <c r="F22" s="316"/>
      <c r="G22" s="316"/>
      <c r="H22" s="316"/>
      <c r="I22" s="316"/>
      <c r="J22" s="317"/>
      <c r="K22" s="317"/>
      <c r="L22" s="317"/>
      <c r="M22" s="317"/>
      <c r="N22" s="317"/>
      <c r="O22" s="317"/>
      <c r="P22" s="317"/>
      <c r="Q22" s="317"/>
      <c r="R22" s="317"/>
      <c r="S22" s="317"/>
      <c r="T22" s="317"/>
      <c r="U22" s="317"/>
      <c r="V22" s="317"/>
      <c r="W22" s="315">
        <f>SUM(B22:V22)</f>
        <v>731368.1100000001</v>
      </c>
    </row>
    <row r="23" spans="1:23" ht="11.25">
      <c r="A23" s="318" t="s">
        <v>189</v>
      </c>
      <c r="B23" s="315">
        <f>90559+1670+487</f>
        <v>92716</v>
      </c>
      <c r="C23" s="316">
        <f>474831+19208</f>
        <v>494039</v>
      </c>
      <c r="D23" s="316">
        <f>417734+8867</f>
        <v>426601</v>
      </c>
      <c r="E23" s="316">
        <v>0</v>
      </c>
      <c r="F23" s="316">
        <v>0</v>
      </c>
      <c r="G23" s="316">
        <f>551905+13818</f>
        <v>565723</v>
      </c>
      <c r="H23" s="316">
        <f>122318+3617</f>
        <v>125935</v>
      </c>
      <c r="I23" s="316">
        <f>45695+160</f>
        <v>45855</v>
      </c>
      <c r="J23" s="317">
        <f>86107+227</f>
        <v>86334</v>
      </c>
      <c r="K23" s="317">
        <f>36555.93+635.9</f>
        <v>37191.83</v>
      </c>
      <c r="L23" s="317">
        <f>40311+647</f>
        <v>40958</v>
      </c>
      <c r="M23" s="317">
        <v>7173</v>
      </c>
      <c r="N23" s="317">
        <f>157492+15207</f>
        <v>172699</v>
      </c>
      <c r="O23" s="317">
        <f>82819+2289</f>
        <v>85108</v>
      </c>
      <c r="P23" s="317">
        <f>15669</f>
        <v>15669</v>
      </c>
      <c r="Q23" s="317">
        <f>18468.18</f>
        <v>18468.18</v>
      </c>
      <c r="R23" s="317">
        <f>196466+4250</f>
        <v>200716</v>
      </c>
      <c r="S23" s="317">
        <f>29346+181</f>
        <v>29527</v>
      </c>
      <c r="T23" s="317">
        <f>74883+5551</f>
        <v>80434</v>
      </c>
      <c r="U23" s="317">
        <f>51256+4042</f>
        <v>55298</v>
      </c>
      <c r="V23" s="317">
        <f>141491+9527</f>
        <v>151018</v>
      </c>
      <c r="W23" s="315">
        <f>SUM(B23:V23)</f>
        <v>2731463.0100000002</v>
      </c>
    </row>
    <row r="24" spans="1:23" ht="11.25">
      <c r="A24" s="318" t="s">
        <v>187</v>
      </c>
      <c r="B24" s="315"/>
      <c r="C24" s="316">
        <f>794204+206811</f>
        <v>1001015</v>
      </c>
      <c r="D24" s="316">
        <f>579410+105886</f>
        <v>685296</v>
      </c>
      <c r="E24" s="316">
        <v>0</v>
      </c>
      <c r="F24" s="316">
        <v>0</v>
      </c>
      <c r="G24" s="316">
        <f>1121125+179289</f>
        <v>1300414</v>
      </c>
      <c r="H24" s="316">
        <f>233126+48862</f>
        <v>281988</v>
      </c>
      <c r="I24" s="316">
        <f>48165+1460</f>
        <v>49625</v>
      </c>
      <c r="J24" s="317">
        <f>213586+3600</f>
        <v>217186</v>
      </c>
      <c r="K24" s="317">
        <f>84861.74+14949.02</f>
        <v>99810.76000000001</v>
      </c>
      <c r="L24" s="317">
        <f>52236+5690</f>
        <v>57926</v>
      </c>
      <c r="M24" s="317">
        <f>5180+313</f>
        <v>5493</v>
      </c>
      <c r="N24" s="317">
        <f>246384+125067</f>
        <v>371451</v>
      </c>
      <c r="O24" s="317">
        <f>91223+36767</f>
        <v>127990</v>
      </c>
      <c r="P24" s="317">
        <v>25308</v>
      </c>
      <c r="Q24" s="317">
        <f>21909.95+7918</f>
        <v>29827.95</v>
      </c>
      <c r="R24" s="317">
        <f>407916+64791</f>
        <v>472707</v>
      </c>
      <c r="S24" s="317">
        <f>56482+8687</f>
        <v>65169</v>
      </c>
      <c r="T24" s="317">
        <f>136073+102132</f>
        <v>238205</v>
      </c>
      <c r="U24" s="317">
        <f>100124+44484</f>
        <v>144608</v>
      </c>
      <c r="V24" s="317">
        <f>151171+91024</f>
        <v>242195</v>
      </c>
      <c r="W24" s="315">
        <f>SUM(B24:V24)</f>
        <v>5416214.71</v>
      </c>
    </row>
    <row r="25" spans="1:23" ht="11.25">
      <c r="A25" s="318" t="s">
        <v>188</v>
      </c>
      <c r="B25" s="315"/>
      <c r="C25" s="316">
        <v>3597494</v>
      </c>
      <c r="D25" s="316">
        <f>2362295</f>
        <v>2362295</v>
      </c>
      <c r="E25" s="316">
        <v>0</v>
      </c>
      <c r="F25" s="316">
        <v>0</v>
      </c>
      <c r="G25" s="316">
        <v>4474546</v>
      </c>
      <c r="H25" s="316">
        <v>2128432</v>
      </c>
      <c r="I25" s="316">
        <f>361597</f>
        <v>361597</v>
      </c>
      <c r="J25" s="317">
        <f>1445306</f>
        <v>1445306</v>
      </c>
      <c r="K25" s="317">
        <v>486962.37</v>
      </c>
      <c r="L25" s="317">
        <v>286909</v>
      </c>
      <c r="M25" s="317">
        <v>62752</v>
      </c>
      <c r="N25" s="317">
        <v>1431794</v>
      </c>
      <c r="O25" s="317">
        <v>796082.23</v>
      </c>
      <c r="P25" s="317">
        <v>127631</v>
      </c>
      <c r="Q25" s="317">
        <v>141112</v>
      </c>
      <c r="R25" s="317">
        <v>1641439</v>
      </c>
      <c r="S25" s="317">
        <v>359901</v>
      </c>
      <c r="T25" s="317">
        <v>1248238</v>
      </c>
      <c r="U25" s="317">
        <v>350071.84</v>
      </c>
      <c r="V25" s="317">
        <v>1328304</v>
      </c>
      <c r="W25" s="315">
        <f>SUM(B25:V25)</f>
        <v>22630866.439999998</v>
      </c>
    </row>
    <row r="26" spans="1:23" ht="11.25">
      <c r="A26" s="162" t="s">
        <v>52</v>
      </c>
      <c r="B26" s="319"/>
      <c r="C26" s="320"/>
      <c r="D26" s="320"/>
      <c r="E26" s="320"/>
      <c r="F26" s="320"/>
      <c r="G26" s="320"/>
      <c r="H26" s="320"/>
      <c r="I26" s="320"/>
      <c r="J26" s="321"/>
      <c r="K26" s="321"/>
      <c r="L26" s="321"/>
      <c r="M26" s="321"/>
      <c r="N26" s="321"/>
      <c r="O26" s="321"/>
      <c r="P26" s="321"/>
      <c r="Q26" s="321"/>
      <c r="R26" s="321"/>
      <c r="S26" s="321"/>
      <c r="T26" s="321"/>
      <c r="U26" s="321"/>
      <c r="V26" s="321"/>
      <c r="W26" s="319"/>
    </row>
    <row r="27" spans="1:23" ht="11.25">
      <c r="A27" s="159" t="s">
        <v>6</v>
      </c>
      <c r="B27" s="315">
        <f>SUM(B22:B25)</f>
        <v>824084.1100000001</v>
      </c>
      <c r="C27" s="316">
        <f aca="true" t="shared" si="2" ref="C27:H27">SUM(C22:C25)</f>
        <v>5092548</v>
      </c>
      <c r="D27" s="316">
        <f>SUM(D22:D25)</f>
        <v>3474192</v>
      </c>
      <c r="E27" s="316">
        <f>SUM(E22:E25)</f>
        <v>0</v>
      </c>
      <c r="F27" s="316">
        <f t="shared" si="2"/>
        <v>0</v>
      </c>
      <c r="G27" s="316">
        <f t="shared" si="2"/>
        <v>6340683</v>
      </c>
      <c r="H27" s="316">
        <f t="shared" si="2"/>
        <v>2536355</v>
      </c>
      <c r="I27" s="316">
        <f>SUM(I22:I25)</f>
        <v>457077</v>
      </c>
      <c r="J27" s="317">
        <f aca="true" t="shared" si="3" ref="J27:S27">SUM(J22:J25)</f>
        <v>1748826</v>
      </c>
      <c r="K27" s="317">
        <f>SUM(K22:K25)</f>
        <v>623964.96</v>
      </c>
      <c r="L27" s="317">
        <f>SUM(L22:L25)</f>
        <v>385793</v>
      </c>
      <c r="M27" s="317">
        <f>SUM(M22:M25)</f>
        <v>75418</v>
      </c>
      <c r="N27" s="317">
        <f>SUM(N22:N25)</f>
        <v>1975944</v>
      </c>
      <c r="O27" s="317">
        <f t="shared" si="3"/>
        <v>1009180.23</v>
      </c>
      <c r="P27" s="317">
        <f t="shared" si="3"/>
        <v>168608</v>
      </c>
      <c r="Q27" s="317">
        <f>SUM(Q22:Q25)</f>
        <v>189408.13</v>
      </c>
      <c r="R27" s="317">
        <f t="shared" si="3"/>
        <v>2314862</v>
      </c>
      <c r="S27" s="317">
        <f t="shared" si="3"/>
        <v>454597</v>
      </c>
      <c r="T27" s="317">
        <f>SUM(T22:T25)</f>
        <v>1566877</v>
      </c>
      <c r="U27" s="317">
        <f>SUM(U22:U25)</f>
        <v>549977.8400000001</v>
      </c>
      <c r="V27" s="317">
        <f>SUM(V22:V25)</f>
        <v>1721517</v>
      </c>
      <c r="W27" s="315">
        <f>SUM(B27:V27)</f>
        <v>31509912.27</v>
      </c>
    </row>
    <row r="28" spans="1:23" ht="11.25">
      <c r="A28" s="167"/>
      <c r="B28" s="315"/>
      <c r="C28" s="316"/>
      <c r="D28" s="316"/>
      <c r="E28" s="316"/>
      <c r="F28" s="316"/>
      <c r="G28" s="316"/>
      <c r="H28" s="316"/>
      <c r="I28" s="316"/>
      <c r="J28" s="317"/>
      <c r="K28" s="317"/>
      <c r="L28" s="317"/>
      <c r="M28" s="317"/>
      <c r="N28" s="317"/>
      <c r="O28" s="317"/>
      <c r="P28" s="317"/>
      <c r="Q28" s="317"/>
      <c r="R28" s="317"/>
      <c r="S28" s="317"/>
      <c r="T28" s="317"/>
      <c r="U28" s="317"/>
      <c r="V28" s="317"/>
      <c r="W28" s="315"/>
    </row>
    <row r="29" spans="1:23" ht="11.25">
      <c r="A29" s="167"/>
      <c r="B29" s="315"/>
      <c r="C29" s="316"/>
      <c r="D29" s="316"/>
      <c r="E29" s="316"/>
      <c r="F29" s="316"/>
      <c r="G29" s="316"/>
      <c r="H29" s="316"/>
      <c r="I29" s="316"/>
      <c r="J29" s="317"/>
      <c r="K29" s="317"/>
      <c r="L29" s="317"/>
      <c r="M29" s="317"/>
      <c r="N29" s="317"/>
      <c r="O29" s="317"/>
      <c r="P29" s="317"/>
      <c r="Q29" s="317"/>
      <c r="R29" s="317"/>
      <c r="S29" s="317"/>
      <c r="T29" s="317"/>
      <c r="U29" s="317"/>
      <c r="V29" s="317"/>
      <c r="W29" s="315"/>
    </row>
    <row r="30" spans="1:24" ht="12" thickBot="1">
      <c r="A30" s="159" t="s">
        <v>435</v>
      </c>
      <c r="B30" s="323">
        <f>B10+B19-B27</f>
        <v>60297.590000000084</v>
      </c>
      <c r="C30" s="324">
        <f aca="true" t="shared" si="4" ref="C30:S30">C10+C19-C27</f>
        <v>-124552.79999999981</v>
      </c>
      <c r="D30" s="324">
        <f>D10+D19-D27</f>
        <v>-327704.91000000015</v>
      </c>
      <c r="E30" s="324">
        <f>E10+E19-E27</f>
        <v>143733.68</v>
      </c>
      <c r="F30" s="324">
        <f t="shared" si="4"/>
        <v>5408.88</v>
      </c>
      <c r="G30" s="324">
        <f t="shared" si="4"/>
        <v>708485.7199999997</v>
      </c>
      <c r="H30" s="324">
        <f t="shared" si="4"/>
        <v>110292.01000000024</v>
      </c>
      <c r="I30" s="324">
        <f>I10+I19-I27</f>
        <v>241837.07999999996</v>
      </c>
      <c r="J30" s="325">
        <f t="shared" si="4"/>
        <v>-104031.85999999987</v>
      </c>
      <c r="K30" s="325">
        <f>K10+K19-K27</f>
        <v>-43829.53999999992</v>
      </c>
      <c r="L30" s="325">
        <f>L10+L19-L27</f>
        <v>33322.889999999956</v>
      </c>
      <c r="M30" s="325">
        <f>M10+M19-M27</f>
        <v>-7327.199999999997</v>
      </c>
      <c r="N30" s="325">
        <f>N10+N19-N27</f>
        <v>335337.31999999983</v>
      </c>
      <c r="O30" s="325">
        <f t="shared" si="4"/>
        <v>61213.419999999925</v>
      </c>
      <c r="P30" s="325">
        <f t="shared" si="4"/>
        <v>-37757.32000000001</v>
      </c>
      <c r="Q30" s="325">
        <f>Q10+Q19-Q27</f>
        <v>-58541.250000000015</v>
      </c>
      <c r="R30" s="325">
        <f t="shared" si="4"/>
        <v>-119767.51000000024</v>
      </c>
      <c r="S30" s="325">
        <f t="shared" si="4"/>
        <v>17202.809999999998</v>
      </c>
      <c r="T30" s="325">
        <f>T10+T19-T27</f>
        <v>275399.1300000001</v>
      </c>
      <c r="U30" s="325">
        <f>U10+U19-U27</f>
        <v>27021.04999999993</v>
      </c>
      <c r="V30" s="325">
        <f>V10+V19-V27</f>
        <v>-60648.179999999935</v>
      </c>
      <c r="W30" s="323">
        <f>W10+W19-W27</f>
        <v>1135391.0100000016</v>
      </c>
      <c r="X30" s="315"/>
    </row>
    <row r="31" spans="2:23" ht="12" thickTop="1">
      <c r="B31" s="315"/>
      <c r="C31" s="316"/>
      <c r="D31" s="316"/>
      <c r="E31" s="316"/>
      <c r="F31" s="316"/>
      <c r="G31" s="316"/>
      <c r="H31" s="316"/>
      <c r="I31" s="316"/>
      <c r="J31" s="317"/>
      <c r="K31" s="317"/>
      <c r="L31" s="317"/>
      <c r="M31" s="317"/>
      <c r="N31" s="317"/>
      <c r="O31" s="317"/>
      <c r="P31" s="317"/>
      <c r="Q31" s="317"/>
      <c r="R31" s="317"/>
      <c r="S31" s="317"/>
      <c r="T31" s="317"/>
      <c r="U31" s="317"/>
      <c r="V31" s="317"/>
      <c r="W31" s="315"/>
    </row>
    <row r="32" spans="1:23" ht="11.25">
      <c r="A32" s="318" t="s">
        <v>436</v>
      </c>
      <c r="B32" s="315">
        <v>0.74</v>
      </c>
      <c r="C32" s="316">
        <v>3612</v>
      </c>
      <c r="D32" s="316">
        <v>323209</v>
      </c>
      <c r="E32" s="316">
        <v>12286</v>
      </c>
      <c r="F32" s="316">
        <v>0</v>
      </c>
      <c r="G32" s="316">
        <v>321513</v>
      </c>
      <c r="H32" s="316">
        <v>300249</v>
      </c>
      <c r="I32" s="316">
        <v>13973</v>
      </c>
      <c r="J32" s="317">
        <v>57700</v>
      </c>
      <c r="K32" s="317">
        <v>108634.28</v>
      </c>
      <c r="L32" s="317">
        <v>51484</v>
      </c>
      <c r="M32" s="317">
        <v>6429</v>
      </c>
      <c r="N32" s="317">
        <v>123043</v>
      </c>
      <c r="O32" s="317">
        <v>80918.77</v>
      </c>
      <c r="P32" s="317">
        <v>10269</v>
      </c>
      <c r="Q32" s="317">
        <v>10696.59</v>
      </c>
      <c r="R32" s="317">
        <v>132680</v>
      </c>
      <c r="S32" s="317">
        <v>73391</v>
      </c>
      <c r="T32" s="317">
        <v>138991</v>
      </c>
      <c r="U32" s="317">
        <v>94839.16</v>
      </c>
      <c r="V32" s="317">
        <v>125687</v>
      </c>
      <c r="W32" s="315">
        <v>1989605.54</v>
      </c>
    </row>
    <row r="33" spans="1:23" ht="11.25">
      <c r="A33" s="168"/>
      <c r="B33" s="315"/>
      <c r="C33" s="316"/>
      <c r="D33" s="316"/>
      <c r="E33" s="316"/>
      <c r="F33" s="316"/>
      <c r="G33" s="316"/>
      <c r="H33" s="316"/>
      <c r="I33" s="316"/>
      <c r="J33" s="317"/>
      <c r="K33" s="317"/>
      <c r="L33" s="317"/>
      <c r="M33" s="317"/>
      <c r="N33" s="317"/>
      <c r="O33" s="317"/>
      <c r="P33" s="317"/>
      <c r="Q33" s="317"/>
      <c r="R33" s="317"/>
      <c r="S33" s="317"/>
      <c r="T33" s="317"/>
      <c r="U33" s="317"/>
      <c r="V33" s="317"/>
      <c r="W33" s="315"/>
    </row>
    <row r="34" spans="1:24" ht="12" thickBot="1">
      <c r="A34" s="159" t="s">
        <v>437</v>
      </c>
      <c r="B34" s="323">
        <f aca="true" t="shared" si="5" ref="B34:W34">B30-B32</f>
        <v>60296.850000000086</v>
      </c>
      <c r="C34" s="324">
        <f t="shared" si="5"/>
        <v>-128164.79999999981</v>
      </c>
      <c r="D34" s="324">
        <f>D30-D32</f>
        <v>-650913.9100000001</v>
      </c>
      <c r="E34" s="324">
        <f>E30-E32</f>
        <v>131447.68</v>
      </c>
      <c r="F34" s="324">
        <f t="shared" si="5"/>
        <v>5408.88</v>
      </c>
      <c r="G34" s="324">
        <f t="shared" si="5"/>
        <v>386972.71999999974</v>
      </c>
      <c r="H34" s="324">
        <f t="shared" si="5"/>
        <v>-189956.98999999976</v>
      </c>
      <c r="I34" s="324">
        <f>I30-I32</f>
        <v>227864.07999999996</v>
      </c>
      <c r="J34" s="325">
        <f t="shared" si="5"/>
        <v>-161731.85999999987</v>
      </c>
      <c r="K34" s="325">
        <f>K30-K32</f>
        <v>-152463.81999999992</v>
      </c>
      <c r="L34" s="325">
        <f>L30-L32</f>
        <v>-18161.110000000044</v>
      </c>
      <c r="M34" s="325">
        <f>M30-M32</f>
        <v>-13756.199999999997</v>
      </c>
      <c r="N34" s="325">
        <f>N30-N32</f>
        <v>212294.31999999983</v>
      </c>
      <c r="O34" s="325">
        <f t="shared" si="5"/>
        <v>-19705.35000000008</v>
      </c>
      <c r="P34" s="325">
        <f t="shared" si="5"/>
        <v>-48026.32000000001</v>
      </c>
      <c r="Q34" s="325">
        <f>Q30-Q32</f>
        <v>-69237.84000000001</v>
      </c>
      <c r="R34" s="325">
        <f t="shared" si="5"/>
        <v>-252447.51000000024</v>
      </c>
      <c r="S34" s="325">
        <f t="shared" si="5"/>
        <v>-56188.19</v>
      </c>
      <c r="T34" s="325">
        <f>T30-T32</f>
        <v>136408.13000000012</v>
      </c>
      <c r="U34" s="325">
        <f>U30-U32</f>
        <v>-67818.11000000007</v>
      </c>
      <c r="V34" s="325">
        <f>V30-V32</f>
        <v>-186335.17999999993</v>
      </c>
      <c r="W34" s="323">
        <f t="shared" si="5"/>
        <v>-854214.5299999984</v>
      </c>
      <c r="X34" s="315"/>
    </row>
    <row r="35" spans="2:23" ht="12" thickTop="1">
      <c r="B35" s="315"/>
      <c r="C35" s="326"/>
      <c r="D35" s="326"/>
      <c r="E35" s="326"/>
      <c r="F35" s="326"/>
      <c r="G35" s="326"/>
      <c r="H35" s="326"/>
      <c r="I35" s="326"/>
      <c r="J35" s="326"/>
      <c r="K35" s="326"/>
      <c r="L35" s="326"/>
      <c r="M35" s="326"/>
      <c r="N35" s="326"/>
      <c r="O35" s="326"/>
      <c r="P35" s="326"/>
      <c r="Q35" s="326"/>
      <c r="R35" s="326"/>
      <c r="S35" s="326"/>
      <c r="T35" s="326"/>
      <c r="U35" s="326"/>
      <c r="V35" s="326"/>
      <c r="W35" s="315"/>
    </row>
    <row r="36" spans="1:23" ht="11.25">
      <c r="A36" s="304" t="s">
        <v>52</v>
      </c>
      <c r="B36" s="315"/>
      <c r="C36" s="417" t="s">
        <v>190</v>
      </c>
      <c r="D36" s="417"/>
      <c r="E36" s="417"/>
      <c r="F36" s="417"/>
      <c r="G36" s="417"/>
      <c r="H36" s="417"/>
      <c r="I36" s="417"/>
      <c r="J36" s="417" t="s">
        <v>424</v>
      </c>
      <c r="K36" s="417"/>
      <c r="L36" s="417"/>
      <c r="M36" s="417"/>
      <c r="N36" s="417"/>
      <c r="O36" s="417"/>
      <c r="P36" s="417"/>
      <c r="Q36" s="417"/>
      <c r="R36" s="417"/>
      <c r="S36" s="417"/>
      <c r="T36" s="417"/>
      <c r="U36" s="417"/>
      <c r="V36" s="417"/>
      <c r="W36" s="315"/>
    </row>
    <row r="37" spans="1:23" ht="11.25">
      <c r="A37" s="306"/>
      <c r="B37" s="327" t="s">
        <v>11</v>
      </c>
      <c r="C37" s="328" t="s">
        <v>34</v>
      </c>
      <c r="D37" s="328" t="s">
        <v>35</v>
      </c>
      <c r="E37" s="328" t="s">
        <v>25</v>
      </c>
      <c r="F37" s="328" t="s">
        <v>28</v>
      </c>
      <c r="G37" s="328" t="s">
        <v>29</v>
      </c>
      <c r="H37" s="328" t="s">
        <v>30</v>
      </c>
      <c r="I37" s="328" t="s">
        <v>36</v>
      </c>
      <c r="J37" s="329" t="s">
        <v>23</v>
      </c>
      <c r="K37" s="329" t="s">
        <v>24</v>
      </c>
      <c r="L37" s="329" t="s">
        <v>25</v>
      </c>
      <c r="M37" s="329" t="s">
        <v>26</v>
      </c>
      <c r="N37" s="329" t="s">
        <v>27</v>
      </c>
      <c r="O37" s="329" t="s">
        <v>165</v>
      </c>
      <c r="P37" s="329" t="s">
        <v>37</v>
      </c>
      <c r="Q37" s="329" t="s">
        <v>28</v>
      </c>
      <c r="R37" s="329" t="s">
        <v>29</v>
      </c>
      <c r="S37" s="329" t="s">
        <v>30</v>
      </c>
      <c r="T37" s="329" t="s">
        <v>31</v>
      </c>
      <c r="U37" s="329" t="s">
        <v>32</v>
      </c>
      <c r="V37" s="329" t="s">
        <v>33</v>
      </c>
      <c r="W37" s="315"/>
    </row>
    <row r="38" spans="2:23" ht="11.25">
      <c r="B38" s="327" t="s">
        <v>44</v>
      </c>
      <c r="C38" s="330" t="s">
        <v>282</v>
      </c>
      <c r="D38" s="330" t="s">
        <v>280</v>
      </c>
      <c r="E38" s="330" t="s">
        <v>281</v>
      </c>
      <c r="F38" s="330" t="s">
        <v>284</v>
      </c>
      <c r="G38" s="330" t="s">
        <v>285</v>
      </c>
      <c r="H38" s="330" t="s">
        <v>286</v>
      </c>
      <c r="I38" s="330" t="s">
        <v>283</v>
      </c>
      <c r="J38" s="331" t="s">
        <v>291</v>
      </c>
      <c r="K38" s="331" t="s">
        <v>304</v>
      </c>
      <c r="L38" s="331" t="s">
        <v>299</v>
      </c>
      <c r="M38" s="331" t="s">
        <v>301</v>
      </c>
      <c r="N38" s="331" t="s">
        <v>297</v>
      </c>
      <c r="O38" s="331" t="s">
        <v>294</v>
      </c>
      <c r="P38" s="331" t="s">
        <v>296</v>
      </c>
      <c r="Q38" s="331" t="s">
        <v>302</v>
      </c>
      <c r="R38" s="331" t="s">
        <v>285</v>
      </c>
      <c r="S38" s="331" t="s">
        <v>286</v>
      </c>
      <c r="T38" s="331" t="s">
        <v>292</v>
      </c>
      <c r="U38" s="331" t="s">
        <v>288</v>
      </c>
      <c r="V38" s="331" t="s">
        <v>289</v>
      </c>
      <c r="W38" s="327" t="s">
        <v>3</v>
      </c>
    </row>
    <row r="39" spans="2:23" ht="11.25">
      <c r="B39" s="332" t="s">
        <v>52</v>
      </c>
      <c r="C39" s="333" t="s">
        <v>52</v>
      </c>
      <c r="D39" s="333" t="s">
        <v>52</v>
      </c>
      <c r="E39" s="333" t="s">
        <v>52</v>
      </c>
      <c r="F39" s="333" t="s">
        <v>52</v>
      </c>
      <c r="G39" s="333" t="s">
        <v>52</v>
      </c>
      <c r="H39" s="334" t="s">
        <v>287</v>
      </c>
      <c r="I39" s="333" t="s">
        <v>52</v>
      </c>
      <c r="J39" s="335" t="s">
        <v>52</v>
      </c>
      <c r="K39" s="336" t="s">
        <v>305</v>
      </c>
      <c r="L39" s="336" t="s">
        <v>300</v>
      </c>
      <c r="M39" s="335" t="s">
        <v>52</v>
      </c>
      <c r="N39" s="336" t="s">
        <v>298</v>
      </c>
      <c r="O39" s="336" t="s">
        <v>295</v>
      </c>
      <c r="P39" s="335" t="s">
        <v>52</v>
      </c>
      <c r="Q39" s="336" t="s">
        <v>303</v>
      </c>
      <c r="R39" s="335" t="s">
        <v>52</v>
      </c>
      <c r="S39" s="336" t="s">
        <v>287</v>
      </c>
      <c r="T39" s="336" t="s">
        <v>293</v>
      </c>
      <c r="U39" s="335" t="s">
        <v>52</v>
      </c>
      <c r="V39" s="336" t="s">
        <v>290</v>
      </c>
      <c r="W39" s="319"/>
    </row>
    <row r="40" spans="1:23" ht="11.25">
      <c r="A40" s="160" t="s">
        <v>403</v>
      </c>
      <c r="B40" s="315">
        <f>424.85+59872.74</f>
        <v>60297.59</v>
      </c>
      <c r="C40" s="316">
        <v>-124552.8</v>
      </c>
      <c r="D40" s="316">
        <v>-327704.91</v>
      </c>
      <c r="E40" s="316">
        <v>143733.68</v>
      </c>
      <c r="F40" s="316">
        <v>5408.88</v>
      </c>
      <c r="G40" s="316">
        <v>708485.72</v>
      </c>
      <c r="H40" s="316">
        <v>110292.01</v>
      </c>
      <c r="I40" s="316">
        <v>241837.08</v>
      </c>
      <c r="J40" s="317">
        <v>-104031.86</v>
      </c>
      <c r="K40" s="317">
        <v>-43829.54</v>
      </c>
      <c r="L40" s="317">
        <v>33322.89</v>
      </c>
      <c r="M40" s="317">
        <v>-7327.2</v>
      </c>
      <c r="N40" s="317">
        <v>335337.32</v>
      </c>
      <c r="O40" s="317">
        <v>61213.42</v>
      </c>
      <c r="P40" s="317">
        <v>-37757.32</v>
      </c>
      <c r="Q40" s="317">
        <v>-58541.25</v>
      </c>
      <c r="R40" s="317">
        <v>-119767.51</v>
      </c>
      <c r="S40" s="317">
        <v>17202.81</v>
      </c>
      <c r="T40" s="317">
        <v>275399.13</v>
      </c>
      <c r="U40" s="317">
        <v>27021.05</v>
      </c>
      <c r="V40" s="317">
        <v>-60648.18</v>
      </c>
      <c r="W40" s="315">
        <f>SUM(B40:V40)</f>
        <v>1135391.0099999998</v>
      </c>
    </row>
    <row r="41" spans="2:23" ht="11.25">
      <c r="B41" s="315"/>
      <c r="C41" s="316"/>
      <c r="D41" s="316"/>
      <c r="E41" s="316"/>
      <c r="F41" s="316"/>
      <c r="G41" s="316"/>
      <c r="H41" s="316"/>
      <c r="I41" s="316"/>
      <c r="J41" s="317"/>
      <c r="K41" s="317"/>
      <c r="L41" s="317"/>
      <c r="M41" s="317"/>
      <c r="N41" s="317"/>
      <c r="O41" s="317"/>
      <c r="P41" s="317"/>
      <c r="Q41" s="317"/>
      <c r="R41" s="317"/>
      <c r="S41" s="317"/>
      <c r="T41" s="317"/>
      <c r="U41" s="317"/>
      <c r="V41" s="317"/>
      <c r="W41" s="315"/>
    </row>
    <row r="42" spans="1:23" ht="11.25">
      <c r="A42" s="159" t="s">
        <v>277</v>
      </c>
      <c r="B42" s="315"/>
      <c r="C42" s="316"/>
      <c r="D42" s="316"/>
      <c r="E42" s="316"/>
      <c r="F42" s="316"/>
      <c r="G42" s="316"/>
      <c r="H42" s="316"/>
      <c r="I42" s="316"/>
      <c r="J42" s="317"/>
      <c r="K42" s="317"/>
      <c r="L42" s="317"/>
      <c r="M42" s="317"/>
      <c r="N42" s="317"/>
      <c r="O42" s="317"/>
      <c r="P42" s="317"/>
      <c r="Q42" s="317"/>
      <c r="R42" s="317"/>
      <c r="S42" s="317"/>
      <c r="T42" s="317"/>
      <c r="U42" s="317"/>
      <c r="V42" s="317"/>
      <c r="W42" s="315"/>
    </row>
    <row r="43" spans="1:23" ht="11.25">
      <c r="A43" s="318" t="s">
        <v>190</v>
      </c>
      <c r="B43" s="315">
        <v>926188.92</v>
      </c>
      <c r="C43" s="316">
        <v>5922325.52</v>
      </c>
      <c r="D43" s="316">
        <v>4146182.21</v>
      </c>
      <c r="E43" s="316">
        <v>14094.42</v>
      </c>
      <c r="F43" s="316">
        <v>5335.95</v>
      </c>
      <c r="G43" s="316">
        <f>7356426.34</f>
        <v>7356426.34</v>
      </c>
      <c r="H43" s="316">
        <f>3042771.53</f>
        <v>3042771.53</v>
      </c>
      <c r="I43" s="316">
        <f>653631.34</f>
        <v>653631.34</v>
      </c>
      <c r="J43" s="317"/>
      <c r="K43" s="317"/>
      <c r="L43" s="317"/>
      <c r="M43" s="317"/>
      <c r="N43" s="317"/>
      <c r="O43" s="317"/>
      <c r="P43" s="317"/>
      <c r="Q43" s="317"/>
      <c r="R43" s="317"/>
      <c r="S43" s="317"/>
      <c r="T43" s="317"/>
      <c r="U43" s="317"/>
      <c r="V43" s="317"/>
      <c r="W43" s="315">
        <f>SUM(B43:V43)</f>
        <v>22066956.23</v>
      </c>
    </row>
    <row r="44" spans="1:23" ht="11.25">
      <c r="A44" s="318" t="s">
        <v>424</v>
      </c>
      <c r="B44" s="315">
        <v>630868.22</v>
      </c>
      <c r="C44" s="316"/>
      <c r="D44" s="316">
        <v>0</v>
      </c>
      <c r="E44" s="316"/>
      <c r="F44" s="316"/>
      <c r="G44" s="316"/>
      <c r="H44" s="316"/>
      <c r="I44" s="316"/>
      <c r="J44" s="317">
        <v>2117361.7</v>
      </c>
      <c r="K44" s="317">
        <v>607079.09</v>
      </c>
      <c r="L44" s="317">
        <v>544382.01</v>
      </c>
      <c r="M44" s="317">
        <v>100863</v>
      </c>
      <c r="N44" s="317">
        <v>2377706.76</v>
      </c>
      <c r="O44" s="317">
        <v>948519.72</v>
      </c>
      <c r="P44" s="317">
        <v>188258.35</v>
      </c>
      <c r="Q44" s="317">
        <v>206140.76</v>
      </c>
      <c r="R44" s="317">
        <v>2360718.87</v>
      </c>
      <c r="S44" s="317">
        <v>558725.32</v>
      </c>
      <c r="T44" s="317">
        <v>1780219.49</v>
      </c>
      <c r="U44" s="317">
        <v>619862.06</v>
      </c>
      <c r="V44" s="317">
        <v>1960801.64</v>
      </c>
      <c r="W44" s="315">
        <f>SUM(B44:V44)</f>
        <v>15001506.99</v>
      </c>
    </row>
    <row r="45" spans="1:23" ht="11.25">
      <c r="A45" s="318" t="s">
        <v>279</v>
      </c>
      <c r="B45" s="315">
        <f>42381.75</f>
        <v>42381.75</v>
      </c>
      <c r="C45" s="316"/>
      <c r="D45" s="316"/>
      <c r="E45" s="316"/>
      <c r="F45" s="316"/>
      <c r="G45" s="316"/>
      <c r="H45" s="316"/>
      <c r="I45" s="316"/>
      <c r="J45" s="317"/>
      <c r="K45" s="317"/>
      <c r="L45" s="317"/>
      <c r="M45" s="317"/>
      <c r="N45" s="317"/>
      <c r="O45" s="317"/>
      <c r="P45" s="317"/>
      <c r="Q45" s="317"/>
      <c r="R45" s="317"/>
      <c r="S45" s="317" t="s">
        <v>52</v>
      </c>
      <c r="T45" s="317"/>
      <c r="U45" s="317"/>
      <c r="V45" s="317"/>
      <c r="W45" s="315">
        <f>SUM(B45:V45)</f>
        <v>42381.75</v>
      </c>
    </row>
    <row r="46" spans="1:23" ht="11.25">
      <c r="A46" s="318" t="s">
        <v>433</v>
      </c>
      <c r="B46" s="315"/>
      <c r="C46" s="316"/>
      <c r="D46" s="316"/>
      <c r="E46" s="316"/>
      <c r="F46" s="316"/>
      <c r="G46" s="316"/>
      <c r="H46" s="316"/>
      <c r="I46" s="316"/>
      <c r="J46" s="317"/>
      <c r="K46" s="317"/>
      <c r="L46" s="317"/>
      <c r="M46" s="317"/>
      <c r="N46" s="317"/>
      <c r="O46" s="317"/>
      <c r="P46" s="317"/>
      <c r="Q46" s="317"/>
      <c r="R46" s="317"/>
      <c r="S46" s="317"/>
      <c r="T46" s="317"/>
      <c r="U46" s="317"/>
      <c r="V46" s="317"/>
      <c r="W46" s="315">
        <f>SUM(B46:U46)</f>
        <v>0</v>
      </c>
    </row>
    <row r="47" spans="1:23" ht="11.25">
      <c r="A47" s="318" t="s">
        <v>192</v>
      </c>
      <c r="B47" s="315">
        <v>-17648.22</v>
      </c>
      <c r="C47" s="316">
        <v>72694</v>
      </c>
      <c r="D47" s="316">
        <v>5412.01</v>
      </c>
      <c r="E47" s="316">
        <v>-72694</v>
      </c>
      <c r="F47" s="316">
        <f>-5412</f>
        <v>-5412</v>
      </c>
      <c r="G47" s="316">
        <v>-0.03</v>
      </c>
      <c r="H47" s="316">
        <v>-0.01</v>
      </c>
      <c r="I47" s="316">
        <v>0.01</v>
      </c>
      <c r="J47" s="317">
        <v>0</v>
      </c>
      <c r="K47" s="317">
        <v>0</v>
      </c>
      <c r="L47" s="317">
        <v>0</v>
      </c>
      <c r="M47" s="317">
        <v>0</v>
      </c>
      <c r="N47" s="317">
        <v>0</v>
      </c>
      <c r="O47" s="317">
        <v>0</v>
      </c>
      <c r="P47" s="317">
        <v>0</v>
      </c>
      <c r="Q47" s="317">
        <v>0</v>
      </c>
      <c r="R47" s="317">
        <v>0</v>
      </c>
      <c r="S47" s="317">
        <v>0</v>
      </c>
      <c r="T47" s="317">
        <v>0</v>
      </c>
      <c r="U47" s="317">
        <v>0</v>
      </c>
      <c r="V47" s="317">
        <v>0</v>
      </c>
      <c r="W47" s="315">
        <f>SUM(B47:V47)</f>
        <v>-17648.239999999998</v>
      </c>
    </row>
    <row r="48" spans="2:23" ht="11.25">
      <c r="B48" s="319"/>
      <c r="C48" s="320"/>
      <c r="D48" s="320"/>
      <c r="E48" s="320"/>
      <c r="F48" s="320"/>
      <c r="G48" s="320"/>
      <c r="H48" s="320"/>
      <c r="I48" s="320"/>
      <c r="J48" s="321"/>
      <c r="K48" s="321"/>
      <c r="L48" s="321"/>
      <c r="M48" s="321"/>
      <c r="N48" s="321"/>
      <c r="O48" s="321"/>
      <c r="P48" s="321"/>
      <c r="Q48" s="321"/>
      <c r="R48" s="321"/>
      <c r="S48" s="321"/>
      <c r="T48" s="321"/>
      <c r="U48" s="321"/>
      <c r="V48" s="321"/>
      <c r="W48" s="319" t="s">
        <v>52</v>
      </c>
    </row>
    <row r="49" spans="1:23" ht="11.25">
      <c r="A49" s="159" t="s">
        <v>434</v>
      </c>
      <c r="B49" s="337">
        <f>SUM(B43:B47)</f>
        <v>1581790.6700000002</v>
      </c>
      <c r="C49" s="338">
        <f aca="true" t="shared" si="6" ref="C49:W49">SUM(C43:C47)</f>
        <v>5995019.52</v>
      </c>
      <c r="D49" s="338">
        <f>SUM(D43:D47)</f>
        <v>4151594.2199999997</v>
      </c>
      <c r="E49" s="338">
        <f>SUM(E43:E47)</f>
        <v>-58599.58</v>
      </c>
      <c r="F49" s="338">
        <f t="shared" si="6"/>
        <v>-76.05000000000018</v>
      </c>
      <c r="G49" s="338">
        <f t="shared" si="6"/>
        <v>7356426.31</v>
      </c>
      <c r="H49" s="338">
        <f t="shared" si="6"/>
        <v>3042771.52</v>
      </c>
      <c r="I49" s="338">
        <f>SUM(I43:I47)</f>
        <v>653631.35</v>
      </c>
      <c r="J49" s="339">
        <f t="shared" si="6"/>
        <v>2117361.7</v>
      </c>
      <c r="K49" s="339">
        <f>SUM(K43:K47)</f>
        <v>607079.09</v>
      </c>
      <c r="L49" s="339">
        <f>SUM(L43:L47)</f>
        <v>544382.01</v>
      </c>
      <c r="M49" s="339">
        <f>SUM(M43:M47)</f>
        <v>100863</v>
      </c>
      <c r="N49" s="339">
        <f>SUM(N43:N47)</f>
        <v>2377706.76</v>
      </c>
      <c r="O49" s="339">
        <f t="shared" si="6"/>
        <v>948519.72</v>
      </c>
      <c r="P49" s="339">
        <f t="shared" si="6"/>
        <v>188258.35</v>
      </c>
      <c r="Q49" s="339">
        <f>SUM(Q43:Q47)</f>
        <v>206140.76</v>
      </c>
      <c r="R49" s="339">
        <f t="shared" si="6"/>
        <v>2360718.87</v>
      </c>
      <c r="S49" s="339">
        <f t="shared" si="6"/>
        <v>558725.32</v>
      </c>
      <c r="T49" s="339">
        <f>SUM(T43:T47)</f>
        <v>1780219.49</v>
      </c>
      <c r="U49" s="339">
        <f>SUM(U43:U47)</f>
        <v>619862.06</v>
      </c>
      <c r="V49" s="339">
        <f>SUM(V43:V47)</f>
        <v>1960801.64</v>
      </c>
      <c r="W49" s="337">
        <f t="shared" si="6"/>
        <v>37093196.73</v>
      </c>
    </row>
    <row r="50" spans="2:23" ht="11.25">
      <c r="B50" s="315"/>
      <c r="C50" s="316"/>
      <c r="D50" s="316"/>
      <c r="E50" s="316"/>
      <c r="F50" s="316"/>
      <c r="G50" s="316"/>
      <c r="H50" s="316"/>
      <c r="I50" s="316"/>
      <c r="J50" s="317"/>
      <c r="K50" s="317"/>
      <c r="L50" s="317"/>
      <c r="M50" s="317"/>
      <c r="N50" s="317"/>
      <c r="O50" s="317"/>
      <c r="P50" s="317"/>
      <c r="Q50" s="317"/>
      <c r="R50" s="317"/>
      <c r="S50" s="317"/>
      <c r="T50" s="317"/>
      <c r="U50" s="317"/>
      <c r="V50" s="317"/>
      <c r="W50" s="315"/>
    </row>
    <row r="51" spans="1:23" ht="11.25">
      <c r="A51" s="159" t="s">
        <v>50</v>
      </c>
      <c r="B51" s="315"/>
      <c r="C51" s="316"/>
      <c r="D51" s="316"/>
      <c r="E51" s="316"/>
      <c r="F51" s="316"/>
      <c r="G51" s="316"/>
      <c r="H51" s="316"/>
      <c r="I51" s="316"/>
      <c r="J51" s="317"/>
      <c r="K51" s="317"/>
      <c r="L51" s="317"/>
      <c r="M51" s="317"/>
      <c r="N51" s="317"/>
      <c r="O51" s="317"/>
      <c r="P51" s="317"/>
      <c r="Q51" s="317"/>
      <c r="R51" s="317"/>
      <c r="S51" s="317"/>
      <c r="T51" s="317"/>
      <c r="U51" s="317"/>
      <c r="V51" s="317"/>
      <c r="W51" s="315"/>
    </row>
    <row r="52" spans="1:23" ht="11.25">
      <c r="A52" s="322" t="s">
        <v>204</v>
      </c>
      <c r="B52" s="315">
        <f>500134.13</f>
        <v>500134.13</v>
      </c>
      <c r="C52" s="316"/>
      <c r="D52" s="316"/>
      <c r="E52" s="316"/>
      <c r="F52" s="316"/>
      <c r="G52" s="316"/>
      <c r="H52" s="316"/>
      <c r="I52" s="316"/>
      <c r="J52" s="317"/>
      <c r="K52" s="317"/>
      <c r="L52" s="317"/>
      <c r="M52" s="317"/>
      <c r="N52" s="317"/>
      <c r="O52" s="317"/>
      <c r="P52" s="317"/>
      <c r="Q52" s="317"/>
      <c r="R52" s="317"/>
      <c r="S52" s="317"/>
      <c r="T52" s="317"/>
      <c r="U52" s="317"/>
      <c r="V52" s="317"/>
      <c r="W52" s="315">
        <f>SUM(B52:V52)</f>
        <v>500134.13</v>
      </c>
    </row>
    <row r="53" spans="1:23" ht="11.25">
      <c r="A53" s="318" t="s">
        <v>189</v>
      </c>
      <c r="B53" s="315">
        <v>77526.46</v>
      </c>
      <c r="C53" s="316">
        <v>510314</v>
      </c>
      <c r="D53" s="316">
        <v>290120.59</v>
      </c>
      <c r="E53" s="316">
        <v>0</v>
      </c>
      <c r="F53" s="316">
        <v>0</v>
      </c>
      <c r="G53" s="316">
        <v>489123.27</v>
      </c>
      <c r="H53" s="316">
        <v>178372</v>
      </c>
      <c r="I53" s="316">
        <v>56986</v>
      </c>
      <c r="J53" s="317">
        <v>140639.45</v>
      </c>
      <c r="K53" s="317">
        <v>38542.92</v>
      </c>
      <c r="L53" s="317">
        <v>42493</v>
      </c>
      <c r="M53" s="317">
        <v>9946</v>
      </c>
      <c r="N53" s="317">
        <v>207844</v>
      </c>
      <c r="O53" s="317">
        <v>88831</v>
      </c>
      <c r="P53" s="317">
        <v>13535</v>
      </c>
      <c r="Q53" s="317">
        <v>17119.05</v>
      </c>
      <c r="R53" s="317">
        <f>156257.64+327</f>
        <v>156584.64</v>
      </c>
      <c r="S53" s="317">
        <v>33582</v>
      </c>
      <c r="T53" s="317">
        <f>105134+178</f>
        <v>105312</v>
      </c>
      <c r="U53" s="317">
        <v>60790</v>
      </c>
      <c r="V53" s="317">
        <v>151161</v>
      </c>
      <c r="W53" s="315">
        <f>SUM(B53:V53)</f>
        <v>2668822.38</v>
      </c>
    </row>
    <row r="54" spans="1:23" ht="11.25">
      <c r="A54" s="318" t="s">
        <v>187</v>
      </c>
      <c r="B54" s="315"/>
      <c r="C54" s="316">
        <v>772132</v>
      </c>
      <c r="D54" s="316">
        <v>346980.72</v>
      </c>
      <c r="E54" s="316"/>
      <c r="F54" s="316">
        <v>0</v>
      </c>
      <c r="G54" s="316">
        <v>896819</v>
      </c>
      <c r="H54" s="316">
        <v>262193</v>
      </c>
      <c r="I54" s="316">
        <v>63214.35</v>
      </c>
      <c r="J54" s="317">
        <v>245506.7</v>
      </c>
      <c r="K54" s="317">
        <v>39529.34</v>
      </c>
      <c r="L54" s="317">
        <v>58436</v>
      </c>
      <c r="M54" s="317">
        <v>6808</v>
      </c>
      <c r="N54" s="317">
        <v>315294</v>
      </c>
      <c r="O54" s="317">
        <v>95927</v>
      </c>
      <c r="P54" s="317">
        <v>17029</v>
      </c>
      <c r="Q54" s="317">
        <v>17235.65</v>
      </c>
      <c r="R54" s="317">
        <f>295405.09+2962</f>
        <v>298367.09</v>
      </c>
      <c r="S54" s="317">
        <v>76357</v>
      </c>
      <c r="T54" s="317">
        <f>157238+1606</f>
        <v>158844</v>
      </c>
      <c r="U54" s="317">
        <v>91499</v>
      </c>
      <c r="V54" s="317">
        <v>240244</v>
      </c>
      <c r="W54" s="315">
        <f>SUM(B54:V54)</f>
        <v>4002415.8499999996</v>
      </c>
    </row>
    <row r="55" spans="1:23" ht="11.25">
      <c r="A55" s="318" t="s">
        <v>188</v>
      </c>
      <c r="B55" s="315">
        <v>0</v>
      </c>
      <c r="C55" s="316">
        <v>4118607</v>
      </c>
      <c r="D55" s="316">
        <v>2626813</v>
      </c>
      <c r="E55" s="316">
        <v>0</v>
      </c>
      <c r="F55" s="316">
        <v>0</v>
      </c>
      <c r="G55" s="316">
        <v>4537493</v>
      </c>
      <c r="H55" s="316">
        <v>2509314</v>
      </c>
      <c r="I55" s="316">
        <v>476420</v>
      </c>
      <c r="J55" s="317">
        <v>1499921</v>
      </c>
      <c r="K55" s="317">
        <v>518203</v>
      </c>
      <c r="L55" s="317">
        <v>376337</v>
      </c>
      <c r="M55" s="317">
        <v>80661</v>
      </c>
      <c r="N55" s="317">
        <v>1610832</v>
      </c>
      <c r="O55" s="317">
        <v>636994</v>
      </c>
      <c r="P55" s="317">
        <v>144045</v>
      </c>
      <c r="Q55" s="317">
        <v>152989</v>
      </c>
      <c r="R55" s="317">
        <v>1484268</v>
      </c>
      <c r="S55" s="317">
        <v>397571</v>
      </c>
      <c r="T55" s="317">
        <f>1397135</f>
        <v>1397135</v>
      </c>
      <c r="U55" s="317">
        <v>363861.16</v>
      </c>
      <c r="V55" s="317">
        <v>1382504.68</v>
      </c>
      <c r="W55" s="315">
        <f>SUM(B55:V55)</f>
        <v>24313968.84</v>
      </c>
    </row>
    <row r="56" spans="1:23" ht="11.25">
      <c r="A56" s="162" t="s">
        <v>52</v>
      </c>
      <c r="B56" s="319"/>
      <c r="C56" s="320"/>
      <c r="D56" s="320"/>
      <c r="E56" s="320"/>
      <c r="F56" s="320"/>
      <c r="G56" s="320"/>
      <c r="H56" s="320"/>
      <c r="I56" s="320"/>
      <c r="J56" s="321"/>
      <c r="K56" s="321"/>
      <c r="L56" s="321"/>
      <c r="M56" s="321"/>
      <c r="N56" s="321"/>
      <c r="O56" s="321"/>
      <c r="P56" s="321"/>
      <c r="Q56" s="321"/>
      <c r="R56" s="321"/>
      <c r="S56" s="321"/>
      <c r="T56" s="321"/>
      <c r="U56" s="321"/>
      <c r="V56" s="321"/>
      <c r="W56" s="319"/>
    </row>
    <row r="57" spans="1:23" ht="11.25">
      <c r="A57" s="159" t="s">
        <v>6</v>
      </c>
      <c r="B57" s="315">
        <f>SUM(B52:B56)</f>
        <v>577660.59</v>
      </c>
      <c r="C57" s="316">
        <f aca="true" t="shared" si="7" ref="C57:S57">SUM(C53:C56)</f>
        <v>5401053</v>
      </c>
      <c r="D57" s="316">
        <f>SUM(D53:D56)</f>
        <v>3263914.31</v>
      </c>
      <c r="E57" s="316">
        <f>SUM(E53:E56)</f>
        <v>0</v>
      </c>
      <c r="F57" s="316">
        <f t="shared" si="7"/>
        <v>0</v>
      </c>
      <c r="G57" s="316">
        <f t="shared" si="7"/>
        <v>5923435.27</v>
      </c>
      <c r="H57" s="316">
        <f t="shared" si="7"/>
        <v>2949879</v>
      </c>
      <c r="I57" s="316">
        <f>SUM(I53:I56)</f>
        <v>596620.35</v>
      </c>
      <c r="J57" s="317">
        <f t="shared" si="7"/>
        <v>1886067.15</v>
      </c>
      <c r="K57" s="317">
        <f>SUM(K53:K56)</f>
        <v>596275.26</v>
      </c>
      <c r="L57" s="317">
        <f>SUM(L53:L56)</f>
        <v>477266</v>
      </c>
      <c r="M57" s="317">
        <f>SUM(M53:M56)</f>
        <v>97415</v>
      </c>
      <c r="N57" s="317">
        <f>SUM(N53:N56)</f>
        <v>2133970</v>
      </c>
      <c r="O57" s="317">
        <f t="shared" si="7"/>
        <v>821752</v>
      </c>
      <c r="P57" s="317">
        <f t="shared" si="7"/>
        <v>174609</v>
      </c>
      <c r="Q57" s="317">
        <f>SUM(Q53:Q56)</f>
        <v>187343.7</v>
      </c>
      <c r="R57" s="317">
        <f t="shared" si="7"/>
        <v>1939219.73</v>
      </c>
      <c r="S57" s="317">
        <f t="shared" si="7"/>
        <v>507510</v>
      </c>
      <c r="T57" s="317">
        <f>SUM(T53:T56)</f>
        <v>1661291</v>
      </c>
      <c r="U57" s="317">
        <f>SUM(U53:U56)</f>
        <v>516150.16</v>
      </c>
      <c r="V57" s="317">
        <f>SUM(V53:V56)</f>
        <v>1773909.68</v>
      </c>
      <c r="W57" s="315">
        <f>SUM(B57:V57)</f>
        <v>31485341.200000003</v>
      </c>
    </row>
    <row r="58" spans="1:23" ht="11.25">
      <c r="A58" s="167"/>
      <c r="B58" s="315"/>
      <c r="C58" s="316"/>
      <c r="D58" s="316"/>
      <c r="E58" s="316"/>
      <c r="F58" s="316"/>
      <c r="G58" s="316"/>
      <c r="H58" s="316"/>
      <c r="I58" s="316"/>
      <c r="J58" s="317"/>
      <c r="K58" s="317"/>
      <c r="L58" s="317"/>
      <c r="M58" s="317"/>
      <c r="N58" s="317"/>
      <c r="O58" s="317"/>
      <c r="P58" s="317"/>
      <c r="Q58" s="317"/>
      <c r="R58" s="317"/>
      <c r="S58" s="317"/>
      <c r="T58" s="317"/>
      <c r="U58" s="317"/>
      <c r="V58" s="317"/>
      <c r="W58" s="315"/>
    </row>
    <row r="59" spans="1:23" ht="11.25">
      <c r="A59" s="167"/>
      <c r="B59" s="319"/>
      <c r="C59" s="320"/>
      <c r="D59" s="320"/>
      <c r="E59" s="320"/>
      <c r="F59" s="320"/>
      <c r="G59" s="320"/>
      <c r="H59" s="320"/>
      <c r="I59" s="320"/>
      <c r="J59" s="321"/>
      <c r="K59" s="321"/>
      <c r="L59" s="321"/>
      <c r="M59" s="321"/>
      <c r="N59" s="321"/>
      <c r="O59" s="321"/>
      <c r="P59" s="321"/>
      <c r="Q59" s="321"/>
      <c r="R59" s="321"/>
      <c r="S59" s="321"/>
      <c r="T59" s="321"/>
      <c r="U59" s="321"/>
      <c r="V59" s="321"/>
      <c r="W59" s="319"/>
    </row>
    <row r="60" spans="1:23" ht="12" thickBot="1">
      <c r="A60" s="159" t="s">
        <v>404</v>
      </c>
      <c r="B60" s="323">
        <f>B40+B49-B57</f>
        <v>1064427.6700000004</v>
      </c>
      <c r="C60" s="324">
        <f aca="true" t="shared" si="8" ref="C60:S60">C40+C49-C57</f>
        <v>469413.71999999974</v>
      </c>
      <c r="D60" s="324">
        <f>D40+D49-D57</f>
        <v>559974.9999999995</v>
      </c>
      <c r="E60" s="324">
        <f>E40+E49-E57</f>
        <v>85134.09999999999</v>
      </c>
      <c r="F60" s="324">
        <f t="shared" si="8"/>
        <v>5332.83</v>
      </c>
      <c r="G60" s="324">
        <f t="shared" si="8"/>
        <v>2141476.76</v>
      </c>
      <c r="H60" s="324">
        <f t="shared" si="8"/>
        <v>203184.5299999998</v>
      </c>
      <c r="I60" s="324">
        <f>I40+I49-I57</f>
        <v>298848.07999999996</v>
      </c>
      <c r="J60" s="325">
        <f t="shared" si="8"/>
        <v>127262.69000000018</v>
      </c>
      <c r="K60" s="325">
        <f>K40+K49-K57</f>
        <v>-33025.71000000008</v>
      </c>
      <c r="L60" s="325">
        <f>L40+L49-L57</f>
        <v>100438.90000000002</v>
      </c>
      <c r="M60" s="325">
        <f>M40+M49-M57</f>
        <v>-3879.199999999997</v>
      </c>
      <c r="N60" s="325">
        <f>N40+N49-N57</f>
        <v>579074.0799999996</v>
      </c>
      <c r="O60" s="325">
        <f t="shared" si="8"/>
        <v>187981.14</v>
      </c>
      <c r="P60" s="325">
        <f t="shared" si="8"/>
        <v>-24107.97</v>
      </c>
      <c r="Q60" s="325">
        <f>Q40+Q49-Q57</f>
        <v>-39744.19</v>
      </c>
      <c r="R60" s="325">
        <f t="shared" si="8"/>
        <v>301731.63000000035</v>
      </c>
      <c r="S60" s="325">
        <f t="shared" si="8"/>
        <v>68418.13</v>
      </c>
      <c r="T60" s="325">
        <f>T40+T49-T57</f>
        <v>394327.6200000001</v>
      </c>
      <c r="U60" s="325">
        <f>U40+U49-U57</f>
        <v>130732.95000000013</v>
      </c>
      <c r="V60" s="325">
        <f>V40+V49-V57</f>
        <v>126243.78000000003</v>
      </c>
      <c r="W60" s="323">
        <f>SUM(B60:V60)</f>
        <v>6743246.539999999</v>
      </c>
    </row>
    <row r="61" spans="2:23" ht="12" thickTop="1">
      <c r="B61" s="315"/>
      <c r="C61" s="316"/>
      <c r="D61" s="316"/>
      <c r="E61" s="316"/>
      <c r="F61" s="316"/>
      <c r="G61" s="316"/>
      <c r="H61" s="316"/>
      <c r="I61" s="316"/>
      <c r="J61" s="317"/>
      <c r="K61" s="317"/>
      <c r="L61" s="317"/>
      <c r="M61" s="317"/>
      <c r="N61" s="317"/>
      <c r="O61" s="317"/>
      <c r="P61" s="317"/>
      <c r="Q61" s="317"/>
      <c r="R61" s="317"/>
      <c r="S61" s="317"/>
      <c r="T61" s="317"/>
      <c r="U61" s="317"/>
      <c r="V61" s="317"/>
      <c r="W61" s="315"/>
    </row>
    <row r="62" spans="1:23" ht="11.25">
      <c r="A62" s="322" t="s">
        <v>438</v>
      </c>
      <c r="B62" s="315">
        <v>11699.54</v>
      </c>
      <c r="C62" s="316">
        <v>79852</v>
      </c>
      <c r="D62" s="316">
        <v>821636.6900000001</v>
      </c>
      <c r="E62" s="316">
        <v>6072</v>
      </c>
      <c r="F62" s="316">
        <v>930</v>
      </c>
      <c r="G62" s="316">
        <v>1256206.73</v>
      </c>
      <c r="H62" s="316">
        <v>183305</v>
      </c>
      <c r="I62" s="316">
        <v>11571.65</v>
      </c>
      <c r="J62" s="317">
        <v>97182.85</v>
      </c>
      <c r="K62" s="317">
        <v>97759.42</v>
      </c>
      <c r="L62" s="317">
        <v>69678</v>
      </c>
      <c r="M62" s="317">
        <v>474</v>
      </c>
      <c r="N62" s="317">
        <v>196019</v>
      </c>
      <c r="O62" s="317">
        <v>158287.77</v>
      </c>
      <c r="P62" s="317">
        <v>13995</v>
      </c>
      <c r="Q62" s="317">
        <v>7261.889999999999</v>
      </c>
      <c r="R62" s="317">
        <v>452445.27</v>
      </c>
      <c r="S62" s="317">
        <v>67511</v>
      </c>
      <c r="T62" s="317">
        <v>89922</v>
      </c>
      <c r="U62" s="317">
        <v>140555</v>
      </c>
      <c r="V62" s="317">
        <v>146852.32</v>
      </c>
      <c r="W62" s="315">
        <v>3909217.1300000004</v>
      </c>
    </row>
    <row r="63" spans="1:23" ht="11.25">
      <c r="A63" s="168"/>
      <c r="B63" s="319"/>
      <c r="C63" s="320"/>
      <c r="D63" s="320"/>
      <c r="E63" s="320"/>
      <c r="F63" s="320"/>
      <c r="G63" s="320"/>
      <c r="H63" s="320"/>
      <c r="I63" s="320"/>
      <c r="J63" s="321"/>
      <c r="K63" s="321"/>
      <c r="L63" s="321"/>
      <c r="M63" s="321"/>
      <c r="N63" s="321"/>
      <c r="O63" s="321"/>
      <c r="P63" s="321"/>
      <c r="Q63" s="321"/>
      <c r="R63" s="321"/>
      <c r="S63" s="321"/>
      <c r="T63" s="321"/>
      <c r="U63" s="321"/>
      <c r="V63" s="321"/>
      <c r="W63" s="319"/>
    </row>
    <row r="64" spans="1:23" ht="12" thickBot="1">
      <c r="A64" s="159" t="s">
        <v>439</v>
      </c>
      <c r="B64" s="323">
        <f aca="true" t="shared" si="9" ref="B64:S64">B60-B62</f>
        <v>1052728.1300000004</v>
      </c>
      <c r="C64" s="324">
        <f t="shared" si="9"/>
        <v>389561.71999999974</v>
      </c>
      <c r="D64" s="324">
        <f>D60-D62</f>
        <v>-261661.69000000053</v>
      </c>
      <c r="E64" s="324">
        <f>E60-E62</f>
        <v>79062.09999999999</v>
      </c>
      <c r="F64" s="324">
        <f t="shared" si="9"/>
        <v>4402.83</v>
      </c>
      <c r="G64" s="324">
        <f t="shared" si="9"/>
        <v>885270.0299999998</v>
      </c>
      <c r="H64" s="324">
        <f t="shared" si="9"/>
        <v>19879.529999999795</v>
      </c>
      <c r="I64" s="324">
        <f>I60-I62</f>
        <v>287276.42999999993</v>
      </c>
      <c r="J64" s="325">
        <f t="shared" si="9"/>
        <v>30079.84000000017</v>
      </c>
      <c r="K64" s="325">
        <f>K60-K62</f>
        <v>-130785.13000000008</v>
      </c>
      <c r="L64" s="325">
        <f>L60-L62</f>
        <v>30760.900000000023</v>
      </c>
      <c r="M64" s="325">
        <f>M60-M62</f>
        <v>-4353.199999999997</v>
      </c>
      <c r="N64" s="325">
        <f>N60-N62</f>
        <v>383055.0799999996</v>
      </c>
      <c r="O64" s="325">
        <f t="shared" si="9"/>
        <v>29693.370000000024</v>
      </c>
      <c r="P64" s="325">
        <f t="shared" si="9"/>
        <v>-38102.97</v>
      </c>
      <c r="Q64" s="325">
        <f>Q60-Q62</f>
        <v>-47006.08</v>
      </c>
      <c r="R64" s="325">
        <f t="shared" si="9"/>
        <v>-150713.63999999966</v>
      </c>
      <c r="S64" s="325">
        <f t="shared" si="9"/>
        <v>907.1300000000047</v>
      </c>
      <c r="T64" s="325">
        <f>T60-T62</f>
        <v>304405.6200000001</v>
      </c>
      <c r="U64" s="325">
        <f>U60-U62</f>
        <v>-9822.049999999872</v>
      </c>
      <c r="V64" s="325">
        <f>V60-V62</f>
        <v>-20608.53999999998</v>
      </c>
      <c r="W64" s="323">
        <f>SUM(B64:V64)</f>
        <v>2834029.409999999</v>
      </c>
    </row>
    <row r="65" spans="2:23" ht="12" thickTop="1">
      <c r="B65" s="315"/>
      <c r="C65" s="326"/>
      <c r="D65" s="326"/>
      <c r="E65" s="326"/>
      <c r="F65" s="326"/>
      <c r="G65" s="326"/>
      <c r="H65" s="326"/>
      <c r="I65" s="326"/>
      <c r="J65" s="326"/>
      <c r="K65" s="326"/>
      <c r="L65" s="326"/>
      <c r="M65" s="326"/>
      <c r="N65" s="326"/>
      <c r="O65" s="326"/>
      <c r="P65" s="326"/>
      <c r="Q65" s="326"/>
      <c r="R65" s="326"/>
      <c r="S65" s="326"/>
      <c r="T65" s="326"/>
      <c r="U65" s="326"/>
      <c r="V65" s="326"/>
      <c r="W65" s="315"/>
    </row>
    <row r="66" spans="2:23" ht="11.25">
      <c r="B66" s="315"/>
      <c r="C66" s="417" t="s">
        <v>190</v>
      </c>
      <c r="D66" s="417"/>
      <c r="E66" s="417"/>
      <c r="F66" s="417"/>
      <c r="G66" s="417"/>
      <c r="H66" s="417"/>
      <c r="I66" s="417"/>
      <c r="J66" s="417" t="s">
        <v>424</v>
      </c>
      <c r="K66" s="417"/>
      <c r="L66" s="417"/>
      <c r="M66" s="417"/>
      <c r="N66" s="417"/>
      <c r="O66" s="417"/>
      <c r="P66" s="417"/>
      <c r="Q66" s="417"/>
      <c r="R66" s="417"/>
      <c r="S66" s="417"/>
      <c r="T66" s="417"/>
      <c r="U66" s="417"/>
      <c r="V66" s="417"/>
      <c r="W66" s="315"/>
    </row>
    <row r="67" spans="1:23" ht="11.25">
      <c r="A67" s="306"/>
      <c r="B67" s="327" t="s">
        <v>11</v>
      </c>
      <c r="C67" s="328" t="s">
        <v>34</v>
      </c>
      <c r="D67" s="328" t="s">
        <v>35</v>
      </c>
      <c r="E67" s="328" t="s">
        <v>25</v>
      </c>
      <c r="F67" s="328" t="s">
        <v>28</v>
      </c>
      <c r="G67" s="328" t="s">
        <v>29</v>
      </c>
      <c r="H67" s="328" t="s">
        <v>30</v>
      </c>
      <c r="I67" s="328" t="s">
        <v>36</v>
      </c>
      <c r="J67" s="329" t="s">
        <v>23</v>
      </c>
      <c r="K67" s="329" t="s">
        <v>24</v>
      </c>
      <c r="L67" s="329" t="s">
        <v>25</v>
      </c>
      <c r="M67" s="329" t="s">
        <v>26</v>
      </c>
      <c r="N67" s="329" t="s">
        <v>27</v>
      </c>
      <c r="O67" s="329" t="s">
        <v>165</v>
      </c>
      <c r="P67" s="329" t="s">
        <v>37</v>
      </c>
      <c r="Q67" s="329" t="s">
        <v>28</v>
      </c>
      <c r="R67" s="329" t="s">
        <v>29</v>
      </c>
      <c r="S67" s="329" t="s">
        <v>30</v>
      </c>
      <c r="T67" s="329" t="s">
        <v>31</v>
      </c>
      <c r="U67" s="329" t="s">
        <v>32</v>
      </c>
      <c r="V67" s="329" t="s">
        <v>33</v>
      </c>
      <c r="W67" s="315"/>
    </row>
    <row r="68" spans="2:23" ht="11.25">
      <c r="B68" s="327" t="s">
        <v>44</v>
      </c>
      <c r="C68" s="330" t="s">
        <v>282</v>
      </c>
      <c r="D68" s="330" t="s">
        <v>280</v>
      </c>
      <c r="E68" s="330" t="s">
        <v>281</v>
      </c>
      <c r="F68" s="330" t="s">
        <v>284</v>
      </c>
      <c r="G68" s="330" t="s">
        <v>285</v>
      </c>
      <c r="H68" s="330" t="s">
        <v>286</v>
      </c>
      <c r="I68" s="330" t="s">
        <v>283</v>
      </c>
      <c r="J68" s="331" t="s">
        <v>291</v>
      </c>
      <c r="K68" s="331" t="s">
        <v>304</v>
      </c>
      <c r="L68" s="331" t="s">
        <v>299</v>
      </c>
      <c r="M68" s="331" t="s">
        <v>301</v>
      </c>
      <c r="N68" s="331" t="s">
        <v>297</v>
      </c>
      <c r="O68" s="331" t="s">
        <v>294</v>
      </c>
      <c r="P68" s="331" t="s">
        <v>296</v>
      </c>
      <c r="Q68" s="331" t="s">
        <v>302</v>
      </c>
      <c r="R68" s="331" t="s">
        <v>285</v>
      </c>
      <c r="S68" s="331" t="s">
        <v>286</v>
      </c>
      <c r="T68" s="331" t="s">
        <v>292</v>
      </c>
      <c r="U68" s="331" t="s">
        <v>288</v>
      </c>
      <c r="V68" s="331" t="s">
        <v>289</v>
      </c>
      <c r="W68" s="327" t="s">
        <v>3</v>
      </c>
    </row>
    <row r="69" spans="2:23" ht="11.25">
      <c r="B69" s="332" t="s">
        <v>52</v>
      </c>
      <c r="C69" s="333" t="s">
        <v>52</v>
      </c>
      <c r="D69" s="333" t="s">
        <v>52</v>
      </c>
      <c r="E69" s="333" t="s">
        <v>52</v>
      </c>
      <c r="F69" s="333" t="s">
        <v>52</v>
      </c>
      <c r="G69" s="333" t="s">
        <v>52</v>
      </c>
      <c r="H69" s="334" t="s">
        <v>287</v>
      </c>
      <c r="I69" s="333" t="s">
        <v>52</v>
      </c>
      <c r="J69" s="335" t="s">
        <v>52</v>
      </c>
      <c r="K69" s="336" t="s">
        <v>305</v>
      </c>
      <c r="L69" s="336" t="s">
        <v>300</v>
      </c>
      <c r="M69" s="335" t="s">
        <v>52</v>
      </c>
      <c r="N69" s="336" t="s">
        <v>298</v>
      </c>
      <c r="O69" s="336" t="s">
        <v>295</v>
      </c>
      <c r="P69" s="335" t="s">
        <v>52</v>
      </c>
      <c r="Q69" s="336" t="s">
        <v>303</v>
      </c>
      <c r="R69" s="335" t="s">
        <v>52</v>
      </c>
      <c r="S69" s="336" t="s">
        <v>287</v>
      </c>
      <c r="T69" s="336" t="s">
        <v>293</v>
      </c>
      <c r="U69" s="335" t="s">
        <v>52</v>
      </c>
      <c r="V69" s="336" t="s">
        <v>290</v>
      </c>
      <c r="W69" s="319"/>
    </row>
    <row r="70" spans="1:23" ht="11.25">
      <c r="A70" s="160" t="s">
        <v>398</v>
      </c>
      <c r="B70" s="315">
        <f>2767.04+1061670.89-10.26</f>
        <v>1064427.67</v>
      </c>
      <c r="C70" s="316">
        <v>469413.72</v>
      </c>
      <c r="D70" s="316">
        <v>559975</v>
      </c>
      <c r="E70" s="316">
        <v>85134.1</v>
      </c>
      <c r="F70" s="316">
        <v>5332.83</v>
      </c>
      <c r="G70" s="316">
        <v>2141476.76</v>
      </c>
      <c r="H70" s="316">
        <v>203184.53</v>
      </c>
      <c r="I70" s="316">
        <v>298848.08</v>
      </c>
      <c r="J70" s="317">
        <v>127262.69</v>
      </c>
      <c r="K70" s="317">
        <v>-33025.71</v>
      </c>
      <c r="L70" s="317">
        <v>100438.9</v>
      </c>
      <c r="M70" s="317">
        <v>-3879.2</v>
      </c>
      <c r="N70" s="317">
        <v>579074.08</v>
      </c>
      <c r="O70" s="317">
        <v>187981.14</v>
      </c>
      <c r="P70" s="317">
        <v>-24107.97</v>
      </c>
      <c r="Q70" s="317">
        <v>-39744.19</v>
      </c>
      <c r="R70" s="317">
        <v>301731.63</v>
      </c>
      <c r="S70" s="317">
        <v>68418.13</v>
      </c>
      <c r="T70" s="317">
        <v>394327.62</v>
      </c>
      <c r="U70" s="317">
        <v>130732.95</v>
      </c>
      <c r="V70" s="317">
        <v>126243.78</v>
      </c>
      <c r="W70" s="315">
        <f>SUM(B70:V70)</f>
        <v>6743246.540000001</v>
      </c>
    </row>
    <row r="71" spans="2:23" ht="11.25">
      <c r="B71" s="315"/>
      <c r="C71" s="316"/>
      <c r="D71" s="316"/>
      <c r="E71" s="316"/>
      <c r="F71" s="316"/>
      <c r="G71" s="316"/>
      <c r="H71" s="316"/>
      <c r="I71" s="316"/>
      <c r="J71" s="317"/>
      <c r="K71" s="317"/>
      <c r="L71" s="317"/>
      <c r="M71" s="317"/>
      <c r="N71" s="317"/>
      <c r="O71" s="317"/>
      <c r="P71" s="317"/>
      <c r="Q71" s="317"/>
      <c r="R71" s="317"/>
      <c r="S71" s="317"/>
      <c r="T71" s="317"/>
      <c r="U71" s="317"/>
      <c r="V71" s="317"/>
      <c r="W71" s="315"/>
    </row>
    <row r="72" spans="1:23" ht="11.25">
      <c r="A72" s="159" t="s">
        <v>277</v>
      </c>
      <c r="B72" s="315"/>
      <c r="C72" s="316"/>
      <c r="D72" s="316"/>
      <c r="E72" s="316"/>
      <c r="F72" s="316"/>
      <c r="G72" s="316"/>
      <c r="H72" s="316"/>
      <c r="I72" s="316"/>
      <c r="J72" s="317"/>
      <c r="K72" s="317"/>
      <c r="L72" s="317"/>
      <c r="M72" s="317"/>
      <c r="N72" s="317"/>
      <c r="O72" s="317"/>
      <c r="P72" s="317"/>
      <c r="Q72" s="317"/>
      <c r="R72" s="317"/>
      <c r="S72" s="317"/>
      <c r="T72" s="317"/>
      <c r="U72" s="317"/>
      <c r="V72" s="317"/>
      <c r="W72" s="315"/>
    </row>
    <row r="73" spans="1:23" ht="11.25">
      <c r="A73" s="318" t="s">
        <v>190</v>
      </c>
      <c r="B73" s="315">
        <v>702467.3</v>
      </c>
      <c r="C73" s="316">
        <v>6402525.29</v>
      </c>
      <c r="D73" s="316">
        <v>4468887.5</v>
      </c>
      <c r="E73" s="316">
        <v>13993.97</v>
      </c>
      <c r="F73" s="316">
        <v>4190.25</v>
      </c>
      <c r="G73" s="316">
        <v>7882208.5</v>
      </c>
      <c r="H73" s="316">
        <v>3233635.8</v>
      </c>
      <c r="I73" s="316">
        <v>707666.31</v>
      </c>
      <c r="J73" s="317"/>
      <c r="K73" s="317"/>
      <c r="L73" s="317"/>
      <c r="M73" s="317"/>
      <c r="N73" s="317"/>
      <c r="O73" s="317"/>
      <c r="P73" s="317"/>
      <c r="Q73" s="317"/>
      <c r="R73" s="317"/>
      <c r="S73" s="317"/>
      <c r="T73" s="317"/>
      <c r="U73" s="317"/>
      <c r="V73" s="317"/>
      <c r="W73" s="315">
        <f>SUM(B73:V73)</f>
        <v>23415574.92</v>
      </c>
    </row>
    <row r="74" spans="1:23" ht="11.25">
      <c r="A74" s="318" t="s">
        <v>424</v>
      </c>
      <c r="B74" s="315">
        <v>476387.79</v>
      </c>
      <c r="C74" s="316"/>
      <c r="D74" s="316">
        <v>0</v>
      </c>
      <c r="E74" s="316"/>
      <c r="F74" s="316"/>
      <c r="G74" s="316"/>
      <c r="H74" s="316"/>
      <c r="I74" s="316"/>
      <c r="J74" s="317">
        <v>2298522.87</v>
      </c>
      <c r="K74" s="317">
        <v>654569.04</v>
      </c>
      <c r="L74" s="317">
        <v>580496.34</v>
      </c>
      <c r="M74" s="317">
        <v>109079.18</v>
      </c>
      <c r="N74" s="317">
        <v>2538911.32</v>
      </c>
      <c r="O74" s="317">
        <v>992063.32</v>
      </c>
      <c r="P74" s="317">
        <v>202381.61</v>
      </c>
      <c r="Q74" s="317">
        <v>223349.8</v>
      </c>
      <c r="R74" s="317">
        <v>2503303.81</v>
      </c>
      <c r="S74" s="317">
        <v>606031.73</v>
      </c>
      <c r="T74" s="317">
        <v>1964133.08</v>
      </c>
      <c r="U74" s="317">
        <v>648163.48</v>
      </c>
      <c r="V74" s="317">
        <v>2082202.23</v>
      </c>
      <c r="W74" s="315">
        <f>SUM(B74:V74)</f>
        <v>15879595.600000001</v>
      </c>
    </row>
    <row r="75" spans="1:23" ht="11.25">
      <c r="A75" s="318" t="s">
        <v>279</v>
      </c>
      <c r="B75" s="315">
        <f>94051.98</f>
        <v>94051.98</v>
      </c>
      <c r="C75" s="316"/>
      <c r="D75" s="316"/>
      <c r="E75" s="316"/>
      <c r="F75" s="316"/>
      <c r="G75" s="316"/>
      <c r="H75" s="316"/>
      <c r="I75" s="316"/>
      <c r="J75" s="317"/>
      <c r="K75" s="317"/>
      <c r="L75" s="317"/>
      <c r="M75" s="317"/>
      <c r="N75" s="317"/>
      <c r="O75" s="317"/>
      <c r="P75" s="317"/>
      <c r="Q75" s="317"/>
      <c r="R75" s="317"/>
      <c r="S75" s="317" t="s">
        <v>52</v>
      </c>
      <c r="T75" s="317"/>
      <c r="U75" s="317"/>
      <c r="V75" s="317"/>
      <c r="W75" s="315">
        <f>SUM(B75:V75)</f>
        <v>94051.98</v>
      </c>
    </row>
    <row r="76" spans="1:23" ht="11.25">
      <c r="A76" s="318" t="s">
        <v>440</v>
      </c>
      <c r="B76" s="315">
        <v>-6423.38</v>
      </c>
      <c r="C76" s="316"/>
      <c r="D76" s="316"/>
      <c r="E76" s="316"/>
      <c r="F76" s="316"/>
      <c r="G76" s="316"/>
      <c r="H76" s="316"/>
      <c r="I76" s="316"/>
      <c r="J76" s="317"/>
      <c r="K76" s="317"/>
      <c r="L76" s="317"/>
      <c r="M76" s="317"/>
      <c r="N76" s="317"/>
      <c r="O76" s="317"/>
      <c r="P76" s="317"/>
      <c r="Q76" s="317"/>
      <c r="R76" s="317"/>
      <c r="S76" s="317"/>
      <c r="T76" s="317"/>
      <c r="U76" s="317"/>
      <c r="V76" s="317"/>
      <c r="W76" s="315">
        <f>SUM(B76:V76)</f>
        <v>-6423.38</v>
      </c>
    </row>
    <row r="77" spans="1:23" ht="11.25">
      <c r="A77" s="318" t="s">
        <v>192</v>
      </c>
      <c r="B77" s="315">
        <v>-1255476.15</v>
      </c>
      <c r="C77" s="316">
        <v>216870.93</v>
      </c>
      <c r="D77" s="316">
        <v>676853.16</v>
      </c>
      <c r="E77" s="316">
        <v>-95560.96</v>
      </c>
      <c r="F77" s="316">
        <v>-8133.92</v>
      </c>
      <c r="G77" s="316">
        <v>-122864.22</v>
      </c>
      <c r="H77" s="316">
        <v>302933.6</v>
      </c>
      <c r="I77" s="316">
        <v>-222601.96</v>
      </c>
      <c r="J77" s="317">
        <v>86605.86</v>
      </c>
      <c r="K77" s="317">
        <v>164781.45</v>
      </c>
      <c r="L77" s="317">
        <v>2615.73</v>
      </c>
      <c r="M77" s="317">
        <v>9448.9</v>
      </c>
      <c r="N77" s="317">
        <v>-232068.86</v>
      </c>
      <c r="O77" s="317">
        <v>28128.06</v>
      </c>
      <c r="P77" s="317">
        <v>50790.1</v>
      </c>
      <c r="Q77" s="317">
        <v>61670.82</v>
      </c>
      <c r="R77" s="317">
        <v>310928.3</v>
      </c>
      <c r="S77" s="317">
        <v>28738.31</v>
      </c>
      <c r="T77" s="317">
        <v>-212053.25</v>
      </c>
      <c r="U77" s="317">
        <v>54903.97</v>
      </c>
      <c r="V77" s="317">
        <v>153490.13</v>
      </c>
      <c r="W77" s="315">
        <f>SUM(B77:V77)</f>
        <v>0</v>
      </c>
    </row>
    <row r="78" spans="2:23" ht="11.25">
      <c r="B78" s="319"/>
      <c r="C78" s="320"/>
      <c r="D78" s="320"/>
      <c r="E78" s="320"/>
      <c r="F78" s="320"/>
      <c r="G78" s="320"/>
      <c r="H78" s="320"/>
      <c r="I78" s="320"/>
      <c r="J78" s="321"/>
      <c r="K78" s="321"/>
      <c r="L78" s="321"/>
      <c r="M78" s="321"/>
      <c r="N78" s="321"/>
      <c r="O78" s="321"/>
      <c r="P78" s="321"/>
      <c r="Q78" s="321"/>
      <c r="R78" s="321"/>
      <c r="S78" s="321"/>
      <c r="T78" s="321"/>
      <c r="U78" s="321"/>
      <c r="V78" s="321"/>
      <c r="W78" s="319" t="s">
        <v>52</v>
      </c>
    </row>
    <row r="79" spans="1:23" ht="11.25">
      <c r="A79" s="159" t="s">
        <v>434</v>
      </c>
      <c r="B79" s="337">
        <f>SUM(B73:B77)</f>
        <v>11007.54000000027</v>
      </c>
      <c r="C79" s="338">
        <f aca="true" t="shared" si="10" ref="C79:W79">SUM(C73:C77)</f>
        <v>6619396.22</v>
      </c>
      <c r="D79" s="338">
        <f>SUM(D73:D77)</f>
        <v>5145740.66</v>
      </c>
      <c r="E79" s="338">
        <f>SUM(E73:E77)</f>
        <v>-81566.99</v>
      </c>
      <c r="F79" s="338">
        <f t="shared" si="10"/>
        <v>-3943.67</v>
      </c>
      <c r="G79" s="338">
        <f t="shared" si="10"/>
        <v>7759344.28</v>
      </c>
      <c r="H79" s="338">
        <f t="shared" si="10"/>
        <v>3536569.4</v>
      </c>
      <c r="I79" s="338">
        <f>SUM(I73:I77)</f>
        <v>485064.3500000001</v>
      </c>
      <c r="J79" s="339">
        <f t="shared" si="10"/>
        <v>2385128.73</v>
      </c>
      <c r="K79" s="339">
        <f>SUM(K73:K77)</f>
        <v>819350.49</v>
      </c>
      <c r="L79" s="339">
        <f>SUM(L73:L77)</f>
        <v>583112.07</v>
      </c>
      <c r="M79" s="339">
        <f>SUM(M73:M77)</f>
        <v>118528.07999999999</v>
      </c>
      <c r="N79" s="339">
        <f>SUM(N73:N77)</f>
        <v>2306842.46</v>
      </c>
      <c r="O79" s="339">
        <f t="shared" si="10"/>
        <v>1020191.38</v>
      </c>
      <c r="P79" s="339">
        <f t="shared" si="10"/>
        <v>253171.71</v>
      </c>
      <c r="Q79" s="339">
        <f>SUM(Q73:Q77)</f>
        <v>285020.62</v>
      </c>
      <c r="R79" s="339">
        <f t="shared" si="10"/>
        <v>2814232.11</v>
      </c>
      <c r="S79" s="339">
        <f t="shared" si="10"/>
        <v>634770.04</v>
      </c>
      <c r="T79" s="339">
        <f>SUM(T73:T77)</f>
        <v>1752079.83</v>
      </c>
      <c r="U79" s="339">
        <f>SUM(U73:U77)</f>
        <v>703067.45</v>
      </c>
      <c r="V79" s="339">
        <f>SUM(V73:V77)</f>
        <v>2235692.36</v>
      </c>
      <c r="W79" s="337">
        <f t="shared" si="10"/>
        <v>39382799.12</v>
      </c>
    </row>
    <row r="80" spans="2:23" ht="11.25">
      <c r="B80" s="315"/>
      <c r="C80" s="316"/>
      <c r="D80" s="316"/>
      <c r="E80" s="316"/>
      <c r="F80" s="316"/>
      <c r="G80" s="316"/>
      <c r="H80" s="316"/>
      <c r="I80" s="316"/>
      <c r="J80" s="317"/>
      <c r="K80" s="317"/>
      <c r="L80" s="317"/>
      <c r="M80" s="317"/>
      <c r="N80" s="317"/>
      <c r="O80" s="317"/>
      <c r="P80" s="317"/>
      <c r="Q80" s="317"/>
      <c r="R80" s="317"/>
      <c r="S80" s="317"/>
      <c r="T80" s="317"/>
      <c r="U80" s="317"/>
      <c r="V80" s="317"/>
      <c r="W80" s="315"/>
    </row>
    <row r="81" spans="1:23" ht="11.25">
      <c r="A81" s="159" t="s">
        <v>50</v>
      </c>
      <c r="B81" s="315"/>
      <c r="C81" s="316"/>
      <c r="D81" s="316"/>
      <c r="E81" s="316"/>
      <c r="F81" s="316"/>
      <c r="G81" s="316"/>
      <c r="H81" s="316"/>
      <c r="I81" s="316"/>
      <c r="J81" s="317"/>
      <c r="K81" s="317"/>
      <c r="L81" s="317"/>
      <c r="M81" s="317"/>
      <c r="N81" s="317"/>
      <c r="O81" s="317"/>
      <c r="P81" s="317"/>
      <c r="Q81" s="317"/>
      <c r="R81" s="317"/>
      <c r="S81" s="317"/>
      <c r="T81" s="317"/>
      <c r="U81" s="317"/>
      <c r="V81" s="317"/>
      <c r="W81" s="315"/>
    </row>
    <row r="82" spans="1:23" ht="11.25">
      <c r="A82" s="322" t="s">
        <v>204</v>
      </c>
      <c r="B82" s="315">
        <f>515011.1-269.57</f>
        <v>514741.52999999997</v>
      </c>
      <c r="C82" s="316"/>
      <c r="D82" s="316"/>
      <c r="E82" s="316"/>
      <c r="F82" s="316"/>
      <c r="G82" s="316"/>
      <c r="H82" s="316"/>
      <c r="I82" s="316"/>
      <c r="J82" s="317"/>
      <c r="K82" s="317"/>
      <c r="L82" s="317"/>
      <c r="M82" s="317"/>
      <c r="N82" s="317"/>
      <c r="O82" s="317"/>
      <c r="P82" s="317"/>
      <c r="Q82" s="317"/>
      <c r="R82" s="317"/>
      <c r="S82" s="317"/>
      <c r="T82" s="317"/>
      <c r="U82" s="317"/>
      <c r="V82" s="317"/>
      <c r="W82" s="315">
        <f>SUM(B82:V82)</f>
        <v>514741.52999999997</v>
      </c>
    </row>
    <row r="83" spans="1:23" ht="11.25">
      <c r="A83" s="318" t="s">
        <v>189</v>
      </c>
      <c r="B83" s="315">
        <v>123641.19</v>
      </c>
      <c r="C83" s="316">
        <v>557661.5</v>
      </c>
      <c r="D83" s="316">
        <v>364817.99</v>
      </c>
      <c r="E83" s="316">
        <v>0</v>
      </c>
      <c r="F83" s="316">
        <v>0</v>
      </c>
      <c r="G83" s="316">
        <v>516972.4</v>
      </c>
      <c r="H83" s="316">
        <v>175494</v>
      </c>
      <c r="I83" s="316">
        <v>66380</v>
      </c>
      <c r="J83" s="317">
        <v>130995.05</v>
      </c>
      <c r="K83" s="317">
        <v>38814.07</v>
      </c>
      <c r="L83" s="317">
        <v>37894</v>
      </c>
      <c r="M83" s="317">
        <v>8308</v>
      </c>
      <c r="N83" s="317">
        <v>179756</v>
      </c>
      <c r="O83" s="317">
        <v>94922</v>
      </c>
      <c r="P83" s="317">
        <v>22793.67</v>
      </c>
      <c r="Q83" s="317">
        <v>19180.55</v>
      </c>
      <c r="R83" s="317">
        <v>164406.09</v>
      </c>
      <c r="S83" s="317">
        <v>34233</v>
      </c>
      <c r="T83" s="317">
        <v>87986</v>
      </c>
      <c r="U83" s="317">
        <v>63641</v>
      </c>
      <c r="V83" s="317">
        <v>187742</v>
      </c>
      <c r="W83" s="315">
        <f>SUM(B83:V83)</f>
        <v>2875638.51</v>
      </c>
    </row>
    <row r="84" spans="1:23" ht="11.25">
      <c r="A84" s="318" t="s">
        <v>187</v>
      </c>
      <c r="B84" s="315"/>
      <c r="C84" s="316">
        <v>858482.5</v>
      </c>
      <c r="D84" s="316">
        <v>450906.76</v>
      </c>
      <c r="E84" s="316"/>
      <c r="F84" s="316">
        <v>0</v>
      </c>
      <c r="G84" s="316">
        <v>976369.07</v>
      </c>
      <c r="H84" s="316">
        <v>259462.16</v>
      </c>
      <c r="I84" s="316">
        <v>95575</v>
      </c>
      <c r="J84" s="317">
        <v>252507.13</v>
      </c>
      <c r="K84" s="317">
        <v>58459.86</v>
      </c>
      <c r="L84" s="317">
        <v>38903</v>
      </c>
      <c r="M84" s="317">
        <v>5974</v>
      </c>
      <c r="N84" s="317">
        <v>384841</v>
      </c>
      <c r="O84" s="317">
        <v>140863</v>
      </c>
      <c r="P84" s="317">
        <v>16612</v>
      </c>
      <c r="Q84" s="317">
        <v>25840.92</v>
      </c>
      <c r="R84" s="317">
        <v>345485.02</v>
      </c>
      <c r="S84" s="317">
        <v>51117</v>
      </c>
      <c r="T84" s="317">
        <v>229109</v>
      </c>
      <c r="U84" s="317">
        <v>98328</v>
      </c>
      <c r="V84" s="317">
        <v>188551.57</v>
      </c>
      <c r="W84" s="315">
        <f>SUM(B84:V84)</f>
        <v>4477386.99</v>
      </c>
    </row>
    <row r="85" spans="1:23" ht="11.25">
      <c r="A85" s="318" t="s">
        <v>188</v>
      </c>
      <c r="B85" s="315">
        <v>0</v>
      </c>
      <c r="C85" s="316">
        <v>4259070</v>
      </c>
      <c r="D85" s="316">
        <v>3356335</v>
      </c>
      <c r="E85" s="316">
        <v>0</v>
      </c>
      <c r="F85" s="316">
        <v>0</v>
      </c>
      <c r="G85" s="316">
        <v>5208482</v>
      </c>
      <c r="H85" s="316">
        <v>2481242</v>
      </c>
      <c r="I85" s="316">
        <v>482430</v>
      </c>
      <c r="J85" s="317">
        <v>1536758</v>
      </c>
      <c r="K85" s="317">
        <v>386659</v>
      </c>
      <c r="L85" s="317">
        <v>449007</v>
      </c>
      <c r="M85" s="317">
        <v>75380</v>
      </c>
      <c r="N85" s="317">
        <v>1531301</v>
      </c>
      <c r="O85" s="317">
        <v>880796</v>
      </c>
      <c r="P85" s="317">
        <v>157580</v>
      </c>
      <c r="Q85" s="317">
        <v>173090</v>
      </c>
      <c r="R85" s="317">
        <v>1506308</v>
      </c>
      <c r="S85" s="317">
        <v>455069</v>
      </c>
      <c r="T85" s="317">
        <v>1290342</v>
      </c>
      <c r="U85" s="317">
        <v>515404</v>
      </c>
      <c r="V85" s="317">
        <v>1693489.64</v>
      </c>
      <c r="W85" s="315">
        <f>SUM(B85:V85)</f>
        <v>26438742.64</v>
      </c>
    </row>
    <row r="86" spans="1:23" ht="11.25">
      <c r="A86" s="162" t="s">
        <v>52</v>
      </c>
      <c r="B86" s="319"/>
      <c r="C86" s="320"/>
      <c r="D86" s="320"/>
      <c r="E86" s="320"/>
      <c r="F86" s="320"/>
      <c r="G86" s="320"/>
      <c r="H86" s="320"/>
      <c r="I86" s="320"/>
      <c r="J86" s="321"/>
      <c r="K86" s="321"/>
      <c r="L86" s="321"/>
      <c r="M86" s="321"/>
      <c r="N86" s="321"/>
      <c r="O86" s="321"/>
      <c r="P86" s="321"/>
      <c r="Q86" s="321"/>
      <c r="R86" s="321"/>
      <c r="S86" s="321"/>
      <c r="T86" s="321"/>
      <c r="U86" s="321"/>
      <c r="V86" s="321"/>
      <c r="W86" s="319"/>
    </row>
    <row r="87" spans="1:23" ht="11.25">
      <c r="A87" s="159" t="s">
        <v>6</v>
      </c>
      <c r="B87" s="315">
        <f>SUM(B82:B86)</f>
        <v>638382.72</v>
      </c>
      <c r="C87" s="316">
        <f aca="true" t="shared" si="11" ref="C87:S87">SUM(C83:C86)</f>
        <v>5675214</v>
      </c>
      <c r="D87" s="316">
        <f>SUM(D83:D86)</f>
        <v>4172059.75</v>
      </c>
      <c r="E87" s="316">
        <f>SUM(E83:E86)</f>
        <v>0</v>
      </c>
      <c r="F87" s="316">
        <f t="shared" si="11"/>
        <v>0</v>
      </c>
      <c r="G87" s="316">
        <f t="shared" si="11"/>
        <v>6701823.47</v>
      </c>
      <c r="H87" s="316">
        <f t="shared" si="11"/>
        <v>2916198.16</v>
      </c>
      <c r="I87" s="316">
        <f>SUM(I83:I86)</f>
        <v>644385</v>
      </c>
      <c r="J87" s="317">
        <f t="shared" si="11"/>
        <v>1920260.18</v>
      </c>
      <c r="K87" s="317">
        <f>SUM(K83:K86)</f>
        <v>483932.93</v>
      </c>
      <c r="L87" s="317">
        <f>SUM(L83:L86)</f>
        <v>525804</v>
      </c>
      <c r="M87" s="317">
        <f>SUM(M83:M86)</f>
        <v>89662</v>
      </c>
      <c r="N87" s="317">
        <f>SUM(N83:N86)</f>
        <v>2095898</v>
      </c>
      <c r="O87" s="317">
        <f t="shared" si="11"/>
        <v>1116581</v>
      </c>
      <c r="P87" s="317">
        <f t="shared" si="11"/>
        <v>196985.66999999998</v>
      </c>
      <c r="Q87" s="317">
        <f>SUM(Q83:Q86)</f>
        <v>218111.47</v>
      </c>
      <c r="R87" s="317">
        <f t="shared" si="11"/>
        <v>2016199.1099999999</v>
      </c>
      <c r="S87" s="317">
        <f t="shared" si="11"/>
        <v>540419</v>
      </c>
      <c r="T87" s="317">
        <f>SUM(T83:T86)</f>
        <v>1607437</v>
      </c>
      <c r="U87" s="317">
        <f>SUM(U83:U86)</f>
        <v>677373</v>
      </c>
      <c r="V87" s="317">
        <f>SUM(V83:V86)</f>
        <v>2069783.21</v>
      </c>
      <c r="W87" s="315">
        <f>SUM(B87:V87)</f>
        <v>34306509.669999994</v>
      </c>
    </row>
    <row r="88" spans="1:23" ht="11.25">
      <c r="A88" s="167"/>
      <c r="B88" s="315"/>
      <c r="C88" s="316"/>
      <c r="D88" s="316"/>
      <c r="E88" s="316"/>
      <c r="F88" s="316"/>
      <c r="G88" s="316"/>
      <c r="H88" s="316"/>
      <c r="I88" s="316"/>
      <c r="J88" s="317"/>
      <c r="K88" s="317"/>
      <c r="L88" s="317"/>
      <c r="M88" s="317"/>
      <c r="N88" s="317"/>
      <c r="O88" s="317"/>
      <c r="P88" s="317"/>
      <c r="Q88" s="317"/>
      <c r="R88" s="317"/>
      <c r="S88" s="317"/>
      <c r="T88" s="317"/>
      <c r="U88" s="317"/>
      <c r="V88" s="317"/>
      <c r="W88" s="315"/>
    </row>
    <row r="89" spans="1:23" ht="11.25">
      <c r="A89" s="167"/>
      <c r="B89" s="319"/>
      <c r="C89" s="320"/>
      <c r="D89" s="320"/>
      <c r="E89" s="320"/>
      <c r="F89" s="320"/>
      <c r="G89" s="320"/>
      <c r="H89" s="320"/>
      <c r="I89" s="320"/>
      <c r="J89" s="321"/>
      <c r="K89" s="321"/>
      <c r="L89" s="321"/>
      <c r="M89" s="321"/>
      <c r="N89" s="321"/>
      <c r="O89" s="321"/>
      <c r="P89" s="321"/>
      <c r="Q89" s="321"/>
      <c r="R89" s="321"/>
      <c r="S89" s="321"/>
      <c r="T89" s="321"/>
      <c r="U89" s="321"/>
      <c r="V89" s="321"/>
      <c r="W89" s="319"/>
    </row>
    <row r="90" spans="1:24" ht="12" thickBot="1">
      <c r="A90" s="159" t="s">
        <v>399</v>
      </c>
      <c r="B90" s="323">
        <f>B70+B79-B87</f>
        <v>437052.4900000002</v>
      </c>
      <c r="C90" s="324">
        <f aca="true" t="shared" si="12" ref="C90:S90">C70+C79-C87</f>
        <v>1413595.9399999995</v>
      </c>
      <c r="D90" s="324">
        <f>D70+D79-D87</f>
        <v>1533655.9100000001</v>
      </c>
      <c r="E90" s="324">
        <f>E70+E79-E87</f>
        <v>3567.1100000000006</v>
      </c>
      <c r="F90" s="324">
        <f t="shared" si="12"/>
        <v>1389.1599999999999</v>
      </c>
      <c r="G90" s="324">
        <f t="shared" si="12"/>
        <v>3198997.5699999994</v>
      </c>
      <c r="H90" s="324">
        <f t="shared" si="12"/>
        <v>823555.7699999996</v>
      </c>
      <c r="I90" s="324">
        <f>I70+I79-I87</f>
        <v>139527.43000000017</v>
      </c>
      <c r="J90" s="325">
        <f t="shared" si="12"/>
        <v>592131.24</v>
      </c>
      <c r="K90" s="325">
        <f>K70+K79-K87</f>
        <v>302391.85000000003</v>
      </c>
      <c r="L90" s="325">
        <f>L70+L79-L87</f>
        <v>157746.96999999997</v>
      </c>
      <c r="M90" s="325">
        <f>M70+M79-M87</f>
        <v>24986.87999999999</v>
      </c>
      <c r="N90" s="325">
        <f>N70+N79-N87</f>
        <v>790018.54</v>
      </c>
      <c r="O90" s="325">
        <f t="shared" si="12"/>
        <v>91591.52000000002</v>
      </c>
      <c r="P90" s="325">
        <f t="shared" si="12"/>
        <v>32078.070000000007</v>
      </c>
      <c r="Q90" s="325">
        <f>Q70+Q79-Q87</f>
        <v>27164.959999999992</v>
      </c>
      <c r="R90" s="325">
        <f t="shared" si="12"/>
        <v>1099764.63</v>
      </c>
      <c r="S90" s="325">
        <f t="shared" si="12"/>
        <v>162769.17000000004</v>
      </c>
      <c r="T90" s="325">
        <f>T70+T79-T87</f>
        <v>538970.4500000002</v>
      </c>
      <c r="U90" s="325">
        <f>U70+U79-U87</f>
        <v>156427.3999999999</v>
      </c>
      <c r="V90" s="325">
        <f>V70+V79-V87</f>
        <v>292152.9299999997</v>
      </c>
      <c r="W90" s="323">
        <f>SUM(B90:V90)</f>
        <v>11819535.99</v>
      </c>
      <c r="X90" s="315"/>
    </row>
    <row r="91" spans="2:23" ht="12" thickTop="1">
      <c r="B91" s="315"/>
      <c r="C91" s="316"/>
      <c r="D91" s="316"/>
      <c r="E91" s="316"/>
      <c r="F91" s="316"/>
      <c r="G91" s="316"/>
      <c r="H91" s="316"/>
      <c r="I91" s="316"/>
      <c r="J91" s="317"/>
      <c r="K91" s="317"/>
      <c r="L91" s="317"/>
      <c r="M91" s="317"/>
      <c r="N91" s="317"/>
      <c r="O91" s="317"/>
      <c r="P91" s="317"/>
      <c r="Q91" s="317"/>
      <c r="R91" s="317"/>
      <c r="S91" s="317"/>
      <c r="T91" s="317"/>
      <c r="U91" s="317"/>
      <c r="V91" s="317"/>
      <c r="W91" s="315"/>
    </row>
    <row r="92" spans="1:23" ht="11.25">
      <c r="A92" s="322" t="s">
        <v>441</v>
      </c>
      <c r="B92" s="315">
        <v>0</v>
      </c>
      <c r="C92" s="316">
        <v>1148494</v>
      </c>
      <c r="D92" s="316">
        <v>1349505.94</v>
      </c>
      <c r="E92" s="316">
        <v>3004</v>
      </c>
      <c r="F92" s="316">
        <v>1270</v>
      </c>
      <c r="G92" s="316">
        <v>2875656.26</v>
      </c>
      <c r="H92" s="316">
        <v>692769.84</v>
      </c>
      <c r="I92" s="316">
        <v>110634.65</v>
      </c>
      <c r="J92" s="317">
        <v>498681.67</v>
      </c>
      <c r="K92" s="317">
        <v>274146.49</v>
      </c>
      <c r="L92" s="317">
        <v>134129</v>
      </c>
      <c r="M92" s="317">
        <v>20475</v>
      </c>
      <c r="N92" s="317">
        <v>687322</v>
      </c>
      <c r="O92" s="317">
        <v>48192.770000000004</v>
      </c>
      <c r="P92" s="317">
        <v>23972.33</v>
      </c>
      <c r="Q92" s="317">
        <v>17999.42</v>
      </c>
      <c r="R92" s="317">
        <v>998756.1599999999</v>
      </c>
      <c r="S92" s="317">
        <v>138209</v>
      </c>
      <c r="T92" s="317">
        <v>456816</v>
      </c>
      <c r="U92" s="317">
        <v>129980</v>
      </c>
      <c r="V92" s="317">
        <v>207179.11000000002</v>
      </c>
      <c r="W92" s="315">
        <v>9817193.639999999</v>
      </c>
    </row>
    <row r="93" spans="1:23" ht="11.25">
      <c r="A93" s="168"/>
      <c r="B93" s="319"/>
      <c r="C93" s="320"/>
      <c r="D93" s="320"/>
      <c r="E93" s="320"/>
      <c r="F93" s="320"/>
      <c r="G93" s="320"/>
      <c r="H93" s="320"/>
      <c r="I93" s="320"/>
      <c r="J93" s="321"/>
      <c r="K93" s="321"/>
      <c r="L93" s="321"/>
      <c r="M93" s="321"/>
      <c r="N93" s="321"/>
      <c r="O93" s="321"/>
      <c r="P93" s="321"/>
      <c r="Q93" s="321"/>
      <c r="R93" s="321"/>
      <c r="S93" s="321"/>
      <c r="T93" s="321"/>
      <c r="U93" s="321"/>
      <c r="V93" s="321"/>
      <c r="W93" s="319"/>
    </row>
    <row r="94" spans="1:23" ht="12" thickBot="1">
      <c r="A94" s="159" t="s">
        <v>442</v>
      </c>
      <c r="B94" s="323">
        <f aca="true" t="shared" si="13" ref="B94:S94">B90-B92</f>
        <v>437052.4900000002</v>
      </c>
      <c r="C94" s="324">
        <f t="shared" si="13"/>
        <v>265101.9399999995</v>
      </c>
      <c r="D94" s="324">
        <f>D90-D92</f>
        <v>184149.9700000002</v>
      </c>
      <c r="E94" s="324">
        <f>E90-E92</f>
        <v>563.1100000000006</v>
      </c>
      <c r="F94" s="324">
        <f t="shared" si="13"/>
        <v>119.15999999999985</v>
      </c>
      <c r="G94" s="324">
        <f t="shared" si="13"/>
        <v>323341.3099999996</v>
      </c>
      <c r="H94" s="324">
        <f t="shared" si="13"/>
        <v>130785.92999999959</v>
      </c>
      <c r="I94" s="324">
        <f>I90-I92</f>
        <v>28892.780000000173</v>
      </c>
      <c r="J94" s="325">
        <f t="shared" si="13"/>
        <v>93449.57</v>
      </c>
      <c r="K94" s="325">
        <f>K90-K92</f>
        <v>28245.360000000044</v>
      </c>
      <c r="L94" s="325">
        <f>L90-L92</f>
        <v>23617.969999999972</v>
      </c>
      <c r="M94" s="325">
        <f>M90-M92</f>
        <v>4511.87999999999</v>
      </c>
      <c r="N94" s="325">
        <f>N90-N92</f>
        <v>102696.54000000004</v>
      </c>
      <c r="O94" s="325">
        <f t="shared" si="13"/>
        <v>43398.750000000015</v>
      </c>
      <c r="P94" s="325">
        <f t="shared" si="13"/>
        <v>8105.740000000005</v>
      </c>
      <c r="Q94" s="325">
        <f>Q90-Q92</f>
        <v>9165.539999999994</v>
      </c>
      <c r="R94" s="325">
        <f t="shared" si="13"/>
        <v>101008.46999999997</v>
      </c>
      <c r="S94" s="325">
        <f t="shared" si="13"/>
        <v>24560.170000000042</v>
      </c>
      <c r="T94" s="325">
        <f>T90-T92</f>
        <v>82154.45000000019</v>
      </c>
      <c r="U94" s="325">
        <f>U90-U92</f>
        <v>26447.399999999907</v>
      </c>
      <c r="V94" s="325">
        <f>V90-V92</f>
        <v>84973.81999999969</v>
      </c>
      <c r="W94" s="323">
        <f>SUM(B94:V94)</f>
        <v>2002342.3499999994</v>
      </c>
    </row>
    <row r="95" spans="1:23" ht="12" thickTop="1">
      <c r="A95" s="159"/>
      <c r="B95" s="340"/>
      <c r="C95" s="341"/>
      <c r="D95" s="341"/>
      <c r="E95" s="341"/>
      <c r="F95" s="341"/>
      <c r="G95" s="341"/>
      <c r="H95" s="341"/>
      <c r="I95" s="341"/>
      <c r="J95" s="341"/>
      <c r="K95" s="341"/>
      <c r="L95" s="341"/>
      <c r="M95" s="341"/>
      <c r="N95" s="341"/>
      <c r="O95" s="341"/>
      <c r="P95" s="341"/>
      <c r="Q95" s="341"/>
      <c r="R95" s="341"/>
      <c r="S95" s="341"/>
      <c r="T95" s="341"/>
      <c r="U95" s="341"/>
      <c r="V95" s="341"/>
      <c r="W95" s="340"/>
    </row>
    <row r="96" spans="1:23" ht="11.25">
      <c r="A96" s="159"/>
      <c r="B96" s="340"/>
      <c r="C96" s="417" t="s">
        <v>190</v>
      </c>
      <c r="D96" s="417"/>
      <c r="E96" s="417"/>
      <c r="F96" s="417"/>
      <c r="G96" s="417"/>
      <c r="H96" s="417"/>
      <c r="I96" s="417"/>
      <c r="J96" s="417" t="s">
        <v>424</v>
      </c>
      <c r="K96" s="417"/>
      <c r="L96" s="417"/>
      <c r="M96" s="417"/>
      <c r="N96" s="417"/>
      <c r="O96" s="417"/>
      <c r="P96" s="417"/>
      <c r="Q96" s="417"/>
      <c r="R96" s="417"/>
      <c r="S96" s="417"/>
      <c r="T96" s="417"/>
      <c r="U96" s="417"/>
      <c r="V96" s="417"/>
      <c r="W96" s="340"/>
    </row>
    <row r="97" spans="1:23" ht="11.25">
      <c r="A97" s="306"/>
      <c r="B97" s="327" t="s">
        <v>11</v>
      </c>
      <c r="C97" s="328" t="s">
        <v>34</v>
      </c>
      <c r="D97" s="328" t="s">
        <v>35</v>
      </c>
      <c r="E97" s="328" t="s">
        <v>25</v>
      </c>
      <c r="F97" s="328" t="s">
        <v>28</v>
      </c>
      <c r="G97" s="328" t="s">
        <v>29</v>
      </c>
      <c r="H97" s="328" t="s">
        <v>30</v>
      </c>
      <c r="I97" s="328" t="s">
        <v>36</v>
      </c>
      <c r="J97" s="329" t="s">
        <v>23</v>
      </c>
      <c r="K97" s="329" t="s">
        <v>24</v>
      </c>
      <c r="L97" s="329" t="s">
        <v>25</v>
      </c>
      <c r="M97" s="329" t="s">
        <v>26</v>
      </c>
      <c r="N97" s="329" t="s">
        <v>27</v>
      </c>
      <c r="O97" s="329" t="s">
        <v>165</v>
      </c>
      <c r="P97" s="329" t="s">
        <v>37</v>
      </c>
      <c r="Q97" s="329" t="s">
        <v>28</v>
      </c>
      <c r="R97" s="329" t="s">
        <v>29</v>
      </c>
      <c r="S97" s="329" t="s">
        <v>30</v>
      </c>
      <c r="T97" s="329" t="s">
        <v>31</v>
      </c>
      <c r="U97" s="329" t="s">
        <v>32</v>
      </c>
      <c r="V97" s="329" t="s">
        <v>33</v>
      </c>
      <c r="W97" s="315"/>
    </row>
    <row r="98" spans="2:23" ht="11.25">
      <c r="B98" s="327" t="s">
        <v>44</v>
      </c>
      <c r="C98" s="330" t="s">
        <v>282</v>
      </c>
      <c r="D98" s="330" t="s">
        <v>280</v>
      </c>
      <c r="E98" s="330" t="s">
        <v>281</v>
      </c>
      <c r="F98" s="330" t="s">
        <v>284</v>
      </c>
      <c r="G98" s="330" t="s">
        <v>285</v>
      </c>
      <c r="H98" s="330" t="s">
        <v>286</v>
      </c>
      <c r="I98" s="330" t="s">
        <v>283</v>
      </c>
      <c r="J98" s="331" t="s">
        <v>291</v>
      </c>
      <c r="K98" s="331" t="s">
        <v>304</v>
      </c>
      <c r="L98" s="331" t="s">
        <v>299</v>
      </c>
      <c r="M98" s="331" t="s">
        <v>301</v>
      </c>
      <c r="N98" s="331" t="s">
        <v>297</v>
      </c>
      <c r="O98" s="331" t="s">
        <v>294</v>
      </c>
      <c r="P98" s="331" t="s">
        <v>296</v>
      </c>
      <c r="Q98" s="331" t="s">
        <v>302</v>
      </c>
      <c r="R98" s="331" t="s">
        <v>285</v>
      </c>
      <c r="S98" s="331" t="s">
        <v>286</v>
      </c>
      <c r="T98" s="331" t="s">
        <v>292</v>
      </c>
      <c r="U98" s="331" t="s">
        <v>288</v>
      </c>
      <c r="V98" s="331" t="s">
        <v>289</v>
      </c>
      <c r="W98" s="327" t="s">
        <v>3</v>
      </c>
    </row>
    <row r="99" spans="2:23" ht="11.25">
      <c r="B99" s="332" t="s">
        <v>52</v>
      </c>
      <c r="C99" s="333" t="s">
        <v>52</v>
      </c>
      <c r="D99" s="333" t="s">
        <v>52</v>
      </c>
      <c r="E99" s="333" t="s">
        <v>52</v>
      </c>
      <c r="F99" s="333" t="s">
        <v>52</v>
      </c>
      <c r="G99" s="333" t="s">
        <v>52</v>
      </c>
      <c r="H99" s="334" t="s">
        <v>287</v>
      </c>
      <c r="I99" s="333" t="s">
        <v>52</v>
      </c>
      <c r="J99" s="335" t="s">
        <v>52</v>
      </c>
      <c r="K99" s="336" t="s">
        <v>305</v>
      </c>
      <c r="L99" s="336" t="s">
        <v>300</v>
      </c>
      <c r="M99" s="335" t="s">
        <v>52</v>
      </c>
      <c r="N99" s="336" t="s">
        <v>298</v>
      </c>
      <c r="O99" s="336" t="s">
        <v>295</v>
      </c>
      <c r="P99" s="335" t="s">
        <v>52</v>
      </c>
      <c r="Q99" s="336" t="s">
        <v>303</v>
      </c>
      <c r="R99" s="335" t="s">
        <v>52</v>
      </c>
      <c r="S99" s="336" t="s">
        <v>287</v>
      </c>
      <c r="T99" s="336" t="s">
        <v>293</v>
      </c>
      <c r="U99" s="335" t="s">
        <v>52</v>
      </c>
      <c r="V99" s="336" t="s">
        <v>290</v>
      </c>
      <c r="W99" s="319"/>
    </row>
    <row r="100" spans="1:25" ht="11.25">
      <c r="A100" s="160" t="s">
        <v>270</v>
      </c>
      <c r="B100" s="315">
        <f>'OEA GMR External working copy'!B118</f>
        <v>437052.49</v>
      </c>
      <c r="C100" s="316">
        <f>'OEA GMR External working copy'!E118</f>
        <v>1413595.94</v>
      </c>
      <c r="D100" s="316">
        <f>'OEA GMR External working copy'!C118</f>
        <v>1533655.91</v>
      </c>
      <c r="E100" s="316">
        <f>'OEA GMR External working copy'!D118</f>
        <v>3567.11</v>
      </c>
      <c r="F100" s="316">
        <f>'OEA GMR External working copy'!G118</f>
        <v>1389.16</v>
      </c>
      <c r="G100" s="316">
        <f>'OEA GMR External working copy'!H118</f>
        <v>3198997.57</v>
      </c>
      <c r="H100" s="316">
        <f>'OEA GMR External working copy'!I118</f>
        <v>823555.77</v>
      </c>
      <c r="I100" s="316">
        <f>'OEA GMR External working copy'!F118</f>
        <v>139527.43</v>
      </c>
      <c r="J100" s="317">
        <f>'OEA GMR External working copy'!L118</f>
        <v>592131.24</v>
      </c>
      <c r="K100" s="317">
        <f>'OEA GMR External working copy'!T118</f>
        <v>302391.85</v>
      </c>
      <c r="L100" s="317">
        <f>'OEA GMR External working copy'!S118</f>
        <v>157746.97</v>
      </c>
      <c r="M100" s="317">
        <f>'OEA GMR External working copy'!U118</f>
        <v>24986.88</v>
      </c>
      <c r="N100" s="317">
        <f>'OEA GMR External working copy'!P118</f>
        <v>790018.54</v>
      </c>
      <c r="O100" s="317">
        <f>'OEA GMR External working copy'!N118</f>
        <v>91591.52</v>
      </c>
      <c r="P100" s="317">
        <f>'OEA GMR External working copy'!O118</f>
        <v>32078.07</v>
      </c>
      <c r="Q100" s="317">
        <f>'OEA GMR External working copy'!V118</f>
        <v>27164.96</v>
      </c>
      <c r="R100" s="317">
        <f>'OEA GMR External working copy'!Q118</f>
        <v>1099764.63</v>
      </c>
      <c r="S100" s="317">
        <f>'OEA GMR External working copy'!R118</f>
        <v>162769.17</v>
      </c>
      <c r="T100" s="317">
        <f>'OEA GMR External working copy'!M118</f>
        <v>538970.45</v>
      </c>
      <c r="U100" s="317">
        <f>'OEA GMR External working copy'!J118</f>
        <v>156427.4</v>
      </c>
      <c r="V100" s="317">
        <f>'OEA GMR External working copy'!K118</f>
        <v>292152.93</v>
      </c>
      <c r="W100" s="315">
        <v>11819535.990000002</v>
      </c>
      <c r="X100" s="342"/>
      <c r="Y100" s="342"/>
    </row>
    <row r="101" spans="2:25" ht="11.25">
      <c r="B101" s="315"/>
      <c r="C101" s="316"/>
      <c r="D101" s="316"/>
      <c r="E101" s="316"/>
      <c r="F101" s="316"/>
      <c r="G101" s="316"/>
      <c r="H101" s="316"/>
      <c r="I101" s="316"/>
      <c r="J101" s="317"/>
      <c r="K101" s="317"/>
      <c r="L101" s="317"/>
      <c r="M101" s="317"/>
      <c r="N101" s="317"/>
      <c r="O101" s="317"/>
      <c r="P101" s="317"/>
      <c r="Q101" s="317"/>
      <c r="R101" s="317"/>
      <c r="S101" s="317"/>
      <c r="T101" s="317"/>
      <c r="U101" s="317"/>
      <c r="V101" s="317"/>
      <c r="W101" s="315"/>
      <c r="X101" s="342"/>
      <c r="Y101" s="342"/>
    </row>
    <row r="102" spans="1:25" ht="11.25">
      <c r="A102" s="159" t="s">
        <v>277</v>
      </c>
      <c r="B102" s="315"/>
      <c r="C102" s="316"/>
      <c r="D102" s="316"/>
      <c r="E102" s="316"/>
      <c r="F102" s="316"/>
      <c r="G102" s="316"/>
      <c r="H102" s="316"/>
      <c r="I102" s="316"/>
      <c r="J102" s="317"/>
      <c r="K102" s="317"/>
      <c r="L102" s="317"/>
      <c r="M102" s="317"/>
      <c r="N102" s="317"/>
      <c r="O102" s="317"/>
      <c r="P102" s="317"/>
      <c r="Q102" s="317"/>
      <c r="R102" s="317"/>
      <c r="S102" s="317"/>
      <c r="T102" s="317"/>
      <c r="U102" s="317"/>
      <c r="V102" s="317"/>
      <c r="W102" s="315"/>
      <c r="X102" s="342"/>
      <c r="Y102" s="342"/>
    </row>
    <row r="103" spans="1:25" ht="11.25">
      <c r="A103" s="318" t="s">
        <v>190</v>
      </c>
      <c r="B103" s="315">
        <f>'OEA GMR External working copy'!B121</f>
        <v>712014.31</v>
      </c>
      <c r="C103" s="316">
        <f>'OEA GMR External working copy'!E121</f>
        <v>6501837.77</v>
      </c>
      <c r="D103" s="316">
        <f>'OEA GMR External working copy'!C121</f>
        <v>4543544.1</v>
      </c>
      <c r="E103" s="316">
        <f>'OEA GMR External working copy'!D121</f>
        <v>14998.94</v>
      </c>
      <c r="F103" s="316">
        <f>'OEA GMR External working copy'!G121</f>
        <v>4675.27</v>
      </c>
      <c r="G103" s="316">
        <f>'OEA GMR External working copy'!H121</f>
        <v>7978198.43</v>
      </c>
      <c r="H103" s="316">
        <f>'OEA GMR External working copy'!I121</f>
        <v>3254239.01</v>
      </c>
      <c r="I103" s="316">
        <f>'OEA GMR External working copy'!F121</f>
        <v>724301.53</v>
      </c>
      <c r="J103" s="317"/>
      <c r="K103" s="317"/>
      <c r="L103" s="317"/>
      <c r="M103" s="317"/>
      <c r="N103" s="317"/>
      <c r="O103" s="317"/>
      <c r="P103" s="317"/>
      <c r="Q103" s="317"/>
      <c r="R103" s="317"/>
      <c r="S103" s="317"/>
      <c r="T103" s="317"/>
      <c r="U103" s="317"/>
      <c r="V103" s="317"/>
      <c r="W103" s="315">
        <f>SUM(B103:V103)</f>
        <v>23733809.36</v>
      </c>
      <c r="X103" s="342"/>
      <c r="Y103" s="342"/>
    </row>
    <row r="104" spans="1:25" ht="11.25">
      <c r="A104" s="318" t="s">
        <v>424</v>
      </c>
      <c r="B104" s="343">
        <f>'OEA GMR External working copy'!B122</f>
        <v>482421.24</v>
      </c>
      <c r="C104" s="316"/>
      <c r="D104" s="316">
        <v>0</v>
      </c>
      <c r="E104" s="316"/>
      <c r="F104" s="316"/>
      <c r="G104" s="316"/>
      <c r="H104" s="316"/>
      <c r="I104" s="316"/>
      <c r="J104" s="317">
        <f>'OEA GMR External working copy'!L122</f>
        <v>2332895.08</v>
      </c>
      <c r="K104" s="317">
        <f>'OEA GMR External working copy'!T122</f>
        <v>649716.71</v>
      </c>
      <c r="L104" s="317">
        <f>'OEA GMR External working copy'!S122</f>
        <v>584698.14</v>
      </c>
      <c r="M104" s="317">
        <f>'OEA GMR External working copy'!U122</f>
        <v>108856.22</v>
      </c>
      <c r="N104" s="317">
        <f>'OEA GMR External working copy'!P122</f>
        <v>2567669.81</v>
      </c>
      <c r="O104" s="317">
        <f>'OEA GMR External working copy'!N122</f>
        <v>979380.84</v>
      </c>
      <c r="P104" s="317">
        <f>'OEA GMR External working copy'!O122</f>
        <v>205992.33</v>
      </c>
      <c r="Q104" s="317">
        <f>'OEA GMR External working copy'!V122</f>
        <v>226643.75</v>
      </c>
      <c r="R104" s="317">
        <f>'OEA GMR External working copy'!Q122</f>
        <v>2545871.49</v>
      </c>
      <c r="S104" s="317">
        <f>'OEA GMR External working copy'!R122</f>
        <v>616703.99</v>
      </c>
      <c r="T104" s="317">
        <f>'OEA GMR External working copy'!M122</f>
        <v>2018561.81</v>
      </c>
      <c r="U104" s="317">
        <f>'OEA GMR External working copy'!J122</f>
        <v>652645.38</v>
      </c>
      <c r="V104" s="317">
        <f>'OEA GMR External working copy'!K122</f>
        <v>2108649.71</v>
      </c>
      <c r="W104" s="315">
        <f>SUM(B104:V104)</f>
        <v>16080706.500000004</v>
      </c>
      <c r="X104" s="342"/>
      <c r="Y104" s="342"/>
    </row>
    <row r="105" spans="1:25" ht="11.25">
      <c r="A105" s="318" t="s">
        <v>279</v>
      </c>
      <c r="B105" s="315">
        <f>'OEA GMR External working copy'!B123</f>
        <v>187535.59</v>
      </c>
      <c r="C105" s="316"/>
      <c r="D105" s="316"/>
      <c r="E105" s="316"/>
      <c r="F105" s="316"/>
      <c r="G105" s="316"/>
      <c r="H105" s="316"/>
      <c r="I105" s="316"/>
      <c r="J105" s="317"/>
      <c r="K105" s="317"/>
      <c r="L105" s="317"/>
      <c r="M105" s="317"/>
      <c r="N105" s="317"/>
      <c r="O105" s="317"/>
      <c r="P105" s="317"/>
      <c r="Q105" s="317"/>
      <c r="R105" s="317"/>
      <c r="S105" s="317" t="s">
        <v>52</v>
      </c>
      <c r="T105" s="317"/>
      <c r="U105" s="317"/>
      <c r="V105" s="317"/>
      <c r="W105" s="315">
        <f>SUM(B105:V105)</f>
        <v>187535.59</v>
      </c>
      <c r="X105" s="342"/>
      <c r="Y105" s="342"/>
    </row>
    <row r="106" spans="1:25" ht="11.25">
      <c r="A106" s="318" t="s">
        <v>433</v>
      </c>
      <c r="B106" s="315"/>
      <c r="C106" s="316"/>
      <c r="D106" s="316"/>
      <c r="E106" s="316"/>
      <c r="F106" s="316"/>
      <c r="G106" s="316"/>
      <c r="H106" s="316"/>
      <c r="I106" s="316"/>
      <c r="J106" s="317"/>
      <c r="K106" s="317"/>
      <c r="L106" s="317"/>
      <c r="M106" s="317"/>
      <c r="N106" s="317"/>
      <c r="O106" s="317"/>
      <c r="P106" s="317"/>
      <c r="Q106" s="317"/>
      <c r="R106" s="317"/>
      <c r="S106" s="317"/>
      <c r="T106" s="317"/>
      <c r="U106" s="317"/>
      <c r="V106" s="317"/>
      <c r="W106" s="315">
        <f>SUM(B106:V106)</f>
        <v>0</v>
      </c>
      <c r="X106" s="342"/>
      <c r="Y106" s="342"/>
    </row>
    <row r="107" spans="1:25" ht="11.25">
      <c r="A107" s="318" t="s">
        <v>192</v>
      </c>
      <c r="B107" s="315">
        <f>'OEA GMR External working copy'!B125</f>
        <v>-854046.76</v>
      </c>
      <c r="C107" s="316">
        <f>'OEA GMR External working copy'!E125</f>
        <v>75454</v>
      </c>
      <c r="D107" s="316">
        <f>'OEA GMR External working copy'!C125</f>
        <v>104818</v>
      </c>
      <c r="E107" s="316">
        <f>'OEA GMR External working copy'!D125</f>
        <v>-6068</v>
      </c>
      <c r="F107" s="316">
        <f>'OEA GMR External working copy'!G125</f>
        <v>-3849</v>
      </c>
      <c r="G107" s="316">
        <f>'OEA GMR External working copy'!H125</f>
        <v>177220</v>
      </c>
      <c r="H107" s="316">
        <f>'OEA GMR External working copy'!I125</f>
        <v>71528</v>
      </c>
      <c r="I107" s="316">
        <f>'OEA GMR External working copy'!F125</f>
        <v>90897</v>
      </c>
      <c r="J107" s="317">
        <f>'OEA GMR External working copy'!L125</f>
        <v>51654</v>
      </c>
      <c r="K107" s="317">
        <f>'OEA GMR External working copy'!T125</f>
        <v>-56856</v>
      </c>
      <c r="L107" s="317">
        <f>'OEA GMR External working copy'!S125</f>
        <v>-36787</v>
      </c>
      <c r="M107" s="317">
        <f>'OEA GMR External working copy'!U125</f>
        <v>2298</v>
      </c>
      <c r="N107" s="317">
        <f>'OEA GMR External working copy'!P125</f>
        <v>56752</v>
      </c>
      <c r="O107" s="317">
        <f>'OEA GMR External working copy'!N125</f>
        <v>21398.4</v>
      </c>
      <c r="P107" s="317">
        <f>'OEA GMR External working copy'!O125</f>
        <v>4554</v>
      </c>
      <c r="Q107" s="317">
        <f>'OEA GMR External working copy'!V125</f>
        <v>99982</v>
      </c>
      <c r="R107" s="317">
        <f>'OEA GMR External working copy'!Q125</f>
        <v>55278</v>
      </c>
      <c r="S107" s="317">
        <f>'OEA GMR External working copy'!R125</f>
        <v>13608</v>
      </c>
      <c r="T107" s="317">
        <f>'OEA GMR External working copy'!M125</f>
        <v>68395</v>
      </c>
      <c r="U107" s="317">
        <f>'OEA GMR External working copy'!J125</f>
        <v>14410</v>
      </c>
      <c r="V107" s="317">
        <f>'OEA GMR External working copy'!K125</f>
        <v>49360.36</v>
      </c>
      <c r="W107" s="315">
        <f>SUM(B107:V107)</f>
        <v>0</v>
      </c>
      <c r="X107" s="342"/>
      <c r="Y107" s="342"/>
    </row>
    <row r="108" spans="2:25" ht="11.25">
      <c r="B108" s="319"/>
      <c r="C108" s="320"/>
      <c r="D108" s="320"/>
      <c r="E108" s="320"/>
      <c r="F108" s="320"/>
      <c r="G108" s="320"/>
      <c r="H108" s="320"/>
      <c r="I108" s="320"/>
      <c r="J108" s="321"/>
      <c r="K108" s="321"/>
      <c r="L108" s="321"/>
      <c r="M108" s="321"/>
      <c r="N108" s="321"/>
      <c r="O108" s="321"/>
      <c r="P108" s="321"/>
      <c r="Q108" s="321"/>
      <c r="R108" s="321"/>
      <c r="S108" s="321"/>
      <c r="T108" s="321"/>
      <c r="U108" s="321"/>
      <c r="V108" s="321"/>
      <c r="W108" s="319" t="s">
        <v>52</v>
      </c>
      <c r="X108" s="342"/>
      <c r="Y108" s="342"/>
    </row>
    <row r="109" spans="1:25" ht="11.25">
      <c r="A109" s="159" t="s">
        <v>434</v>
      </c>
      <c r="B109" s="337">
        <f>SUM(B103:B107)</f>
        <v>527924.3800000001</v>
      </c>
      <c r="C109" s="338">
        <f aca="true" t="shared" si="14" ref="C109:W109">SUM(C103:C107)</f>
        <v>6577291.77</v>
      </c>
      <c r="D109" s="338">
        <f>SUM(D103:D107)</f>
        <v>4648362.1</v>
      </c>
      <c r="E109" s="338">
        <f>SUM(E103:E107)</f>
        <v>8930.94</v>
      </c>
      <c r="F109" s="338">
        <f t="shared" si="14"/>
        <v>826.2700000000004</v>
      </c>
      <c r="G109" s="338">
        <f t="shared" si="14"/>
        <v>8155418.43</v>
      </c>
      <c r="H109" s="338">
        <f t="shared" si="14"/>
        <v>3325767.01</v>
      </c>
      <c r="I109" s="338">
        <f>SUM(I103:I107)</f>
        <v>815198.53</v>
      </c>
      <c r="J109" s="339">
        <f t="shared" si="14"/>
        <v>2384549.08</v>
      </c>
      <c r="K109" s="339">
        <f>SUM(K103:K107)</f>
        <v>592860.71</v>
      </c>
      <c r="L109" s="339">
        <f>SUM(L103:L107)</f>
        <v>547911.14</v>
      </c>
      <c r="M109" s="339">
        <f>SUM(M103:M107)</f>
        <v>111154.22</v>
      </c>
      <c r="N109" s="339">
        <f>SUM(N103:N107)</f>
        <v>2624421.81</v>
      </c>
      <c r="O109" s="339">
        <f t="shared" si="14"/>
        <v>1000779.24</v>
      </c>
      <c r="P109" s="339">
        <f t="shared" si="14"/>
        <v>210546.33</v>
      </c>
      <c r="Q109" s="339">
        <f>SUM(Q103:Q107)</f>
        <v>326625.75</v>
      </c>
      <c r="R109" s="339">
        <f t="shared" si="14"/>
        <v>2601149.49</v>
      </c>
      <c r="S109" s="339">
        <f t="shared" si="14"/>
        <v>630311.99</v>
      </c>
      <c r="T109" s="339">
        <f>SUM(T103:T107)</f>
        <v>2086956.81</v>
      </c>
      <c r="U109" s="339">
        <f>SUM(U103:U107)</f>
        <v>667055.38</v>
      </c>
      <c r="V109" s="339">
        <f>SUM(V103:V107)</f>
        <v>2158010.07</v>
      </c>
      <c r="W109" s="337">
        <f t="shared" si="14"/>
        <v>40002051.45</v>
      </c>
      <c r="X109" s="342"/>
      <c r="Y109" s="342"/>
    </row>
    <row r="110" spans="2:25" ht="11.25">
      <c r="B110" s="315"/>
      <c r="C110" s="316"/>
      <c r="D110" s="316"/>
      <c r="E110" s="316"/>
      <c r="F110" s="316"/>
      <c r="G110" s="316"/>
      <c r="H110" s="316"/>
      <c r="I110" s="316"/>
      <c r="J110" s="317"/>
      <c r="K110" s="317"/>
      <c r="L110" s="317"/>
      <c r="M110" s="317"/>
      <c r="N110" s="317"/>
      <c r="O110" s="317"/>
      <c r="P110" s="317"/>
      <c r="Q110" s="317"/>
      <c r="R110" s="317"/>
      <c r="S110" s="317"/>
      <c r="T110" s="317"/>
      <c r="U110" s="317"/>
      <c r="V110" s="317"/>
      <c r="W110" s="315"/>
      <c r="X110" s="342"/>
      <c r="Y110" s="342"/>
    </row>
    <row r="111" spans="1:25" ht="11.25">
      <c r="A111" s="159" t="s">
        <v>50</v>
      </c>
      <c r="B111" s="315"/>
      <c r="C111" s="316"/>
      <c r="D111" s="316"/>
      <c r="E111" s="316"/>
      <c r="F111" s="316"/>
      <c r="G111" s="316"/>
      <c r="H111" s="316"/>
      <c r="I111" s="316"/>
      <c r="J111" s="317"/>
      <c r="K111" s="317"/>
      <c r="L111" s="317"/>
      <c r="M111" s="317"/>
      <c r="N111" s="317"/>
      <c r="O111" s="317"/>
      <c r="P111" s="317"/>
      <c r="Q111" s="317"/>
      <c r="R111" s="317"/>
      <c r="S111" s="317"/>
      <c r="T111" s="317"/>
      <c r="U111" s="317"/>
      <c r="V111" s="317"/>
      <c r="W111" s="315"/>
      <c r="X111" s="342"/>
      <c r="Y111" s="342"/>
    </row>
    <row r="112" spans="1:25" ht="11.25">
      <c r="A112" s="322" t="s">
        <v>204</v>
      </c>
      <c r="B112" s="315">
        <f>'OEA GMR External working copy'!B130</f>
        <v>623288.49</v>
      </c>
      <c r="C112" s="316"/>
      <c r="D112" s="316"/>
      <c r="E112" s="316"/>
      <c r="F112" s="316"/>
      <c r="G112" s="316"/>
      <c r="H112" s="316"/>
      <c r="I112" s="316"/>
      <c r="J112" s="317"/>
      <c r="K112" s="317"/>
      <c r="L112" s="317"/>
      <c r="M112" s="317"/>
      <c r="N112" s="317"/>
      <c r="O112" s="317"/>
      <c r="P112" s="317"/>
      <c r="Q112" s="317"/>
      <c r="R112" s="317"/>
      <c r="S112" s="317"/>
      <c r="T112" s="317"/>
      <c r="U112" s="317"/>
      <c r="V112" s="317"/>
      <c r="W112" s="315">
        <f>SUM(B112:V112)</f>
        <v>623288.49</v>
      </c>
      <c r="X112" s="342"/>
      <c r="Y112" s="342"/>
    </row>
    <row r="113" spans="1:25" ht="11.25">
      <c r="A113" s="318" t="s">
        <v>189</v>
      </c>
      <c r="B113" s="315">
        <f>'OEA GMR External working copy'!B131</f>
        <v>66804.99</v>
      </c>
      <c r="C113" s="316">
        <f>'OEA GMR External working copy'!E131</f>
        <v>432646</v>
      </c>
      <c r="D113" s="316">
        <f>'OEA GMR External working copy'!C131</f>
        <v>352330.37</v>
      </c>
      <c r="E113" s="316">
        <f>'OEA GMR External working copy'!D131</f>
        <v>0</v>
      </c>
      <c r="F113" s="316">
        <f>'OEA GMR External working copy'!G131</f>
        <v>0</v>
      </c>
      <c r="G113" s="316">
        <f>'OEA GMR External working copy'!H131</f>
        <v>840527.26</v>
      </c>
      <c r="H113" s="316">
        <f>'OEA GMR External working copy'!I131</f>
        <v>114475.9</v>
      </c>
      <c r="I113" s="316">
        <f>'OEA GMR External working copy'!F131</f>
        <v>89261.79</v>
      </c>
      <c r="J113" s="317">
        <f>'OEA GMR External working copy'!L131</f>
        <v>145620.71</v>
      </c>
      <c r="K113" s="317">
        <f>'OEA GMR External working copy'!T131</f>
        <v>37979.38</v>
      </c>
      <c r="L113" s="317">
        <f>'OEA GMR External working copy'!S131</f>
        <v>40529.55</v>
      </c>
      <c r="M113" s="317">
        <f>'OEA GMR External working copy'!U131</f>
        <v>10368</v>
      </c>
      <c r="N113" s="317">
        <f>'OEA GMR External working copy'!P131</f>
        <v>218370</v>
      </c>
      <c r="O113" s="317">
        <f>'OEA GMR External working copy'!N131</f>
        <v>111583.4</v>
      </c>
      <c r="P113" s="317">
        <f>'OEA GMR External working copy'!O131</f>
        <v>21029</v>
      </c>
      <c r="Q113" s="317">
        <f>'OEA GMR External working copy'!V131</f>
        <v>22648.53</v>
      </c>
      <c r="R113" s="317">
        <f>'OEA GMR External working copy'!Q131</f>
        <v>250725.78</v>
      </c>
      <c r="S113" s="317">
        <f>'OEA GMR External working copy'!R131</f>
        <v>20580.55</v>
      </c>
      <c r="T113" s="317">
        <f>'OEA GMR External working copy'!M131</f>
        <v>130172</v>
      </c>
      <c r="U113" s="317">
        <f>'OEA GMR External working copy'!J131</f>
        <v>61927</v>
      </c>
      <c r="V113" s="317">
        <f>'OEA GMR External working copy'!K131</f>
        <v>231627.43</v>
      </c>
      <c r="W113" s="315">
        <f>SUM(B113:V113)</f>
        <v>3199207.639999999</v>
      </c>
      <c r="X113" s="342"/>
      <c r="Y113" s="342"/>
    </row>
    <row r="114" spans="1:25" ht="11.25">
      <c r="A114" s="318" t="s">
        <v>187</v>
      </c>
      <c r="B114" s="315"/>
      <c r="C114" s="316">
        <f>'OEA GMR External working copy'!E132</f>
        <v>1097296</v>
      </c>
      <c r="D114" s="316">
        <f>'OEA GMR External working copy'!C132</f>
        <v>646963.86</v>
      </c>
      <c r="E114" s="316">
        <f>'OEA GMR External working copy'!D132</f>
        <v>0</v>
      </c>
      <c r="F114" s="316">
        <f>'OEA GMR External working copy'!G132</f>
        <v>0</v>
      </c>
      <c r="G114" s="316">
        <f>'OEA GMR External working copy'!H132</f>
        <v>891730.34</v>
      </c>
      <c r="H114" s="316">
        <f>'OEA GMR External working copy'!I132</f>
        <v>235359.01</v>
      </c>
      <c r="I114" s="316">
        <f>'OEA GMR External working copy'!F132</f>
        <v>125657.48</v>
      </c>
      <c r="J114" s="317">
        <f>'OEA GMR External working copy'!L132</f>
        <v>224082.24</v>
      </c>
      <c r="K114" s="317">
        <f>'OEA GMR External working copy'!T132</f>
        <v>121219.7</v>
      </c>
      <c r="L114" s="317">
        <f>'OEA GMR External working copy'!S132</f>
        <v>68020.63</v>
      </c>
      <c r="M114" s="317">
        <f>'OEA GMR External working copy'!U132</f>
        <v>9847</v>
      </c>
      <c r="N114" s="317">
        <f>'OEA GMR External working copy'!P132</f>
        <v>391971</v>
      </c>
      <c r="O114" s="317">
        <f>'OEA GMR External working copy'!N132</f>
        <v>150769.72</v>
      </c>
      <c r="P114" s="317">
        <f>'OEA GMR External working copy'!O132</f>
        <v>26997</v>
      </c>
      <c r="Q114" s="317">
        <f>'OEA GMR External working copy'!V132</f>
        <v>38697.91</v>
      </c>
      <c r="R114" s="317">
        <f>'OEA GMR External working copy'!Q132</f>
        <v>321674.05</v>
      </c>
      <c r="S114" s="317">
        <f>'OEA GMR External working copy'!R132</f>
        <v>45312.74</v>
      </c>
      <c r="T114" s="317">
        <f>'OEA GMR External working copy'!M132</f>
        <v>358751</v>
      </c>
      <c r="U114" s="317">
        <f>'OEA GMR External working copy'!J132</f>
        <v>84991</v>
      </c>
      <c r="V114" s="317">
        <f>'OEA GMR External working copy'!K132</f>
        <v>182842.96</v>
      </c>
      <c r="W114" s="315">
        <f>SUM(B114:V114)</f>
        <v>5022183.640000001</v>
      </c>
      <c r="X114" s="342"/>
      <c r="Y114" s="342"/>
    </row>
    <row r="115" spans="1:25" ht="11.25">
      <c r="A115" s="318" t="s">
        <v>188</v>
      </c>
      <c r="B115" s="315">
        <v>0</v>
      </c>
      <c r="C115" s="316">
        <f>'OEA GMR External working copy'!E133</f>
        <v>5662412.6</v>
      </c>
      <c r="D115" s="316">
        <f>'OEA GMR External working copy'!C133</f>
        <v>3723958</v>
      </c>
      <c r="E115" s="316">
        <f>'OEA GMR External working copy'!D133</f>
        <v>0</v>
      </c>
      <c r="F115" s="316">
        <f>'OEA GMR External working copy'!G133</f>
        <v>0</v>
      </c>
      <c r="G115" s="316">
        <f>'OEA GMR External working copy'!H133</f>
        <v>8536162</v>
      </c>
      <c r="H115" s="316">
        <f>'OEA GMR External working copy'!I133</f>
        <v>3492789</v>
      </c>
      <c r="I115" s="316">
        <f>'OEA GMR External working copy'!F133</f>
        <v>660410</v>
      </c>
      <c r="J115" s="317">
        <f>'OEA GMR External working copy'!L133</f>
        <v>2244610.57</v>
      </c>
      <c r="K115" s="317">
        <f>'OEA GMR External working copy'!T133</f>
        <v>613407</v>
      </c>
      <c r="L115" s="317">
        <f>'OEA GMR External working copy'!S133</f>
        <v>443293</v>
      </c>
      <c r="M115" s="317">
        <f>'OEA GMR External working copy'!U133</f>
        <v>105038</v>
      </c>
      <c r="N115" s="317">
        <f>'OEA GMR External working copy'!P133</f>
        <v>2587746</v>
      </c>
      <c r="O115" s="317">
        <f>'OEA GMR External working copy'!N133</f>
        <v>770449</v>
      </c>
      <c r="P115" s="317">
        <f>'OEA GMR External working copy'!O133</f>
        <v>177613</v>
      </c>
      <c r="Q115" s="317">
        <f>'OEA GMR External working copy'!V133</f>
        <v>233887</v>
      </c>
      <c r="R115" s="317">
        <f>'OEA GMR External working copy'!Q133</f>
        <v>2470739</v>
      </c>
      <c r="S115" s="317">
        <f>'OEA GMR External working copy'!R133</f>
        <v>661265</v>
      </c>
      <c r="T115" s="317">
        <f>'OEA GMR External working copy'!M133</f>
        <v>1865197.61</v>
      </c>
      <c r="U115" s="317">
        <f>'OEA GMR External working copy'!J133</f>
        <v>621585</v>
      </c>
      <c r="V115" s="317">
        <f>'OEA GMR External working copy'!K133</f>
        <v>1904774.88</v>
      </c>
      <c r="W115" s="315">
        <f>SUM(B115:V115)</f>
        <v>36775336.660000004</v>
      </c>
      <c r="X115" s="342"/>
      <c r="Y115" s="342"/>
    </row>
    <row r="116" spans="1:25" ht="11.25">
      <c r="A116" s="162" t="s">
        <v>52</v>
      </c>
      <c r="B116" s="319"/>
      <c r="C116" s="320"/>
      <c r="D116" s="320"/>
      <c r="E116" s="320"/>
      <c r="F116" s="320"/>
      <c r="G116" s="320"/>
      <c r="H116" s="320"/>
      <c r="I116" s="320"/>
      <c r="J116" s="321"/>
      <c r="K116" s="321"/>
      <c r="L116" s="321"/>
      <c r="M116" s="321"/>
      <c r="N116" s="321"/>
      <c r="O116" s="321"/>
      <c r="P116" s="321"/>
      <c r="Q116" s="321"/>
      <c r="R116" s="321"/>
      <c r="S116" s="321"/>
      <c r="T116" s="321"/>
      <c r="U116" s="321"/>
      <c r="V116" s="321"/>
      <c r="W116" s="319"/>
      <c r="X116" s="342"/>
      <c r="Y116" s="342"/>
    </row>
    <row r="117" spans="1:25" ht="11.25">
      <c r="A117" s="159" t="s">
        <v>6</v>
      </c>
      <c r="B117" s="315">
        <f>SUM(B112:B116)</f>
        <v>690093.48</v>
      </c>
      <c r="C117" s="316">
        <f aca="true" t="shared" si="15" ref="C117:S117">SUM(C113:C116)</f>
        <v>7192354.6</v>
      </c>
      <c r="D117" s="316">
        <f>SUM(D113:D116)</f>
        <v>4723252.23</v>
      </c>
      <c r="E117" s="316">
        <f>SUM(E113:E116)</f>
        <v>0</v>
      </c>
      <c r="F117" s="316">
        <f t="shared" si="15"/>
        <v>0</v>
      </c>
      <c r="G117" s="316">
        <f t="shared" si="15"/>
        <v>10268419.6</v>
      </c>
      <c r="H117" s="316">
        <f t="shared" si="15"/>
        <v>3842623.91</v>
      </c>
      <c r="I117" s="316">
        <f>SUM(I113:I116)</f>
        <v>875329.27</v>
      </c>
      <c r="J117" s="317">
        <f t="shared" si="15"/>
        <v>2614313.5199999996</v>
      </c>
      <c r="K117" s="317">
        <f>SUM(K113:K116)</f>
        <v>772606.08</v>
      </c>
      <c r="L117" s="317">
        <f>SUM(L113:L116)</f>
        <v>551843.18</v>
      </c>
      <c r="M117" s="317">
        <f>SUM(M113:M116)</f>
        <v>125253</v>
      </c>
      <c r="N117" s="317">
        <f>SUM(N113:N116)</f>
        <v>3198087</v>
      </c>
      <c r="O117" s="317">
        <f t="shared" si="15"/>
        <v>1032802.12</v>
      </c>
      <c r="P117" s="317">
        <f t="shared" si="15"/>
        <v>225639</v>
      </c>
      <c r="Q117" s="317">
        <f>SUM(Q113:Q116)</f>
        <v>295233.44</v>
      </c>
      <c r="R117" s="317">
        <f t="shared" si="15"/>
        <v>3043138.83</v>
      </c>
      <c r="S117" s="317">
        <f t="shared" si="15"/>
        <v>727158.29</v>
      </c>
      <c r="T117" s="317">
        <f>SUM(T113:T116)</f>
        <v>2354120.6100000003</v>
      </c>
      <c r="U117" s="317">
        <f>SUM(U113:U116)</f>
        <v>768503</v>
      </c>
      <c r="V117" s="317">
        <f>SUM(V113:V116)</f>
        <v>2319245.27</v>
      </c>
      <c r="W117" s="315">
        <f>SUM(B117:V117)</f>
        <v>45620016.42999999</v>
      </c>
      <c r="X117" s="342"/>
      <c r="Y117" s="342"/>
    </row>
    <row r="118" spans="1:25" ht="11.25">
      <c r="A118" s="167"/>
      <c r="B118" s="315"/>
      <c r="C118" s="316"/>
      <c r="D118" s="316"/>
      <c r="E118" s="316"/>
      <c r="F118" s="316"/>
      <c r="G118" s="316"/>
      <c r="H118" s="316"/>
      <c r="I118" s="316"/>
      <c r="J118" s="317"/>
      <c r="K118" s="317"/>
      <c r="L118" s="317"/>
      <c r="M118" s="317"/>
      <c r="N118" s="317"/>
      <c r="O118" s="317"/>
      <c r="P118" s="317"/>
      <c r="Q118" s="317"/>
      <c r="R118" s="317"/>
      <c r="S118" s="317"/>
      <c r="T118" s="317"/>
      <c r="U118" s="317"/>
      <c r="V118" s="317"/>
      <c r="W118" s="315"/>
      <c r="X118" s="342"/>
      <c r="Y118" s="342"/>
    </row>
    <row r="119" spans="1:25" ht="11.25">
      <c r="A119" s="167"/>
      <c r="B119" s="319"/>
      <c r="C119" s="320"/>
      <c r="D119" s="320"/>
      <c r="E119" s="320"/>
      <c r="F119" s="320"/>
      <c r="G119" s="320"/>
      <c r="H119" s="320"/>
      <c r="I119" s="320"/>
      <c r="J119" s="321"/>
      <c r="K119" s="321"/>
      <c r="L119" s="321"/>
      <c r="M119" s="321"/>
      <c r="N119" s="321"/>
      <c r="O119" s="321"/>
      <c r="P119" s="321"/>
      <c r="Q119" s="321"/>
      <c r="R119" s="321"/>
      <c r="S119" s="321"/>
      <c r="T119" s="321"/>
      <c r="U119" s="321"/>
      <c r="V119" s="321"/>
      <c r="W119" s="319"/>
      <c r="X119" s="342"/>
      <c r="Y119" s="342"/>
    </row>
    <row r="120" spans="1:25" ht="12" thickBot="1">
      <c r="A120" s="159" t="s">
        <v>479</v>
      </c>
      <c r="B120" s="323">
        <f>B100+B109-B117</f>
        <v>274883.39000000013</v>
      </c>
      <c r="C120" s="324">
        <f aca="true" t="shared" si="16" ref="C120:S120">C100+C109-C117</f>
        <v>798533.1099999994</v>
      </c>
      <c r="D120" s="324">
        <f>D100+D109-D117</f>
        <v>1458765.7799999993</v>
      </c>
      <c r="E120" s="324">
        <f>E100+E109-E117</f>
        <v>12498.050000000001</v>
      </c>
      <c r="F120" s="324">
        <f t="shared" si="16"/>
        <v>2215.4300000000003</v>
      </c>
      <c r="G120" s="324">
        <f t="shared" si="16"/>
        <v>1085996.4000000004</v>
      </c>
      <c r="H120" s="324">
        <f t="shared" si="16"/>
        <v>306698.86999999965</v>
      </c>
      <c r="I120" s="324">
        <f>I100+I109-I117</f>
        <v>79396.68999999994</v>
      </c>
      <c r="J120" s="325">
        <f t="shared" si="16"/>
        <v>362366.80000000075</v>
      </c>
      <c r="K120" s="325">
        <f>K100+K109-K117</f>
        <v>122646.47999999998</v>
      </c>
      <c r="L120" s="325">
        <f>L100+L109-L117</f>
        <v>153814.92999999993</v>
      </c>
      <c r="M120" s="325">
        <f>M100+M109-M117</f>
        <v>10888.100000000006</v>
      </c>
      <c r="N120" s="325">
        <f>N100+N109-N117</f>
        <v>216353.3500000001</v>
      </c>
      <c r="O120" s="325">
        <f t="shared" si="16"/>
        <v>59568.640000000014</v>
      </c>
      <c r="P120" s="325">
        <f t="shared" si="16"/>
        <v>16985.399999999994</v>
      </c>
      <c r="Q120" s="325">
        <f>Q100+Q109-Q117</f>
        <v>58557.27000000002</v>
      </c>
      <c r="R120" s="325">
        <f t="shared" si="16"/>
        <v>657775.29</v>
      </c>
      <c r="S120" s="325">
        <f t="shared" si="16"/>
        <v>65922.87</v>
      </c>
      <c r="T120" s="325">
        <f>T100+T109-T117</f>
        <v>271806.64999999944</v>
      </c>
      <c r="U120" s="325">
        <f>U100+U109-U117</f>
        <v>54979.78000000003</v>
      </c>
      <c r="V120" s="325">
        <f>V100+V109-V117</f>
        <v>130917.72999999998</v>
      </c>
      <c r="W120" s="323">
        <f>SUM(B120:V120)</f>
        <v>6201571.01</v>
      </c>
      <c r="X120" s="342"/>
      <c r="Y120" s="342" t="s">
        <v>52</v>
      </c>
    </row>
    <row r="121" spans="2:25" ht="12" thickTop="1">
      <c r="B121" s="315"/>
      <c r="C121" s="316"/>
      <c r="D121" s="316"/>
      <c r="E121" s="316"/>
      <c r="F121" s="316"/>
      <c r="G121" s="316"/>
      <c r="H121" s="316"/>
      <c r="I121" s="316"/>
      <c r="J121" s="317"/>
      <c r="K121" s="317"/>
      <c r="L121" s="317"/>
      <c r="M121" s="317"/>
      <c r="N121" s="317"/>
      <c r="O121" s="317"/>
      <c r="P121" s="317"/>
      <c r="Q121" s="317"/>
      <c r="R121" s="317"/>
      <c r="S121" s="317"/>
      <c r="T121" s="317"/>
      <c r="U121" s="317"/>
      <c r="V121" s="317"/>
      <c r="W121" s="315"/>
      <c r="X121" s="342"/>
      <c r="Y121" s="342"/>
    </row>
    <row r="122" spans="1:25" ht="11.25">
      <c r="A122" s="322" t="s">
        <v>483</v>
      </c>
      <c r="B122" s="315">
        <f>'OEA GMR External working copy'!B144</f>
        <v>5571.259999999999</v>
      </c>
      <c r="C122" s="316">
        <f>'OEA GMR External working copy'!E144</f>
        <v>531296.4</v>
      </c>
      <c r="D122" s="316">
        <f>'OEA GMR External working copy'!C144</f>
        <v>1273087.71</v>
      </c>
      <c r="E122" s="316">
        <f>'OEA GMR External working copy'!D144</f>
        <v>11870</v>
      </c>
      <c r="F122" s="316">
        <f>'OEA GMR External working copy'!G144</f>
        <v>1977</v>
      </c>
      <c r="G122" s="316">
        <f>'OEA GMR External working copy'!H144</f>
        <v>760674.6599999999</v>
      </c>
      <c r="H122" s="316">
        <f>'OEA GMR External working copy'!I144</f>
        <v>175592.93</v>
      </c>
      <c r="I122" s="316">
        <f>'OEA GMR External working copy'!F144</f>
        <v>49881.380000000005</v>
      </c>
      <c r="J122" s="317">
        <f>'OEA GMR External working copy'!L144</f>
        <v>267640.95</v>
      </c>
      <c r="K122" s="317">
        <f>'OEA GMR External working copy'!T144</f>
        <v>98418.41</v>
      </c>
      <c r="L122" s="317">
        <f>'OEA GMR External working copy'!S144</f>
        <v>129883.82</v>
      </c>
      <c r="M122" s="317">
        <f>'OEA GMR External working copy'!U144</f>
        <v>6637</v>
      </c>
      <c r="N122" s="317">
        <f>'OEA GMR External working copy'!P144</f>
        <v>108448</v>
      </c>
      <c r="O122" s="317">
        <f>'OEA GMR External working copy'!N144</f>
        <v>20521.05</v>
      </c>
      <c r="P122" s="317">
        <f>'OEA GMR External working copy'!O144</f>
        <v>8624.33</v>
      </c>
      <c r="Q122" s="317">
        <f>'OEA GMR External working copy'!V144</f>
        <v>49679.98</v>
      </c>
      <c r="R122" s="317">
        <f>'OEA GMR External working copy'!Q144</f>
        <v>555236.3300000001</v>
      </c>
      <c r="S122" s="317">
        <f>'OEA GMR External working copy'!R144</f>
        <v>41149.71</v>
      </c>
      <c r="T122" s="317">
        <f>'OEA GMR External working copy'!M144</f>
        <v>189539.78999999998</v>
      </c>
      <c r="U122" s="317">
        <f>'OEA GMR External working copy'!J144</f>
        <v>27995.6</v>
      </c>
      <c r="V122" s="317">
        <f>'OEA GMR External working copy'!K144</f>
        <v>47153.2</v>
      </c>
      <c r="W122" s="315">
        <f>SUM(B122:V122)</f>
        <v>4360879.51</v>
      </c>
      <c r="X122" s="342"/>
      <c r="Y122" s="342"/>
    </row>
    <row r="123" spans="1:25" ht="11.25">
      <c r="A123" s="168"/>
      <c r="B123" s="319"/>
      <c r="C123" s="320"/>
      <c r="D123" s="320"/>
      <c r="E123" s="320"/>
      <c r="F123" s="320"/>
      <c r="G123" s="320"/>
      <c r="H123" s="320"/>
      <c r="I123" s="320"/>
      <c r="J123" s="321"/>
      <c r="K123" s="321"/>
      <c r="L123" s="321"/>
      <c r="M123" s="321"/>
      <c r="N123" s="321"/>
      <c r="O123" s="321"/>
      <c r="P123" s="321"/>
      <c r="Q123" s="321"/>
      <c r="R123" s="321"/>
      <c r="S123" s="321"/>
      <c r="T123" s="321"/>
      <c r="U123" s="321"/>
      <c r="V123" s="321"/>
      <c r="W123" s="319"/>
      <c r="X123" s="342"/>
      <c r="Y123" s="342"/>
    </row>
    <row r="124" spans="1:25" ht="12" thickBot="1">
      <c r="A124" s="159" t="s">
        <v>484</v>
      </c>
      <c r="B124" s="323">
        <f aca="true" t="shared" si="17" ref="B124:S124">B120-B122</f>
        <v>269312.1300000001</v>
      </c>
      <c r="C124" s="324">
        <f t="shared" si="17"/>
        <v>267236.7099999994</v>
      </c>
      <c r="D124" s="324">
        <f>D120-D122</f>
        <v>185678.06999999937</v>
      </c>
      <c r="E124" s="324">
        <f>E120-E122</f>
        <v>628.0500000000011</v>
      </c>
      <c r="F124" s="324">
        <f t="shared" si="17"/>
        <v>238.4300000000003</v>
      </c>
      <c r="G124" s="324">
        <f t="shared" si="17"/>
        <v>325321.74000000046</v>
      </c>
      <c r="H124" s="324">
        <f t="shared" si="17"/>
        <v>131105.93999999965</v>
      </c>
      <c r="I124" s="324">
        <f>I120-I122</f>
        <v>29515.30999999994</v>
      </c>
      <c r="J124" s="325">
        <f t="shared" si="17"/>
        <v>94725.85000000073</v>
      </c>
      <c r="K124" s="325">
        <f>K120-K122</f>
        <v>24228.069999999978</v>
      </c>
      <c r="L124" s="325">
        <f>L120-L122</f>
        <v>23931.109999999928</v>
      </c>
      <c r="M124" s="325">
        <f>M120-M122</f>
        <v>4251.100000000006</v>
      </c>
      <c r="N124" s="325">
        <f>N120-N122</f>
        <v>107905.3500000001</v>
      </c>
      <c r="O124" s="325">
        <f t="shared" si="17"/>
        <v>39047.59000000001</v>
      </c>
      <c r="P124" s="325">
        <f t="shared" si="17"/>
        <v>8361.069999999994</v>
      </c>
      <c r="Q124" s="325">
        <f>Q120-Q122</f>
        <v>8877.290000000015</v>
      </c>
      <c r="R124" s="325">
        <f t="shared" si="17"/>
        <v>102538.95999999996</v>
      </c>
      <c r="S124" s="325">
        <f t="shared" si="17"/>
        <v>24773.159999999996</v>
      </c>
      <c r="T124" s="325">
        <f>T120-T122</f>
        <v>82266.85999999946</v>
      </c>
      <c r="U124" s="325">
        <f>U120-U122</f>
        <v>26984.18000000003</v>
      </c>
      <c r="V124" s="325">
        <f>V120-V122</f>
        <v>83764.52999999998</v>
      </c>
      <c r="W124" s="323">
        <f>SUM(B124:V124)</f>
        <v>1840691.4999999993</v>
      </c>
      <c r="X124" s="342"/>
      <c r="Y124" s="342"/>
    </row>
    <row r="125" spans="2:25" ht="12" thickTop="1">
      <c r="B125" s="342"/>
      <c r="C125" s="342"/>
      <c r="D125" s="342"/>
      <c r="E125" s="342"/>
      <c r="F125" s="342"/>
      <c r="G125" s="342"/>
      <c r="H125" s="342"/>
      <c r="I125" s="342"/>
      <c r="J125" s="342"/>
      <c r="K125" s="342"/>
      <c r="L125" s="342"/>
      <c r="M125" s="342"/>
      <c r="N125" s="342"/>
      <c r="O125" s="342"/>
      <c r="P125" s="342"/>
      <c r="Q125" s="342"/>
      <c r="R125" s="342"/>
      <c r="S125" s="342"/>
      <c r="T125" s="342"/>
      <c r="U125" s="342"/>
      <c r="V125" s="342"/>
      <c r="W125" s="342"/>
      <c r="X125" s="342"/>
      <c r="Y125" s="342"/>
    </row>
    <row r="126" spans="2:25" ht="11.25">
      <c r="B126" s="342"/>
      <c r="C126" s="342"/>
      <c r="D126" s="342"/>
      <c r="E126" s="342"/>
      <c r="F126" s="342"/>
      <c r="G126" s="342"/>
      <c r="H126" s="342"/>
      <c r="I126" s="342"/>
      <c r="J126" s="342"/>
      <c r="K126" s="342"/>
      <c r="L126" s="342"/>
      <c r="M126" s="342"/>
      <c r="N126" s="342"/>
      <c r="O126" s="342"/>
      <c r="P126" s="342"/>
      <c r="Q126" s="342"/>
      <c r="R126" s="342"/>
      <c r="S126" s="342"/>
      <c r="T126" s="342"/>
      <c r="U126" s="342"/>
      <c r="V126" s="342"/>
      <c r="W126" s="342"/>
      <c r="X126" s="342"/>
      <c r="Y126" s="342"/>
    </row>
    <row r="127" spans="1:25" ht="11.25">
      <c r="A127" s="159"/>
      <c r="B127" s="340"/>
      <c r="C127" s="417" t="s">
        <v>190</v>
      </c>
      <c r="D127" s="417"/>
      <c r="E127" s="417"/>
      <c r="F127" s="417"/>
      <c r="G127" s="417"/>
      <c r="H127" s="417"/>
      <c r="I127" s="417"/>
      <c r="J127" s="417" t="s">
        <v>424</v>
      </c>
      <c r="K127" s="417"/>
      <c r="L127" s="417"/>
      <c r="M127" s="417"/>
      <c r="N127" s="417"/>
      <c r="O127" s="417"/>
      <c r="P127" s="417"/>
      <c r="Q127" s="417"/>
      <c r="R127" s="417"/>
      <c r="S127" s="417"/>
      <c r="T127" s="417"/>
      <c r="U127" s="417"/>
      <c r="V127" s="417"/>
      <c r="W127" s="340"/>
      <c r="X127" s="342"/>
      <c r="Y127" s="342"/>
    </row>
    <row r="128" spans="1:25" ht="11.25">
      <c r="A128" s="306"/>
      <c r="B128" s="327" t="s">
        <v>11</v>
      </c>
      <c r="C128" s="328" t="s">
        <v>34</v>
      </c>
      <c r="D128" s="328" t="s">
        <v>35</v>
      </c>
      <c r="E128" s="328" t="s">
        <v>25</v>
      </c>
      <c r="F128" s="328" t="s">
        <v>28</v>
      </c>
      <c r="G128" s="328" t="s">
        <v>29</v>
      </c>
      <c r="H128" s="328" t="s">
        <v>30</v>
      </c>
      <c r="I128" s="328" t="s">
        <v>36</v>
      </c>
      <c r="J128" s="329" t="s">
        <v>23</v>
      </c>
      <c r="K128" s="329" t="s">
        <v>24</v>
      </c>
      <c r="L128" s="329" t="s">
        <v>25</v>
      </c>
      <c r="M128" s="329" t="s">
        <v>26</v>
      </c>
      <c r="N128" s="329" t="s">
        <v>27</v>
      </c>
      <c r="O128" s="329" t="s">
        <v>165</v>
      </c>
      <c r="P128" s="329" t="s">
        <v>37</v>
      </c>
      <c r="Q128" s="329" t="s">
        <v>28</v>
      </c>
      <c r="R128" s="329" t="s">
        <v>29</v>
      </c>
      <c r="S128" s="329" t="s">
        <v>30</v>
      </c>
      <c r="T128" s="329" t="s">
        <v>31</v>
      </c>
      <c r="U128" s="329" t="s">
        <v>32</v>
      </c>
      <c r="V128" s="329" t="s">
        <v>33</v>
      </c>
      <c r="W128" s="315"/>
      <c r="X128" s="342"/>
      <c r="Y128" s="342"/>
    </row>
    <row r="129" spans="2:25" ht="11.25">
      <c r="B129" s="327" t="s">
        <v>44</v>
      </c>
      <c r="C129" s="330" t="s">
        <v>282</v>
      </c>
      <c r="D129" s="330" t="s">
        <v>280</v>
      </c>
      <c r="E129" s="330" t="s">
        <v>281</v>
      </c>
      <c r="F129" s="330" t="s">
        <v>284</v>
      </c>
      <c r="G129" s="330" t="s">
        <v>285</v>
      </c>
      <c r="H129" s="330" t="s">
        <v>286</v>
      </c>
      <c r="I129" s="330" t="s">
        <v>283</v>
      </c>
      <c r="J129" s="331" t="s">
        <v>291</v>
      </c>
      <c r="K129" s="331" t="s">
        <v>304</v>
      </c>
      <c r="L129" s="331" t="s">
        <v>299</v>
      </c>
      <c r="M129" s="331" t="s">
        <v>301</v>
      </c>
      <c r="N129" s="331" t="s">
        <v>297</v>
      </c>
      <c r="O129" s="331" t="s">
        <v>294</v>
      </c>
      <c r="P129" s="331" t="s">
        <v>296</v>
      </c>
      <c r="Q129" s="331" t="s">
        <v>302</v>
      </c>
      <c r="R129" s="331" t="s">
        <v>285</v>
      </c>
      <c r="S129" s="331" t="s">
        <v>286</v>
      </c>
      <c r="T129" s="331" t="s">
        <v>292</v>
      </c>
      <c r="U129" s="331" t="s">
        <v>288</v>
      </c>
      <c r="V129" s="331" t="s">
        <v>289</v>
      </c>
      <c r="W129" s="327" t="s">
        <v>3</v>
      </c>
      <c r="X129" s="342"/>
      <c r="Y129" s="342"/>
    </row>
    <row r="130" spans="2:23" ht="11.25">
      <c r="B130" s="332" t="s">
        <v>52</v>
      </c>
      <c r="C130" s="333" t="s">
        <v>52</v>
      </c>
      <c r="D130" s="333" t="s">
        <v>52</v>
      </c>
      <c r="E130" s="333" t="s">
        <v>52</v>
      </c>
      <c r="F130" s="333" t="s">
        <v>52</v>
      </c>
      <c r="G130" s="333" t="s">
        <v>52</v>
      </c>
      <c r="H130" s="334" t="s">
        <v>287</v>
      </c>
      <c r="I130" s="333" t="s">
        <v>52</v>
      </c>
      <c r="J130" s="335" t="s">
        <v>52</v>
      </c>
      <c r="K130" s="336" t="s">
        <v>305</v>
      </c>
      <c r="L130" s="336" t="s">
        <v>300</v>
      </c>
      <c r="M130" s="335" t="s">
        <v>52</v>
      </c>
      <c r="N130" s="336" t="s">
        <v>298</v>
      </c>
      <c r="O130" s="336" t="s">
        <v>295</v>
      </c>
      <c r="P130" s="335" t="s">
        <v>52</v>
      </c>
      <c r="Q130" s="336" t="s">
        <v>303</v>
      </c>
      <c r="R130" s="335" t="s">
        <v>52</v>
      </c>
      <c r="S130" s="336" t="s">
        <v>287</v>
      </c>
      <c r="T130" s="336" t="s">
        <v>293</v>
      </c>
      <c r="U130" s="335" t="s">
        <v>52</v>
      </c>
      <c r="V130" s="336" t="s">
        <v>290</v>
      </c>
      <c r="W130" s="319"/>
    </row>
    <row r="131" spans="1:23" ht="11.25">
      <c r="A131" s="160" t="s">
        <v>502</v>
      </c>
      <c r="B131" s="315">
        <f>'OEA GMR External working copy'!B157</f>
        <v>274883.38999999996</v>
      </c>
      <c r="C131" s="316">
        <f>'OEA GMR External working copy'!E157</f>
        <v>798533.11</v>
      </c>
      <c r="D131" s="316">
        <f>'OEA GMR External working copy'!C157</f>
        <v>1458765.78</v>
      </c>
      <c r="E131" s="316">
        <f>'OEA GMR External working copy'!D157</f>
        <v>12498.05</v>
      </c>
      <c r="F131" s="316">
        <f>'OEA GMR External working copy'!G157</f>
        <v>2215.43</v>
      </c>
      <c r="G131" s="316">
        <f>'OEA GMR External working copy'!H157</f>
        <v>1085996.4</v>
      </c>
      <c r="H131" s="316">
        <f>'OEA GMR External working copy'!I157</f>
        <v>306698.87</v>
      </c>
      <c r="I131" s="316">
        <f>'OEA GMR External working copy'!F157</f>
        <v>79396.69</v>
      </c>
      <c r="J131" s="317">
        <f>'OEA GMR External working copy'!L157</f>
        <v>362366.8</v>
      </c>
      <c r="K131" s="317">
        <f>'OEA GMR External working copy'!T157</f>
        <v>122646.48</v>
      </c>
      <c r="L131" s="317">
        <f>'OEA GMR External working copy'!S157</f>
        <v>153814.93</v>
      </c>
      <c r="M131" s="317">
        <f>'OEA GMR External working copy'!U157</f>
        <v>10888.1</v>
      </c>
      <c r="N131" s="317">
        <f>'OEA GMR External working copy'!P157</f>
        <v>216353.35</v>
      </c>
      <c r="O131" s="317">
        <f>'OEA GMR External working copy'!N157</f>
        <v>59568.64</v>
      </c>
      <c r="P131" s="317">
        <f>'OEA GMR External working copy'!O157</f>
        <v>16985.4</v>
      </c>
      <c r="Q131" s="317">
        <f>'OEA GMR External working copy'!V157</f>
        <v>58557.27</v>
      </c>
      <c r="R131" s="317">
        <f>'OEA GMR External working copy'!Q157</f>
        <v>657775.29</v>
      </c>
      <c r="S131" s="317">
        <f>'OEA GMR External working copy'!R157</f>
        <v>65922.87</v>
      </c>
      <c r="T131" s="317">
        <f>'OEA GMR External working copy'!M157</f>
        <v>271806.65</v>
      </c>
      <c r="U131" s="317">
        <f>'OEA GMR External working copy'!J157</f>
        <v>54979.78</v>
      </c>
      <c r="V131" s="317">
        <f>'OEA GMR External working copy'!K157</f>
        <v>130917.73</v>
      </c>
      <c r="W131" s="315">
        <f>SUM(B131:V131)</f>
        <v>6201571.010000001</v>
      </c>
    </row>
    <row r="132" spans="2:24" ht="11.25">
      <c r="B132" s="315"/>
      <c r="C132" s="316"/>
      <c r="D132" s="316"/>
      <c r="E132" s="316"/>
      <c r="F132" s="316"/>
      <c r="G132" s="316"/>
      <c r="H132" s="316"/>
      <c r="I132" s="316"/>
      <c r="J132" s="317"/>
      <c r="K132" s="317"/>
      <c r="L132" s="317"/>
      <c r="M132" s="317"/>
      <c r="N132" s="317"/>
      <c r="O132" s="317"/>
      <c r="P132" s="317"/>
      <c r="Q132" s="317"/>
      <c r="R132" s="317"/>
      <c r="S132" s="317"/>
      <c r="T132" s="317"/>
      <c r="U132" s="317"/>
      <c r="V132" s="317"/>
      <c r="W132" s="315"/>
      <c r="X132" s="344"/>
    </row>
    <row r="133" spans="1:24" ht="11.25">
      <c r="A133" s="159" t="s">
        <v>277</v>
      </c>
      <c r="B133" s="315"/>
      <c r="C133" s="316"/>
      <c r="D133" s="316"/>
      <c r="E133" s="316"/>
      <c r="F133" s="316"/>
      <c r="G133" s="316"/>
      <c r="H133" s="316"/>
      <c r="I133" s="316"/>
      <c r="J133" s="317"/>
      <c r="K133" s="317"/>
      <c r="L133" s="317"/>
      <c r="M133" s="317"/>
      <c r="N133" s="317"/>
      <c r="O133" s="317"/>
      <c r="P133" s="317"/>
      <c r="Q133" s="317"/>
      <c r="R133" s="317"/>
      <c r="S133" s="317"/>
      <c r="T133" s="317"/>
      <c r="U133" s="317"/>
      <c r="V133" s="317"/>
      <c r="W133" s="315"/>
      <c r="X133" s="344"/>
    </row>
    <row r="134" spans="1:23" ht="11.25">
      <c r="A134" s="318" t="s">
        <v>190</v>
      </c>
      <c r="B134" s="315">
        <f>'OEA GMR External working copy'!B160</f>
        <v>272275.97</v>
      </c>
      <c r="C134" s="316">
        <f>'OEA GMR External working copy'!E160</f>
        <v>2495458</v>
      </c>
      <c r="D134" s="316">
        <f>'OEA GMR External working copy'!C160</f>
        <v>1743765.58</v>
      </c>
      <c r="E134" s="316">
        <f>'OEA GMR External working copy'!D160</f>
        <v>5352.84</v>
      </c>
      <c r="F134" s="316">
        <f>'OEA GMR External working copy'!G160</f>
        <v>1589.7</v>
      </c>
      <c r="G134" s="316">
        <f>'OEA GMR External working copy'!H160</f>
        <v>3033354.05</v>
      </c>
      <c r="H134" s="316">
        <f>'OEA GMR External working copy'!I160</f>
        <v>1244029.03</v>
      </c>
      <c r="I134" s="316">
        <f>'OEA GMR External working copy'!F160</f>
        <v>280040.48</v>
      </c>
      <c r="J134" s="317"/>
      <c r="K134" s="317"/>
      <c r="L134" s="317"/>
      <c r="M134" s="317"/>
      <c r="N134" s="317"/>
      <c r="O134" s="317"/>
      <c r="P134" s="317"/>
      <c r="Q134" s="317"/>
      <c r="R134" s="317"/>
      <c r="S134" s="317"/>
      <c r="T134" s="317"/>
      <c r="U134" s="317"/>
      <c r="V134" s="317"/>
      <c r="W134" s="315">
        <f>SUM(B134:V134)</f>
        <v>9075865.65</v>
      </c>
    </row>
    <row r="135" spans="1:24" ht="11.25">
      <c r="A135" s="318" t="s">
        <v>424</v>
      </c>
      <c r="B135" s="315">
        <f>'OEA GMR External working copy'!B161</f>
        <v>184434.65</v>
      </c>
      <c r="C135" s="316"/>
      <c r="D135" s="316" t="s">
        <v>52</v>
      </c>
      <c r="E135" s="316"/>
      <c r="F135" s="316"/>
      <c r="G135" s="316"/>
      <c r="H135" s="316"/>
      <c r="I135" s="316"/>
      <c r="J135" s="317">
        <f>'OEA GMR External working copy'!L161</f>
        <v>896655.69</v>
      </c>
      <c r="K135" s="317">
        <f>'OEA GMR External working copy'!T161</f>
        <v>253531.94</v>
      </c>
      <c r="L135" s="317">
        <f>'OEA GMR External working copy'!S161</f>
        <v>223443.58</v>
      </c>
      <c r="M135" s="317">
        <f>'OEA GMR External working copy'!U161</f>
        <v>42021.12</v>
      </c>
      <c r="N135" s="317">
        <f>'OEA GMR External working copy'!P161</f>
        <v>971548.73</v>
      </c>
      <c r="O135" s="317">
        <f>'OEA GMR External working copy'!N161</f>
        <v>377315.65</v>
      </c>
      <c r="P135" s="317">
        <f>'OEA GMR External working copy'!O161</f>
        <v>79303.34</v>
      </c>
      <c r="Q135" s="317">
        <f>'OEA GMR External working copy'!V161</f>
        <v>86149.3</v>
      </c>
      <c r="R135" s="317">
        <f>'OEA GMR External working copy'!Q161</f>
        <v>965581.75</v>
      </c>
      <c r="S135" s="317">
        <f>'OEA GMR External working copy'!R161</f>
        <v>236825.33</v>
      </c>
      <c r="T135" s="317">
        <f>'OEA GMR External working copy'!M161</f>
        <v>785411.42</v>
      </c>
      <c r="U135" s="317">
        <f>'OEA GMR External working copy'!J161</f>
        <v>244634.01</v>
      </c>
      <c r="V135" s="317">
        <f>'OEA GMR External working copy'!K161</f>
        <v>800963.34</v>
      </c>
      <c r="W135" s="315">
        <f>SUM(B135:V135)</f>
        <v>6147819.849999999</v>
      </c>
      <c r="X135" s="344"/>
    </row>
    <row r="136" spans="1:24" ht="11.25">
      <c r="A136" s="318" t="s">
        <v>279</v>
      </c>
      <c r="B136" s="315">
        <f>'OEA GMR External working copy'!B162</f>
        <v>88305.25</v>
      </c>
      <c r="C136" s="316"/>
      <c r="D136" s="316"/>
      <c r="E136" s="316"/>
      <c r="F136" s="316"/>
      <c r="G136" s="316"/>
      <c r="H136" s="316"/>
      <c r="I136" s="316"/>
      <c r="J136" s="317"/>
      <c r="K136" s="317"/>
      <c r="L136" s="317"/>
      <c r="M136" s="317"/>
      <c r="N136" s="317"/>
      <c r="O136" s="317"/>
      <c r="P136" s="317"/>
      <c r="Q136" s="317"/>
      <c r="R136" s="317"/>
      <c r="S136" s="317" t="s">
        <v>52</v>
      </c>
      <c r="T136" s="317"/>
      <c r="U136" s="317"/>
      <c r="V136" s="317"/>
      <c r="W136" s="315">
        <f>SUM(B136:V136)</f>
        <v>88305.25</v>
      </c>
      <c r="X136" s="344"/>
    </row>
    <row r="137" spans="1:24" ht="11.25">
      <c r="A137" s="318" t="s">
        <v>433</v>
      </c>
      <c r="B137" s="315"/>
      <c r="C137" s="316"/>
      <c r="D137" s="316"/>
      <c r="E137" s="316"/>
      <c r="F137" s="316"/>
      <c r="G137" s="316"/>
      <c r="H137" s="316"/>
      <c r="I137" s="316"/>
      <c r="J137" s="317"/>
      <c r="K137" s="317"/>
      <c r="L137" s="317"/>
      <c r="M137" s="317"/>
      <c r="N137" s="317"/>
      <c r="O137" s="317"/>
      <c r="P137" s="317"/>
      <c r="Q137" s="317"/>
      <c r="R137" s="317"/>
      <c r="S137" s="317"/>
      <c r="T137" s="317"/>
      <c r="U137" s="317"/>
      <c r="V137" s="317"/>
      <c r="W137" s="315">
        <f>SUM(B137:V137)</f>
        <v>0</v>
      </c>
      <c r="X137" s="344"/>
    </row>
    <row r="138" spans="1:24" ht="11.25">
      <c r="A138" s="318" t="s">
        <v>192</v>
      </c>
      <c r="B138" s="315">
        <f>'OEA GMR External working copy'!B164</f>
        <v>0</v>
      </c>
      <c r="C138" s="316">
        <f>'OEA GMR External working copy'!E164</f>
        <v>13699</v>
      </c>
      <c r="D138" s="316">
        <f>'OEA GMR External working copy'!C164</f>
        <v>2378</v>
      </c>
      <c r="E138" s="316">
        <f>'OEA GMR External working copy'!D164</f>
        <v>-13699</v>
      </c>
      <c r="F138" s="316">
        <f>'OEA GMR External working copy'!G164</f>
        <v>-2378</v>
      </c>
      <c r="G138" s="316">
        <f>'OEA GMR External working copy'!H164</f>
        <v>0</v>
      </c>
      <c r="H138" s="316">
        <f>'OEA GMR External working copy'!I164</f>
        <v>0</v>
      </c>
      <c r="I138" s="316">
        <f>'OEA GMR External working copy'!F164</f>
        <v>0</v>
      </c>
      <c r="J138" s="317">
        <f>'OEA GMR External working copy'!L156</f>
        <v>0</v>
      </c>
      <c r="K138" s="317">
        <f>'OEA GMR External working copy'!T156</f>
        <v>0</v>
      </c>
      <c r="L138" s="317">
        <f>'OEA GMR External working copy'!S156</f>
        <v>0</v>
      </c>
      <c r="M138" s="317">
        <f>'OEA GMR External working copy'!U156</f>
        <v>0</v>
      </c>
      <c r="N138" s="317">
        <f>'OEA GMR External working copy'!P156</f>
        <v>0</v>
      </c>
      <c r="O138" s="317">
        <f>'OEA GMR External working copy'!N156</f>
        <v>0</v>
      </c>
      <c r="P138" s="317">
        <f>'OEA GMR External working copy'!O156</f>
        <v>0</v>
      </c>
      <c r="Q138" s="317">
        <f>'OEA GMR External working copy'!V156</f>
        <v>0</v>
      </c>
      <c r="R138" s="317">
        <f>'OEA GMR External working copy'!Q156</f>
        <v>0</v>
      </c>
      <c r="S138" s="317">
        <f>'OEA GMR External working copy'!R156</f>
        <v>0</v>
      </c>
      <c r="T138" s="317">
        <f>'OEA GMR External working copy'!M156</f>
        <v>0</v>
      </c>
      <c r="U138" s="317">
        <f>'OEA GMR External working copy'!J156</f>
        <v>0</v>
      </c>
      <c r="V138" s="317">
        <f>'OEA GMR External working copy'!K156</f>
        <v>0</v>
      </c>
      <c r="W138" s="315">
        <f>SUM(B138:V138)</f>
        <v>0</v>
      </c>
      <c r="X138" s="344"/>
    </row>
    <row r="139" spans="2:24" ht="11.25">
      <c r="B139" s="319"/>
      <c r="C139" s="320"/>
      <c r="D139" s="320"/>
      <c r="E139" s="320"/>
      <c r="F139" s="320"/>
      <c r="G139" s="320"/>
      <c r="H139" s="320"/>
      <c r="I139" s="320"/>
      <c r="J139" s="321"/>
      <c r="K139" s="321"/>
      <c r="L139" s="321"/>
      <c r="M139" s="321"/>
      <c r="N139" s="321"/>
      <c r="O139" s="321"/>
      <c r="P139" s="321"/>
      <c r="Q139" s="321"/>
      <c r="R139" s="321"/>
      <c r="S139" s="321"/>
      <c r="T139" s="321"/>
      <c r="U139" s="321"/>
      <c r="V139" s="321"/>
      <c r="W139" s="319" t="s">
        <v>52</v>
      </c>
      <c r="X139" s="344"/>
    </row>
    <row r="140" spans="1:23" ht="11.25">
      <c r="A140" s="159" t="s">
        <v>434</v>
      </c>
      <c r="B140" s="337">
        <f>SUM(B134:B138)</f>
        <v>545015.87</v>
      </c>
      <c r="C140" s="338">
        <f>SUM(C134:C138)</f>
        <v>2509157</v>
      </c>
      <c r="D140" s="338">
        <f>SUM(D134:D138)</f>
        <v>1746143.58</v>
      </c>
      <c r="E140" s="338">
        <f>SUM(E134:E138)</f>
        <v>-8346.16</v>
      </c>
      <c r="F140" s="338">
        <f>SUM(F134:F138)</f>
        <v>-788.3</v>
      </c>
      <c r="G140" s="338">
        <f>SUM(G134:G138)</f>
        <v>3033354.05</v>
      </c>
      <c r="H140" s="338">
        <f>SUM(H134:H138)</f>
        <v>1244029.03</v>
      </c>
      <c r="I140" s="338">
        <f>SUM(I134:I138)</f>
        <v>280040.48</v>
      </c>
      <c r="J140" s="339">
        <f>SUM(J134:J138)</f>
        <v>896655.69</v>
      </c>
      <c r="K140" s="339">
        <f>SUM(K134:K138)</f>
        <v>253531.94</v>
      </c>
      <c r="L140" s="339">
        <f>SUM(L134:L138)</f>
        <v>223443.58</v>
      </c>
      <c r="M140" s="339">
        <f>SUM(M134:M138)</f>
        <v>42021.12</v>
      </c>
      <c r="N140" s="339">
        <f>SUM(N134:N138)</f>
        <v>971548.73</v>
      </c>
      <c r="O140" s="339">
        <f>SUM(O134:O138)</f>
        <v>377315.65</v>
      </c>
      <c r="P140" s="339">
        <f>SUM(P134:P138)</f>
        <v>79303.34</v>
      </c>
      <c r="Q140" s="339">
        <f>SUM(Q134:Q138)</f>
        <v>86149.3</v>
      </c>
      <c r="R140" s="339">
        <f>SUM(R134:R138)</f>
        <v>965581.75</v>
      </c>
      <c r="S140" s="339">
        <f>SUM(S134:S138)</f>
        <v>236825.33</v>
      </c>
      <c r="T140" s="339">
        <f>SUM(T134:T138)</f>
        <v>785411.42</v>
      </c>
      <c r="U140" s="339">
        <f>SUM(U134:U138)</f>
        <v>244634.01</v>
      </c>
      <c r="V140" s="339">
        <f>SUM(V134:V138)</f>
        <v>800963.34</v>
      </c>
      <c r="W140" s="337">
        <f>SUM(W134:W138)</f>
        <v>15311990.75</v>
      </c>
    </row>
    <row r="141" spans="2:24" ht="11.25">
      <c r="B141" s="315"/>
      <c r="C141" s="316"/>
      <c r="D141" s="316"/>
      <c r="E141" s="316"/>
      <c r="F141" s="316"/>
      <c r="G141" s="316"/>
      <c r="H141" s="316"/>
      <c r="I141" s="316"/>
      <c r="J141" s="317"/>
      <c r="K141" s="317"/>
      <c r="L141" s="317"/>
      <c r="M141" s="317"/>
      <c r="N141" s="317"/>
      <c r="O141" s="317"/>
      <c r="P141" s="317"/>
      <c r="Q141" s="317"/>
      <c r="R141" s="317"/>
      <c r="S141" s="317"/>
      <c r="T141" s="317"/>
      <c r="U141" s="317"/>
      <c r="V141" s="317"/>
      <c r="W141" s="315"/>
      <c r="X141" s="344"/>
    </row>
    <row r="142" spans="1:23" ht="11.25">
      <c r="A142" s="159" t="s">
        <v>50</v>
      </c>
      <c r="B142" s="315"/>
      <c r="C142" s="316"/>
      <c r="D142" s="316"/>
      <c r="E142" s="316"/>
      <c r="F142" s="316"/>
      <c r="G142" s="316"/>
      <c r="H142" s="316"/>
      <c r="I142" s="316"/>
      <c r="J142" s="317"/>
      <c r="K142" s="317"/>
      <c r="L142" s="317"/>
      <c r="M142" s="317"/>
      <c r="N142" s="317"/>
      <c r="O142" s="317"/>
      <c r="P142" s="317"/>
      <c r="Q142" s="317"/>
      <c r="R142" s="317"/>
      <c r="S142" s="317"/>
      <c r="T142" s="317"/>
      <c r="U142" s="317"/>
      <c r="V142" s="317"/>
      <c r="W142" s="315"/>
    </row>
    <row r="143" spans="1:23" ht="11.25">
      <c r="A143" s="322" t="s">
        <v>204</v>
      </c>
      <c r="B143" s="315">
        <f>'OEA GMR External working copy'!B169</f>
        <v>254928.97999999998</v>
      </c>
      <c r="C143" s="316"/>
      <c r="D143" s="316"/>
      <c r="E143" s="316"/>
      <c r="F143" s="316"/>
      <c r="G143" s="316"/>
      <c r="H143" s="316"/>
      <c r="I143" s="316"/>
      <c r="J143" s="317"/>
      <c r="K143" s="317"/>
      <c r="L143" s="317"/>
      <c r="M143" s="317"/>
      <c r="N143" s="317"/>
      <c r="O143" s="317"/>
      <c r="P143" s="317"/>
      <c r="Q143" s="317"/>
      <c r="R143" s="317"/>
      <c r="S143" s="317"/>
      <c r="T143" s="317"/>
      <c r="U143" s="317"/>
      <c r="V143" s="317"/>
      <c r="W143" s="315">
        <f>SUM(B143:V143)</f>
        <v>254928.97999999998</v>
      </c>
    </row>
    <row r="144" spans="1:23" ht="11.25">
      <c r="A144" s="318" t="s">
        <v>189</v>
      </c>
      <c r="B144" s="315">
        <f>'OEA GMR External working copy'!B170</f>
        <v>40143.26</v>
      </c>
      <c r="C144" s="316">
        <f>'OEA GMR External working copy'!E170</f>
        <v>122654</v>
      </c>
      <c r="D144" s="316">
        <f>'OEA GMR External working copy'!C170</f>
        <v>136895.85</v>
      </c>
      <c r="E144" s="316">
        <f>'OEA GMR External working copy'!D170</f>
        <v>0</v>
      </c>
      <c r="F144" s="316">
        <f>'OEA GMR External working copy'!G170</f>
        <v>0</v>
      </c>
      <c r="G144" s="316">
        <f>'OEA GMR External working copy'!H170</f>
        <v>259691.48</v>
      </c>
      <c r="H144" s="316">
        <f>'OEA GMR External working copy'!I170</f>
        <v>42942.78</v>
      </c>
      <c r="I144" s="316">
        <f>'OEA GMR External working copy'!F170</f>
        <v>23144.44</v>
      </c>
      <c r="J144" s="317">
        <f>'OEA GMR External working copy'!L170</f>
        <v>62782.72</v>
      </c>
      <c r="K144" s="317">
        <f>'OEA GMR External working copy'!T170</f>
        <v>10084.93</v>
      </c>
      <c r="L144" s="317">
        <f>'OEA GMR External working copy'!S170</f>
        <v>30644.1</v>
      </c>
      <c r="M144" s="317">
        <f>'OEA GMR External working copy'!U170</f>
        <v>3195</v>
      </c>
      <c r="N144" s="317">
        <f>'OEA GMR External working copy'!P170</f>
        <v>70148</v>
      </c>
      <c r="O144" s="317">
        <f>'OEA GMR External working copy'!N170</f>
        <v>20133.84</v>
      </c>
      <c r="P144" s="317">
        <f>'OEA GMR External working copy'!O170</f>
        <v>7852</v>
      </c>
      <c r="Q144" s="317">
        <f>'OEA GMR External working copy'!V170</f>
        <v>9144.24</v>
      </c>
      <c r="R144" s="317">
        <f>'OEA GMR External working copy'!Q170</f>
        <v>96692.62</v>
      </c>
      <c r="S144" s="317">
        <f>'OEA GMR External working copy'!R170</f>
        <v>6771.18</v>
      </c>
      <c r="T144" s="317">
        <f>'OEA GMR External working copy'!M170</f>
        <v>33906</v>
      </c>
      <c r="U144" s="317">
        <f>'OEA GMR External working copy'!J170</f>
        <v>16278</v>
      </c>
      <c r="V144" s="317">
        <f>'OEA GMR External working copy'!K170</f>
        <v>73688</v>
      </c>
      <c r="W144" s="315">
        <f>SUM(B144:V144)</f>
        <v>1066792.44</v>
      </c>
    </row>
    <row r="145" spans="1:23" ht="11.25">
      <c r="A145" s="318" t="s">
        <v>187</v>
      </c>
      <c r="B145" s="315"/>
      <c r="C145" s="316">
        <f>'OEA GMR External working copy'!E171</f>
        <v>421290</v>
      </c>
      <c r="D145" s="316">
        <f>'OEA GMR External working copy'!C171</f>
        <v>299725.05</v>
      </c>
      <c r="E145" s="316">
        <f>'OEA GMR External working copy'!D171</f>
        <v>0</v>
      </c>
      <c r="F145" s="316">
        <f>'OEA GMR External working copy'!G171</f>
        <v>0</v>
      </c>
      <c r="G145" s="316">
        <f>'OEA GMR External working copy'!H171</f>
        <v>222631.64</v>
      </c>
      <c r="H145" s="316">
        <f>'OEA GMR External working copy'!I171</f>
        <v>85757.87</v>
      </c>
      <c r="I145" s="316">
        <f>'OEA GMR External working copy'!F171</f>
        <v>49279.01</v>
      </c>
      <c r="J145" s="317">
        <f>'OEA GMR External working copy'!L171</f>
        <v>35900.28</v>
      </c>
      <c r="K145" s="317">
        <f>'OEA GMR External working copy'!T171</f>
        <v>39982.44</v>
      </c>
      <c r="L145" s="317">
        <f>'OEA GMR External working copy'!S171</f>
        <v>56302.45</v>
      </c>
      <c r="M145" s="317">
        <f>'OEA GMR External working copy'!U171</f>
        <v>2234</v>
      </c>
      <c r="N145" s="317">
        <f>'OEA GMR External working copy'!P171</f>
        <v>129646</v>
      </c>
      <c r="O145" s="317">
        <f>'OEA GMR External working copy'!N171</f>
        <v>60715.15</v>
      </c>
      <c r="P145" s="317">
        <f>'OEA GMR External working copy'!O171</f>
        <v>8552.5</v>
      </c>
      <c r="Q145" s="317">
        <f>'OEA GMR External working copy'!V171</f>
        <v>31853.25</v>
      </c>
      <c r="R145" s="317">
        <f>'OEA GMR External working copy'!Q171</f>
        <v>82396.51</v>
      </c>
      <c r="S145" s="317">
        <f>'OEA GMR External working copy'!R171</f>
        <v>19931.92</v>
      </c>
      <c r="T145" s="317">
        <f>'OEA GMR External working copy'!M171</f>
        <v>104083</v>
      </c>
      <c r="U145" s="317">
        <f>'OEA GMR External working copy'!J171</f>
        <v>49952</v>
      </c>
      <c r="V145" s="317">
        <f>'OEA GMR External working copy'!K171</f>
        <v>74745</v>
      </c>
      <c r="W145" s="315">
        <f>SUM(B145:V145)</f>
        <v>1774978.0699999998</v>
      </c>
    </row>
    <row r="146" spans="1:23" ht="11.25">
      <c r="A146" s="318" t="s">
        <v>188</v>
      </c>
      <c r="B146" s="315">
        <v>0</v>
      </c>
      <c r="C146" s="316">
        <f>'OEA GMR External working copy'!E172</f>
        <v>1727874</v>
      </c>
      <c r="D146" s="316">
        <f>'OEA GMR External working copy'!C172</f>
        <v>1840755</v>
      </c>
      <c r="E146" s="316">
        <f>'OEA GMR External working copy'!D172</f>
        <v>0</v>
      </c>
      <c r="F146" s="316">
        <f>'OEA GMR External working copy'!G172</f>
        <v>0</v>
      </c>
      <c r="G146" s="316">
        <f>'OEA GMR External working copy'!H172</f>
        <v>1840923</v>
      </c>
      <c r="H146" s="316">
        <f>'OEA GMR External working copy'!I172</f>
        <v>1056320</v>
      </c>
      <c r="I146" s="316">
        <f>'OEA GMR External working copy'!F172</f>
        <v>197920</v>
      </c>
      <c r="J146" s="317">
        <f>'OEA GMR External working copy'!L172</f>
        <v>650862</v>
      </c>
      <c r="K146" s="317">
        <f>'OEA GMR External working copy'!T172</f>
        <v>207180</v>
      </c>
      <c r="L146" s="317">
        <f>'OEA GMR External working copy'!S172</f>
        <v>212990</v>
      </c>
      <c r="M146" s="317">
        <f>'OEA GMR External working copy'!U172</f>
        <v>11744</v>
      </c>
      <c r="N146" s="317">
        <f>'OEA GMR External working copy'!P172</f>
        <v>714020</v>
      </c>
      <c r="O146" s="317">
        <f>'OEA GMR External working copy'!N172</f>
        <v>177096</v>
      </c>
      <c r="P146" s="317">
        <f>'OEA GMR External working copy'!O172</f>
        <v>56115</v>
      </c>
      <c r="Q146" s="317">
        <f>'OEA GMR External working copy'!V172</f>
        <v>86795</v>
      </c>
      <c r="R146" s="317">
        <f>'OEA GMR External working copy'!Q172</f>
        <v>749695</v>
      </c>
      <c r="S146" s="317">
        <f>'OEA GMR External working copy'!R172</f>
        <v>229153</v>
      </c>
      <c r="T146" s="317">
        <f>'OEA GMR External working copy'!M172</f>
        <v>702610</v>
      </c>
      <c r="U146" s="317">
        <f>'OEA GMR External working copy'!J172</f>
        <v>151399</v>
      </c>
      <c r="V146" s="317">
        <f>'OEA GMR External working copy'!K172</f>
        <v>610214.29</v>
      </c>
      <c r="W146" s="315">
        <f>SUM(B146:V146)</f>
        <v>11223665.29</v>
      </c>
    </row>
    <row r="147" spans="1:23" ht="11.25">
      <c r="A147" s="162" t="s">
        <v>52</v>
      </c>
      <c r="B147" s="319"/>
      <c r="C147" s="320"/>
      <c r="D147" s="320"/>
      <c r="E147" s="320"/>
      <c r="F147" s="320"/>
      <c r="G147" s="320"/>
      <c r="H147" s="320"/>
      <c r="I147" s="320"/>
      <c r="J147" s="321"/>
      <c r="K147" s="321"/>
      <c r="L147" s="321"/>
      <c r="M147" s="321"/>
      <c r="N147" s="321"/>
      <c r="O147" s="321"/>
      <c r="P147" s="321"/>
      <c r="Q147" s="321"/>
      <c r="R147" s="321"/>
      <c r="S147" s="321"/>
      <c r="T147" s="321"/>
      <c r="U147" s="321"/>
      <c r="V147" s="321"/>
      <c r="W147" s="319"/>
    </row>
    <row r="148" spans="1:23" ht="11.25">
      <c r="A148" s="159" t="s">
        <v>6</v>
      </c>
      <c r="B148" s="315">
        <f>SUM(B143:B147)</f>
        <v>295072.24</v>
      </c>
      <c r="C148" s="316">
        <f>SUM(C144:C147)</f>
        <v>2271818</v>
      </c>
      <c r="D148" s="316">
        <f>SUM(D144:D147)</f>
        <v>2277375.9</v>
      </c>
      <c r="E148" s="316">
        <f>SUM(E144:E147)</f>
        <v>0</v>
      </c>
      <c r="F148" s="316">
        <f>SUM(F144:F147)</f>
        <v>0</v>
      </c>
      <c r="G148" s="316">
        <f>SUM(G144:G147)</f>
        <v>2323246.12</v>
      </c>
      <c r="H148" s="316">
        <f>SUM(H144:H147)</f>
        <v>1185020.65</v>
      </c>
      <c r="I148" s="316">
        <f>SUM(I144:I147)</f>
        <v>270343.45</v>
      </c>
      <c r="J148" s="317">
        <f>SUM(J144:J147)</f>
        <v>749545</v>
      </c>
      <c r="K148" s="317">
        <f>SUM(K144:K147)</f>
        <v>257247.37</v>
      </c>
      <c r="L148" s="317">
        <f>SUM(L144:L147)</f>
        <v>299936.55</v>
      </c>
      <c r="M148" s="317">
        <f>SUM(M144:M147)</f>
        <v>17173</v>
      </c>
      <c r="N148" s="317">
        <f>SUM(N144:N147)</f>
        <v>913814</v>
      </c>
      <c r="O148" s="317">
        <f>SUM(O144:O147)</f>
        <v>257944.99</v>
      </c>
      <c r="P148" s="317">
        <f>SUM(P144:P147)</f>
        <v>72519.5</v>
      </c>
      <c r="Q148" s="317">
        <f>SUM(Q144:Q147)</f>
        <v>127792.48999999999</v>
      </c>
      <c r="R148" s="317">
        <f>SUM(R144:R147)</f>
        <v>928784.13</v>
      </c>
      <c r="S148" s="317">
        <f>SUM(S144:S147)</f>
        <v>255856.1</v>
      </c>
      <c r="T148" s="317">
        <f>SUM(T144:T147)</f>
        <v>840599</v>
      </c>
      <c r="U148" s="317">
        <f>SUM(U144:U147)</f>
        <v>217629</v>
      </c>
      <c r="V148" s="317">
        <f>SUM(V144:V147)</f>
        <v>758647.29</v>
      </c>
      <c r="W148" s="315">
        <f>SUM(B148:V148)</f>
        <v>14320364.780000001</v>
      </c>
    </row>
    <row r="149" spans="1:23" ht="11.25">
      <c r="A149" s="167"/>
      <c r="B149" s="315"/>
      <c r="C149" s="316"/>
      <c r="D149" s="316"/>
      <c r="E149" s="316"/>
      <c r="F149" s="316"/>
      <c r="G149" s="316"/>
      <c r="H149" s="316"/>
      <c r="I149" s="316"/>
      <c r="J149" s="317"/>
      <c r="K149" s="317"/>
      <c r="L149" s="317"/>
      <c r="M149" s="317"/>
      <c r="N149" s="317"/>
      <c r="O149" s="317"/>
      <c r="P149" s="317"/>
      <c r="Q149" s="317"/>
      <c r="R149" s="317"/>
      <c r="S149" s="317"/>
      <c r="T149" s="317"/>
      <c r="U149" s="317"/>
      <c r="V149" s="317"/>
      <c r="W149" s="315"/>
    </row>
    <row r="150" spans="1:23" ht="11.25">
      <c r="A150" s="167"/>
      <c r="B150" s="319"/>
      <c r="C150" s="320"/>
      <c r="D150" s="320"/>
      <c r="E150" s="320"/>
      <c r="F150" s="320"/>
      <c r="G150" s="320"/>
      <c r="H150" s="320"/>
      <c r="I150" s="320"/>
      <c r="J150" s="321"/>
      <c r="K150" s="321"/>
      <c r="L150" s="321"/>
      <c r="M150" s="321"/>
      <c r="N150" s="321"/>
      <c r="O150" s="321"/>
      <c r="P150" s="321"/>
      <c r="Q150" s="321"/>
      <c r="R150" s="321"/>
      <c r="S150" s="321"/>
      <c r="T150" s="321"/>
      <c r="U150" s="321"/>
      <c r="V150" s="321"/>
      <c r="W150" s="319"/>
    </row>
    <row r="151" spans="1:23" ht="12" thickBot="1">
      <c r="A151" s="159" t="s">
        <v>538</v>
      </c>
      <c r="B151" s="323">
        <f>B131+B140-B148</f>
        <v>524827.02</v>
      </c>
      <c r="C151" s="324">
        <f>C131+C140-C148</f>
        <v>1035872.1099999999</v>
      </c>
      <c r="D151" s="324">
        <f>D131+D140-D148</f>
        <v>927533.4600000004</v>
      </c>
      <c r="E151" s="324">
        <f>E131+E140-E148</f>
        <v>4151.889999999999</v>
      </c>
      <c r="F151" s="324">
        <f>F131+F140-F148</f>
        <v>1427.1299999999999</v>
      </c>
      <c r="G151" s="324">
        <f>G131+G140-G148</f>
        <v>1796104.3299999996</v>
      </c>
      <c r="H151" s="324">
        <f>H131+H140-H148</f>
        <v>365707.25</v>
      </c>
      <c r="I151" s="324">
        <f>I131+I140-I148</f>
        <v>89093.71999999997</v>
      </c>
      <c r="J151" s="325">
        <f>J131+J140-J148</f>
        <v>509477.49</v>
      </c>
      <c r="K151" s="325">
        <f>K131+K140-K148</f>
        <v>118931.04999999999</v>
      </c>
      <c r="L151" s="325">
        <f>L131+L140-L148</f>
        <v>77321.96000000002</v>
      </c>
      <c r="M151" s="325">
        <f>M131+M140-M148</f>
        <v>35736.22</v>
      </c>
      <c r="N151" s="325">
        <f>N131+N140-N148</f>
        <v>274088.0800000001</v>
      </c>
      <c r="O151" s="325">
        <f>O131+O140-O148</f>
        <v>178939.30000000005</v>
      </c>
      <c r="P151" s="325">
        <f>P131+P140-P148</f>
        <v>23769.23999999999</v>
      </c>
      <c r="Q151" s="325">
        <f>Q131+Q140-Q148</f>
        <v>16914.080000000016</v>
      </c>
      <c r="R151" s="325">
        <f>R131+R140-R148</f>
        <v>694572.91</v>
      </c>
      <c r="S151" s="325">
        <f>S131+S140-S148</f>
        <v>46892.09999999995</v>
      </c>
      <c r="T151" s="325">
        <f>T131+T140-T148</f>
        <v>216619.07000000007</v>
      </c>
      <c r="U151" s="325">
        <f>U131+U140-U148</f>
        <v>81984.79000000004</v>
      </c>
      <c r="V151" s="325">
        <f>V131+V140-V148</f>
        <v>173233.7799999999</v>
      </c>
      <c r="W151" s="323">
        <f>SUM(B151:V151)</f>
        <v>7193196.9799999995</v>
      </c>
    </row>
    <row r="152" spans="2:23" ht="12" thickTop="1">
      <c r="B152" s="315"/>
      <c r="C152" s="316"/>
      <c r="D152" s="316"/>
      <c r="E152" s="316"/>
      <c r="F152" s="316"/>
      <c r="G152" s="316"/>
      <c r="H152" s="316"/>
      <c r="I152" s="316"/>
      <c r="J152" s="317"/>
      <c r="K152" s="317"/>
      <c r="L152" s="317"/>
      <c r="M152" s="317"/>
      <c r="N152" s="317"/>
      <c r="O152" s="317"/>
      <c r="P152" s="317"/>
      <c r="Q152" s="317"/>
      <c r="R152" s="317"/>
      <c r="S152" s="317"/>
      <c r="T152" s="317"/>
      <c r="U152" s="317"/>
      <c r="V152" s="317"/>
      <c r="W152" s="315"/>
    </row>
    <row r="153" spans="1:23" ht="11.25">
      <c r="A153" s="322" t="s">
        <v>544</v>
      </c>
      <c r="B153" s="315">
        <f>'OEA GMR External working copy'!B180+'OEA GMR External working copy'!B181</f>
        <v>300</v>
      </c>
      <c r="C153" s="316">
        <f>'OEA GMR External working copy'!E180+'OEA GMR External working copy'!E181</f>
        <v>757611.4</v>
      </c>
      <c r="D153" s="316">
        <f>'OEA GMR External working copy'!C180+'OEA GMR External working copy'!C181</f>
        <v>734403.81</v>
      </c>
      <c r="E153" s="316">
        <f>'OEA GMR External working copy'!D180+'OEA GMR External working copy'!D181</f>
        <v>3501</v>
      </c>
      <c r="F153" s="316">
        <f>'OEA GMR External working copy'!G180+'OEA GMR External working copy'!G181</f>
        <v>946</v>
      </c>
      <c r="G153" s="316">
        <f>'OEA GMR External working copy'!H180+'OEA GMR External working copy'!H181</f>
        <v>1454571.54</v>
      </c>
      <c r="H153" s="316">
        <f>'OEA GMR External working copy'!I180+'OEA GMR External working copy'!I181</f>
        <v>228327.28000000003</v>
      </c>
      <c r="I153" s="316">
        <f>'OEA GMR External working copy'!F180+'OEA GMR External working copy'!F181</f>
        <v>57909.92999999999</v>
      </c>
      <c r="J153" s="317">
        <f>'OEA GMR External working copy'!L180+'OEA GMR External working copy'!L181</f>
        <v>509475.95</v>
      </c>
      <c r="K153" s="317">
        <f>'OEA GMR External working copy'!T180+'OEA GMR External working copy'!T181</f>
        <v>118931.04000000001</v>
      </c>
      <c r="L153" s="317">
        <f>'OEA GMR External working copy'!S180+'OEA GMR External working copy'!S181</f>
        <v>77321.26999999999</v>
      </c>
      <c r="M153" s="317">
        <f>'OEA GMR External working copy'!U180+'OEA GMR External working copy'!U181</f>
        <v>35736</v>
      </c>
      <c r="N153" s="317">
        <f>'OEA GMR External working copy'!P180+'OEA GMR External working copy'!P181</f>
        <v>274088</v>
      </c>
      <c r="O153" s="317">
        <f>'OEA GMR External working copy'!N180+'OEA GMR External working copy'!N181</f>
        <v>178939.06</v>
      </c>
      <c r="P153" s="317">
        <f>'OEA GMR External working copy'!O180+'OEA GMR External working copy'!O181</f>
        <v>23769.83</v>
      </c>
      <c r="Q153" s="317">
        <f>'OEA GMR External working copy'!V180+'OEA GMR External working copy'!V181</f>
        <v>16926.489999999998</v>
      </c>
      <c r="R153" s="317">
        <f>'OEA GMR External working copy'!Q180+'OEA GMR External working copy'!Q181</f>
        <v>694573.2</v>
      </c>
      <c r="S153" s="317">
        <f>'OEA GMR External working copy'!R180+'OEA GMR External working copy'!R181</f>
        <v>46892.61</v>
      </c>
      <c r="T153" s="317">
        <f>'OEA GMR External working copy'!M180+'OEA GMR External working copy'!M181</f>
        <v>216619.79</v>
      </c>
      <c r="U153" s="317">
        <f>'OEA GMR External working copy'!J180+'OEA GMR External working copy'!J181</f>
        <v>81984.6</v>
      </c>
      <c r="V153" s="317">
        <f>'OEA GMR External working copy'!K180+'OEA GMR External working copy'!K181</f>
        <v>173233.91</v>
      </c>
      <c r="W153" s="315">
        <f>SUM(B153:V153)</f>
        <v>5686062.710000001</v>
      </c>
    </row>
    <row r="154" spans="1:23" ht="11.25">
      <c r="A154" s="168"/>
      <c r="B154" s="319"/>
      <c r="C154" s="320"/>
      <c r="D154" s="320"/>
      <c r="E154" s="320"/>
      <c r="F154" s="320"/>
      <c r="G154" s="320"/>
      <c r="H154" s="320"/>
      <c r="I154" s="320"/>
      <c r="J154" s="321"/>
      <c r="K154" s="321"/>
      <c r="L154" s="321"/>
      <c r="M154" s="321"/>
      <c r="N154" s="321"/>
      <c r="O154" s="321"/>
      <c r="P154" s="321"/>
      <c r="Q154" s="321"/>
      <c r="R154" s="321"/>
      <c r="S154" s="321"/>
      <c r="T154" s="321"/>
      <c r="U154" s="321"/>
      <c r="V154" s="321"/>
      <c r="W154" s="319"/>
    </row>
    <row r="155" spans="1:23" ht="12" thickBot="1">
      <c r="A155" s="159" t="s">
        <v>545</v>
      </c>
      <c r="B155" s="323">
        <f>B151-B153</f>
        <v>524527.02</v>
      </c>
      <c r="C155" s="324">
        <f>C151-C153</f>
        <v>278260.70999999985</v>
      </c>
      <c r="D155" s="324">
        <f>D151-D153</f>
        <v>193129.65000000037</v>
      </c>
      <c r="E155" s="324">
        <f>E151-E153</f>
        <v>650.8899999999994</v>
      </c>
      <c r="F155" s="324">
        <f>F151-F153</f>
        <v>481.1299999999999</v>
      </c>
      <c r="G155" s="324">
        <f>G151-G153</f>
        <v>341532.7899999996</v>
      </c>
      <c r="H155" s="324">
        <f>H151-H153</f>
        <v>137379.96999999997</v>
      </c>
      <c r="I155" s="324">
        <f>I151-I153</f>
        <v>31183.78999999998</v>
      </c>
      <c r="J155" s="325">
        <f>J151-J153</f>
        <v>1.5399999999790452</v>
      </c>
      <c r="K155" s="325">
        <f>K151-K153</f>
        <v>0.009999999980209395</v>
      </c>
      <c r="L155" s="325">
        <f>L151-L153</f>
        <v>0.6900000000314321</v>
      </c>
      <c r="M155" s="325">
        <f>M151-M153</f>
        <v>0.22000000000116415</v>
      </c>
      <c r="N155" s="325">
        <f>N151-N153</f>
        <v>0.0800000000745058</v>
      </c>
      <c r="O155" s="325">
        <f>O151-O153</f>
        <v>0.24000000004889444</v>
      </c>
      <c r="P155" s="325">
        <f>P151-P153</f>
        <v>-0.5900000000110595</v>
      </c>
      <c r="Q155" s="325">
        <f>Q151-Q153</f>
        <v>-12.409999999981665</v>
      </c>
      <c r="R155" s="325">
        <f>R151-R153</f>
        <v>-0.2899999999208376</v>
      </c>
      <c r="S155" s="325">
        <f>S151-S153</f>
        <v>-0.510000000052969</v>
      </c>
      <c r="T155" s="325">
        <f>T151-T153</f>
        <v>-0.7199999999429565</v>
      </c>
      <c r="U155" s="325">
        <f>U151-U153</f>
        <v>0.19000000003143214</v>
      </c>
      <c r="V155" s="325">
        <f>V151-V153</f>
        <v>-0.1300000000919681</v>
      </c>
      <c r="W155" s="323">
        <f>SUM(B155:V155)</f>
        <v>1507134.2699999998</v>
      </c>
    </row>
    <row r="156" ht="12" thickTop="1"/>
  </sheetData>
  <sheetProtection/>
  <mergeCells count="23">
    <mergeCell ref="S8:S9"/>
    <mergeCell ref="A1:W1"/>
    <mergeCell ref="A2:W2"/>
    <mergeCell ref="A3:W3"/>
    <mergeCell ref="A4:W4"/>
    <mergeCell ref="C6:I6"/>
    <mergeCell ref="J6:V6"/>
    <mergeCell ref="C127:I127"/>
    <mergeCell ref="J127:V127"/>
    <mergeCell ref="C96:I96"/>
    <mergeCell ref="J96:V96"/>
    <mergeCell ref="L8:L9"/>
    <mergeCell ref="K8:K9"/>
    <mergeCell ref="Q8:Q9"/>
    <mergeCell ref="C36:I36"/>
    <mergeCell ref="J36:V36"/>
    <mergeCell ref="C66:I66"/>
    <mergeCell ref="J66:V66"/>
    <mergeCell ref="H8:H9"/>
    <mergeCell ref="V8:V9"/>
    <mergeCell ref="T8:T9"/>
    <mergeCell ref="O8:O9"/>
    <mergeCell ref="N8:N9"/>
  </mergeCells>
  <printOptions/>
  <pageMargins left="0.7" right="0.7" top="0.75" bottom="0.75" header="0.3" footer="0.3"/>
  <pageSetup horizontalDpi="600" verticalDpi="600" orientation="landscape" paperSize="5" r:id="rId3"/>
  <ignoredErrors>
    <ignoredError sqref="F8:H9 F68:H69 B8:C9 B68:C69 O95:P95 J95 R95:S95 R100:S124 O100:P124 L100:N124 Q100:Q124 T100:V124 B100:B124 J100:J124 C100:C124 F100:H124 D100:E124 I100:I124 K100:K124 F95:H95 B95:C95 B70:B94 J78:J94 C70:C94 F70:H94 D70:E94 I70:K77 I78:I94 K78:K94 R78:S94 O78:P94 L70:V77 L78:N94 Q78:Q94 T78:V94 L39:W39 B40:B64 C40:C64 F40:H64 D40:E64 I40:K64 F35:H35 B35:C35 B10:B34 C10:C34 F10:H34 D10:E34 I10:J34 K10:K34 K8:W9 L11:V12 B37:C39 B36 F37:H39 B97:C99 B96 F97:H99 J97:J99 O97:P99 R97:S99 L46:V46 L44:V44 W123 W121 W118:W119 W116 W108:W111 W103:W107 W112:W115 W117 W120 W122 W124 W95:W102 W91:W93 W88:W89 W71:W72 W86 W70 W87 W73:W77 W90 W94 W82:W85 L41:V42 L40:V40 L43:V43 L45:V45 L48:V51 L47:V47 L56:V56 L52:V52 L53:V53 L54:V54 L55:V55 L58:V59 L57:V57 L61:V63 L60:V60 L64:V64 W61:W63 W58:W59 W56 W48:W51 W41:W42 W40 W47 W43:W45 W52:W55 W57 W60 W64 L10:V10 L18:V18 L13:V13 L14:V14 L15:V15 L16:V16 L17:V17 L20:V21 L19:V19 L26:V26 L22:V22 L23:V23 L24:V24 L25:V25 L28:W34 L27:V27 W26 W20:W21 W18 W11:W12 W10 W13:W17 W19 W22:W25 W27 B131:B155 C131:I131 C134:I134 C138:I138 C140:I140 C144:C155 D144:D155 E144:E155 F144:F155 G144:G155 H144:H155 I144:I155 N131:W131 J131:M131 L135:W138 W134 J135:K138 J140:W140 J144:J155 K144:K155 L144:L155 M144:M155 N144:N155 O144:O155 P144:P155 Q144:Q155 R144:R155 S144:S155 T144:T155 U144:U155 V144:V155 W143:W155" unlockedFormula="1"/>
    <ignoredError sqref="W78:W81 W46" formulaRange="1" unlockedFormula="1"/>
    <ignoredError sqref="W46" formula="1" unlockedFormula="1"/>
  </ignoredErrors>
  <legacyDrawing r:id="rId2"/>
</worksheet>
</file>

<file path=xl/worksheets/sheet4.xml><?xml version="1.0" encoding="utf-8"?>
<worksheet xmlns="http://schemas.openxmlformats.org/spreadsheetml/2006/main" xmlns:r="http://schemas.openxmlformats.org/officeDocument/2006/relationships">
  <dimension ref="A1:U213"/>
  <sheetViews>
    <sheetView zoomScalePageLayoutView="0" workbookViewId="0" topLeftCell="A166">
      <selection activeCell="A1" sqref="A1"/>
    </sheetView>
  </sheetViews>
  <sheetFormatPr defaultColWidth="9.33203125" defaultRowHeight="10.5"/>
  <cols>
    <col min="1" max="1" width="10.83203125" style="0" bestFit="1" customWidth="1"/>
    <col min="2" max="2" width="6.16015625" style="0" customWidth="1"/>
    <col min="3" max="3" width="6" style="0" customWidth="1"/>
    <col min="5" max="5" width="6.33203125" style="0" customWidth="1"/>
    <col min="6" max="6" width="5" style="0" customWidth="1"/>
    <col min="7" max="7" width="4.66015625" style="0" customWidth="1"/>
    <col min="9" max="9" width="3.83203125" style="0" customWidth="1"/>
    <col min="10" max="11" width="3.16015625" style="0" customWidth="1"/>
    <col min="12" max="12" width="2.83203125" style="0" customWidth="1"/>
    <col min="14" max="14" width="4.16015625" style="0" customWidth="1"/>
    <col min="16" max="16" width="11.66015625" style="0" bestFit="1" customWidth="1"/>
    <col min="17" max="17" width="7.83203125" style="0" customWidth="1"/>
    <col min="19" max="19" width="3" style="0" customWidth="1"/>
    <col min="20" max="20" width="13.33203125" style="0" bestFit="1" customWidth="1"/>
    <col min="21" max="21" width="10.83203125" style="0" bestFit="1" customWidth="1"/>
  </cols>
  <sheetData>
    <row r="1" ht="10.5">
      <c r="A1" s="409">
        <v>43190</v>
      </c>
    </row>
    <row r="2" spans="1:18" ht="12">
      <c r="A2" s="430" t="s">
        <v>329</v>
      </c>
      <c r="B2" s="430"/>
      <c r="C2" s="434" t="s">
        <v>487</v>
      </c>
      <c r="D2" s="434"/>
      <c r="E2" s="434"/>
      <c r="F2" s="434"/>
      <c r="G2" s="434"/>
      <c r="H2" s="434"/>
      <c r="I2" s="434"/>
      <c r="J2" s="434"/>
      <c r="K2" s="434"/>
      <c r="L2" s="291"/>
      <c r="M2" s="291"/>
      <c r="N2" s="291"/>
      <c r="O2" s="291"/>
      <c r="P2" s="291"/>
      <c r="Q2" s="291"/>
      <c r="R2" s="291"/>
    </row>
    <row r="3" spans="1:18" ht="10.5" customHeight="1">
      <c r="A3" s="430"/>
      <c r="B3" s="430"/>
      <c r="C3" s="291"/>
      <c r="D3" s="291"/>
      <c r="E3" s="291"/>
      <c r="F3" s="291"/>
      <c r="G3" s="291"/>
      <c r="H3" s="291"/>
      <c r="I3" s="291"/>
      <c r="J3" s="291"/>
      <c r="K3" s="291"/>
      <c r="L3" s="291"/>
      <c r="M3" s="291"/>
      <c r="N3" s="291"/>
      <c r="O3" s="291"/>
      <c r="P3" s="291"/>
      <c r="Q3" s="291"/>
      <c r="R3" s="291"/>
    </row>
    <row r="4" spans="1:18" ht="12">
      <c r="A4" s="291"/>
      <c r="B4" s="430" t="s">
        <v>331</v>
      </c>
      <c r="C4" s="430"/>
      <c r="D4" s="434" t="s">
        <v>44</v>
      </c>
      <c r="E4" s="434"/>
      <c r="F4" s="434"/>
      <c r="G4" s="434"/>
      <c r="H4" s="434"/>
      <c r="I4" s="434"/>
      <c r="J4" s="434"/>
      <c r="K4" s="434"/>
      <c r="L4" s="434"/>
      <c r="M4" s="434"/>
      <c r="N4" s="291"/>
      <c r="O4" s="291"/>
      <c r="P4" s="291"/>
      <c r="Q4" s="291"/>
      <c r="R4" s="291"/>
    </row>
    <row r="5" spans="1:18" ht="12">
      <c r="A5" s="430" t="s">
        <v>332</v>
      </c>
      <c r="B5" s="430"/>
      <c r="C5" s="291"/>
      <c r="D5" s="291"/>
      <c r="E5" s="435" t="s">
        <v>333</v>
      </c>
      <c r="F5" s="435"/>
      <c r="G5" s="435"/>
      <c r="H5" s="435"/>
      <c r="I5" s="435"/>
      <c r="J5" s="427" t="s">
        <v>3</v>
      </c>
      <c r="K5" s="427"/>
      <c r="L5" s="427"/>
      <c r="M5" s="427"/>
      <c r="N5" s="427" t="s">
        <v>334</v>
      </c>
      <c r="O5" s="427"/>
      <c r="P5" s="428" t="s">
        <v>335</v>
      </c>
      <c r="Q5" s="428"/>
      <c r="R5" s="291"/>
    </row>
    <row r="6" spans="1:21" ht="12">
      <c r="A6" s="430"/>
      <c r="B6" s="430"/>
      <c r="C6" s="291"/>
      <c r="D6" s="291"/>
      <c r="E6" s="435"/>
      <c r="F6" s="435"/>
      <c r="G6" s="435"/>
      <c r="H6" s="435"/>
      <c r="I6" s="435"/>
      <c r="J6" s="428" t="s">
        <v>340</v>
      </c>
      <c r="K6" s="428"/>
      <c r="L6" s="428"/>
      <c r="M6" s="428"/>
      <c r="N6" s="428" t="s">
        <v>341</v>
      </c>
      <c r="O6" s="428"/>
      <c r="P6" s="428"/>
      <c r="Q6" s="428"/>
      <c r="R6" s="291"/>
      <c r="T6" s="408" t="s">
        <v>445</v>
      </c>
      <c r="U6" s="408" t="s">
        <v>446</v>
      </c>
    </row>
    <row r="7" spans="1:21" ht="12">
      <c r="A7" s="424" t="s">
        <v>196</v>
      </c>
      <c r="B7" s="424"/>
      <c r="C7" s="424"/>
      <c r="D7" s="424" t="s">
        <v>489</v>
      </c>
      <c r="E7" s="424"/>
      <c r="F7" s="424"/>
      <c r="G7" s="412" t="s">
        <v>344</v>
      </c>
      <c r="H7" s="424" t="s">
        <v>490</v>
      </c>
      <c r="I7" s="424"/>
      <c r="J7" s="425">
        <v>32395.93</v>
      </c>
      <c r="K7" s="425"/>
      <c r="L7" s="425"/>
      <c r="M7" s="425"/>
      <c r="N7" s="425">
        <v>32395.93</v>
      </c>
      <c r="O7" s="425"/>
      <c r="P7" s="426">
        <v>0</v>
      </c>
      <c r="Q7" s="426"/>
      <c r="R7" s="426"/>
      <c r="T7" s="164">
        <v>32395.93</v>
      </c>
      <c r="U7" s="164">
        <f>N7-T7</f>
        <v>0</v>
      </c>
    </row>
    <row r="8" spans="1:21" ht="12">
      <c r="A8" s="424" t="s">
        <v>36</v>
      </c>
      <c r="B8" s="424"/>
      <c r="C8" s="424"/>
      <c r="D8" s="424" t="s">
        <v>489</v>
      </c>
      <c r="E8" s="424"/>
      <c r="F8" s="424"/>
      <c r="G8" s="412" t="s">
        <v>344</v>
      </c>
      <c r="H8" s="424" t="s">
        <v>490</v>
      </c>
      <c r="I8" s="424"/>
      <c r="J8" s="425">
        <v>633</v>
      </c>
      <c r="K8" s="425"/>
      <c r="L8" s="425"/>
      <c r="M8" s="425"/>
      <c r="N8" s="425">
        <v>633</v>
      </c>
      <c r="O8" s="425"/>
      <c r="P8" s="426">
        <v>0</v>
      </c>
      <c r="Q8" s="426"/>
      <c r="R8" s="426"/>
      <c r="T8" s="164">
        <v>633</v>
      </c>
      <c r="U8" s="164">
        <f>N8-T8</f>
        <v>0</v>
      </c>
    </row>
    <row r="9" spans="1:21" ht="10.5">
      <c r="A9" s="296"/>
      <c r="B9" s="296"/>
      <c r="C9" s="296"/>
      <c r="D9" s="296"/>
      <c r="E9" s="296"/>
      <c r="F9" s="296"/>
      <c r="G9" s="296"/>
      <c r="H9" s="296"/>
      <c r="I9" s="296"/>
      <c r="J9" s="296"/>
      <c r="K9" s="296"/>
      <c r="L9" s="296"/>
      <c r="M9" s="296"/>
      <c r="N9" s="296"/>
      <c r="O9" s="296"/>
      <c r="P9" s="296"/>
      <c r="Q9" s="296"/>
      <c r="R9" s="296"/>
      <c r="T9" s="164"/>
      <c r="U9" s="164"/>
    </row>
    <row r="10" spans="1:21" ht="12" thickBot="1">
      <c r="A10" s="291"/>
      <c r="B10" s="291"/>
      <c r="C10" s="291"/>
      <c r="D10" s="291"/>
      <c r="E10" s="291"/>
      <c r="F10" s="291"/>
      <c r="G10" s="291"/>
      <c r="H10" s="291"/>
      <c r="I10" s="291"/>
      <c r="J10" s="429">
        <v>33028.93</v>
      </c>
      <c r="K10" s="429"/>
      <c r="L10" s="429"/>
      <c r="M10" s="429"/>
      <c r="N10" s="429">
        <v>33028.93</v>
      </c>
      <c r="O10" s="429"/>
      <c r="P10" s="429">
        <v>0</v>
      </c>
      <c r="Q10" s="429"/>
      <c r="R10" s="429"/>
      <c r="T10" s="164">
        <f>SUM(T7:T8)</f>
        <v>33028.93</v>
      </c>
      <c r="U10" s="164">
        <f>SUM(U7:U8)</f>
        <v>0</v>
      </c>
    </row>
    <row r="11" spans="1:18" ht="11.25" thickTop="1">
      <c r="A11" s="297"/>
      <c r="B11" s="297"/>
      <c r="C11" s="297"/>
      <c r="D11" s="297"/>
      <c r="E11" s="297"/>
      <c r="F11" s="297"/>
      <c r="G11" s="297"/>
      <c r="H11" s="297"/>
      <c r="I11" s="297"/>
      <c r="J11" s="297"/>
      <c r="K11" s="297"/>
      <c r="L11" s="297"/>
      <c r="M11" s="297"/>
      <c r="N11" s="297"/>
      <c r="O11" s="297"/>
      <c r="P11" s="297"/>
      <c r="Q11" s="297"/>
      <c r="R11" s="297"/>
    </row>
    <row r="12" spans="1:18" ht="12">
      <c r="A12" s="427" t="s">
        <v>491</v>
      </c>
      <c r="B12" s="427"/>
      <c r="C12" s="427"/>
      <c r="D12" s="427"/>
      <c r="E12" s="427"/>
      <c r="F12" s="427"/>
      <c r="G12" s="427"/>
      <c r="H12" s="427"/>
      <c r="I12" s="291"/>
      <c r="J12" s="433">
        <v>33028.93</v>
      </c>
      <c r="K12" s="433"/>
      <c r="L12" s="433"/>
      <c r="M12" s="433"/>
      <c r="N12" s="433">
        <v>33028.93</v>
      </c>
      <c r="O12" s="433"/>
      <c r="P12" s="429">
        <v>0</v>
      </c>
      <c r="Q12" s="429"/>
      <c r="R12" s="429"/>
    </row>
    <row r="13" spans="1:18" ht="12">
      <c r="A13" s="430" t="s">
        <v>329</v>
      </c>
      <c r="B13" s="430"/>
      <c r="C13" s="434" t="s">
        <v>492</v>
      </c>
      <c r="D13" s="434"/>
      <c r="E13" s="434"/>
      <c r="F13" s="434"/>
      <c r="G13" s="434"/>
      <c r="H13" s="434"/>
      <c r="I13" s="434"/>
      <c r="J13" s="434"/>
      <c r="K13" s="434"/>
      <c r="L13" s="291"/>
      <c r="M13" s="291"/>
      <c r="N13" s="291"/>
      <c r="O13" s="291"/>
      <c r="P13" s="291"/>
      <c r="Q13" s="291"/>
      <c r="R13" s="291"/>
    </row>
    <row r="14" spans="1:18" ht="10.5" customHeight="1">
      <c r="A14" s="430"/>
      <c r="B14" s="430"/>
      <c r="C14" s="291"/>
      <c r="D14" s="291"/>
      <c r="E14" s="291"/>
      <c r="F14" s="291"/>
      <c r="G14" s="291"/>
      <c r="H14" s="291"/>
      <c r="I14" s="291"/>
      <c r="J14" s="291"/>
      <c r="K14" s="291"/>
      <c r="L14" s="291"/>
      <c r="M14" s="291"/>
      <c r="N14" s="291"/>
      <c r="O14" s="291"/>
      <c r="P14" s="291"/>
      <c r="Q14" s="291"/>
      <c r="R14" s="291"/>
    </row>
    <row r="15" spans="1:18" ht="12">
      <c r="A15" s="291"/>
      <c r="B15" s="430" t="s">
        <v>331</v>
      </c>
      <c r="C15" s="430"/>
      <c r="D15" s="434" t="s">
        <v>44</v>
      </c>
      <c r="E15" s="434"/>
      <c r="F15" s="434"/>
      <c r="G15" s="434"/>
      <c r="H15" s="434"/>
      <c r="I15" s="434"/>
      <c r="J15" s="434"/>
      <c r="K15" s="434"/>
      <c r="L15" s="434"/>
      <c r="M15" s="434"/>
      <c r="N15" s="291"/>
      <c r="O15" s="291"/>
      <c r="P15" s="291"/>
      <c r="Q15" s="291"/>
      <c r="R15" s="291"/>
    </row>
    <row r="16" spans="1:18" ht="12">
      <c r="A16" s="430" t="s">
        <v>332</v>
      </c>
      <c r="B16" s="430"/>
      <c r="C16" s="291"/>
      <c r="D16" s="291"/>
      <c r="E16" s="435" t="s">
        <v>333</v>
      </c>
      <c r="F16" s="435"/>
      <c r="G16" s="435"/>
      <c r="H16" s="435"/>
      <c r="I16" s="435"/>
      <c r="J16" s="427" t="s">
        <v>3</v>
      </c>
      <c r="K16" s="427"/>
      <c r="L16" s="427"/>
      <c r="M16" s="427"/>
      <c r="N16" s="427" t="s">
        <v>334</v>
      </c>
      <c r="O16" s="427"/>
      <c r="P16" s="428" t="s">
        <v>335</v>
      </c>
      <c r="Q16" s="428"/>
      <c r="R16" s="291"/>
    </row>
    <row r="17" spans="1:18" ht="12">
      <c r="A17" s="430"/>
      <c r="B17" s="430"/>
      <c r="C17" s="291"/>
      <c r="D17" s="291"/>
      <c r="E17" s="435"/>
      <c r="F17" s="435"/>
      <c r="G17" s="435"/>
      <c r="H17" s="435"/>
      <c r="I17" s="435"/>
      <c r="J17" s="428" t="s">
        <v>340</v>
      </c>
      <c r="K17" s="428"/>
      <c r="L17" s="428"/>
      <c r="M17" s="428"/>
      <c r="N17" s="428" t="s">
        <v>341</v>
      </c>
      <c r="O17" s="428"/>
      <c r="P17" s="428"/>
      <c r="Q17" s="428"/>
      <c r="R17" s="291"/>
    </row>
    <row r="18" spans="1:21" ht="12">
      <c r="A18" s="424" t="s">
        <v>23</v>
      </c>
      <c r="B18" s="424"/>
      <c r="C18" s="424"/>
      <c r="D18" s="424" t="s">
        <v>489</v>
      </c>
      <c r="E18" s="424"/>
      <c r="F18" s="424"/>
      <c r="G18" s="412" t="s">
        <v>344</v>
      </c>
      <c r="H18" s="424" t="s">
        <v>490</v>
      </c>
      <c r="I18" s="424"/>
      <c r="J18" s="425">
        <v>20065.31</v>
      </c>
      <c r="K18" s="425"/>
      <c r="L18" s="425"/>
      <c r="M18" s="425"/>
      <c r="N18" s="425">
        <v>20065.31</v>
      </c>
      <c r="O18" s="425"/>
      <c r="P18" s="426">
        <v>0</v>
      </c>
      <c r="Q18" s="426"/>
      <c r="R18" s="426"/>
      <c r="T18" s="164">
        <f>25395.23-5329.92</f>
        <v>20065.309999999998</v>
      </c>
      <c r="U18" s="164">
        <f>N18-T18</f>
        <v>0</v>
      </c>
    </row>
    <row r="19" spans="1:21" ht="12">
      <c r="A19" s="424" t="s">
        <v>24</v>
      </c>
      <c r="B19" s="424"/>
      <c r="C19" s="424"/>
      <c r="D19" s="424" t="s">
        <v>489</v>
      </c>
      <c r="E19" s="424"/>
      <c r="F19" s="424"/>
      <c r="G19" s="412" t="s">
        <v>344</v>
      </c>
      <c r="H19" s="424" t="s">
        <v>490</v>
      </c>
      <c r="I19" s="424"/>
      <c r="J19" s="425">
        <v>1689.62</v>
      </c>
      <c r="K19" s="425"/>
      <c r="L19" s="425"/>
      <c r="M19" s="425"/>
      <c r="N19" s="425">
        <v>1689.62</v>
      </c>
      <c r="O19" s="425"/>
      <c r="P19" s="426">
        <v>0</v>
      </c>
      <c r="Q19" s="426"/>
      <c r="R19" s="426"/>
      <c r="T19" s="164">
        <f>2825.42-1135.8</f>
        <v>1689.6200000000001</v>
      </c>
      <c r="U19" s="164">
        <f>N19-T19</f>
        <v>0</v>
      </c>
    </row>
    <row r="20" spans="1:21" ht="12">
      <c r="A20" s="424" t="s">
        <v>25</v>
      </c>
      <c r="B20" s="424"/>
      <c r="C20" s="424"/>
      <c r="D20" s="424" t="s">
        <v>489</v>
      </c>
      <c r="E20" s="424"/>
      <c r="F20" s="424"/>
      <c r="G20" s="412" t="s">
        <v>344</v>
      </c>
      <c r="H20" s="424" t="s">
        <v>490</v>
      </c>
      <c r="I20" s="424"/>
      <c r="J20" s="425">
        <v>8074.52</v>
      </c>
      <c r="K20" s="425"/>
      <c r="L20" s="425"/>
      <c r="M20" s="425"/>
      <c r="N20" s="425">
        <v>8074.52</v>
      </c>
      <c r="O20" s="425"/>
      <c r="P20" s="426">
        <v>0</v>
      </c>
      <c r="Q20" s="426"/>
      <c r="R20" s="426"/>
      <c r="T20" s="164">
        <f>10154.95-2080.43</f>
        <v>8074.52</v>
      </c>
      <c r="U20" s="164">
        <f>N20-T20</f>
        <v>0</v>
      </c>
    </row>
    <row r="21" spans="1:21" ht="12">
      <c r="A21" s="424" t="s">
        <v>493</v>
      </c>
      <c r="B21" s="424"/>
      <c r="C21" s="424"/>
      <c r="D21" s="424" t="s">
        <v>489</v>
      </c>
      <c r="E21" s="424"/>
      <c r="F21" s="424"/>
      <c r="G21" s="412" t="s">
        <v>344</v>
      </c>
      <c r="H21" s="424" t="s">
        <v>490</v>
      </c>
      <c r="I21" s="424"/>
      <c r="J21" s="425">
        <v>676</v>
      </c>
      <c r="K21" s="425"/>
      <c r="L21" s="425"/>
      <c r="M21" s="425"/>
      <c r="N21" s="425">
        <v>676</v>
      </c>
      <c r="O21" s="425"/>
      <c r="P21" s="426">
        <v>0</v>
      </c>
      <c r="Q21" s="426"/>
      <c r="R21" s="426"/>
      <c r="T21" s="164">
        <v>676</v>
      </c>
      <c r="U21" s="164">
        <f>N21-T21</f>
        <v>0</v>
      </c>
    </row>
    <row r="22" spans="1:21" ht="12">
      <c r="A22" s="424" t="s">
        <v>27</v>
      </c>
      <c r="B22" s="424"/>
      <c r="C22" s="424"/>
      <c r="D22" s="424" t="s">
        <v>489</v>
      </c>
      <c r="E22" s="424"/>
      <c r="F22" s="424"/>
      <c r="G22" s="412" t="s">
        <v>344</v>
      </c>
      <c r="H22" s="424" t="s">
        <v>490</v>
      </c>
      <c r="I22" s="424"/>
      <c r="J22" s="425">
        <v>40566</v>
      </c>
      <c r="K22" s="425"/>
      <c r="L22" s="425"/>
      <c r="M22" s="425"/>
      <c r="N22" s="425">
        <v>40566</v>
      </c>
      <c r="O22" s="425"/>
      <c r="P22" s="426">
        <v>0</v>
      </c>
      <c r="Q22" s="426"/>
      <c r="R22" s="426"/>
      <c r="T22" s="164">
        <f>46785-6219</f>
        <v>40566</v>
      </c>
      <c r="U22" s="164">
        <f aca="true" t="shared" si="0" ref="U22:U30">N22-T22</f>
        <v>0</v>
      </c>
    </row>
    <row r="23" spans="1:21" ht="12">
      <c r="A23" s="424" t="s">
        <v>165</v>
      </c>
      <c r="B23" s="424"/>
      <c r="C23" s="424"/>
      <c r="D23" s="424" t="s">
        <v>489</v>
      </c>
      <c r="E23" s="424"/>
      <c r="F23" s="424"/>
      <c r="G23" s="412" t="s">
        <v>344</v>
      </c>
      <c r="H23" s="424" t="s">
        <v>490</v>
      </c>
      <c r="I23" s="424"/>
      <c r="J23" s="425">
        <v>13818</v>
      </c>
      <c r="K23" s="425"/>
      <c r="L23" s="425"/>
      <c r="M23" s="425"/>
      <c r="N23" s="425">
        <v>4525.74</v>
      </c>
      <c r="O23" s="425"/>
      <c r="P23" s="426">
        <v>9292.26</v>
      </c>
      <c r="Q23" s="426"/>
      <c r="R23" s="426"/>
      <c r="T23" s="164">
        <f>16191.98-11666.24</f>
        <v>4525.74</v>
      </c>
      <c r="U23" s="164">
        <f t="shared" si="0"/>
        <v>0</v>
      </c>
    </row>
    <row r="24" spans="1:21" ht="12">
      <c r="A24" s="424" t="s">
        <v>516</v>
      </c>
      <c r="B24" s="424"/>
      <c r="C24" s="424"/>
      <c r="D24" s="424" t="s">
        <v>489</v>
      </c>
      <c r="E24" s="424"/>
      <c r="F24" s="424"/>
      <c r="G24" s="412" t="s">
        <v>344</v>
      </c>
      <c r="H24" s="424" t="s">
        <v>490</v>
      </c>
      <c r="I24" s="424"/>
      <c r="J24" s="425">
        <v>2618</v>
      </c>
      <c r="K24" s="425"/>
      <c r="L24" s="425"/>
      <c r="M24" s="425"/>
      <c r="N24" s="425">
        <v>2618</v>
      </c>
      <c r="O24" s="425"/>
      <c r="P24" s="426">
        <v>0</v>
      </c>
      <c r="Q24" s="426"/>
      <c r="R24" s="426"/>
      <c r="T24" s="164">
        <v>2618</v>
      </c>
      <c r="U24" s="164">
        <f t="shared" si="0"/>
        <v>0</v>
      </c>
    </row>
    <row r="25" spans="1:21" ht="12">
      <c r="A25" s="424" t="s">
        <v>28</v>
      </c>
      <c r="B25" s="424"/>
      <c r="C25" s="424"/>
      <c r="D25" s="424" t="s">
        <v>489</v>
      </c>
      <c r="E25" s="424"/>
      <c r="F25" s="424"/>
      <c r="G25" s="412" t="s">
        <v>344</v>
      </c>
      <c r="H25" s="424" t="s">
        <v>490</v>
      </c>
      <c r="I25" s="424"/>
      <c r="J25" s="425">
        <v>2883</v>
      </c>
      <c r="K25" s="425"/>
      <c r="L25" s="425"/>
      <c r="M25" s="425"/>
      <c r="N25" s="425">
        <v>2883</v>
      </c>
      <c r="O25" s="425"/>
      <c r="P25" s="426">
        <v>0</v>
      </c>
      <c r="Q25" s="426"/>
      <c r="R25" s="426"/>
      <c r="T25" s="164">
        <v>2883</v>
      </c>
      <c r="U25" s="164">
        <f t="shared" si="0"/>
        <v>0</v>
      </c>
    </row>
    <row r="26" spans="1:21" ht="12">
      <c r="A26" s="424" t="s">
        <v>29</v>
      </c>
      <c r="B26" s="424"/>
      <c r="C26" s="424"/>
      <c r="D26" s="424" t="s">
        <v>489</v>
      </c>
      <c r="E26" s="424"/>
      <c r="F26" s="424"/>
      <c r="G26" s="412" t="s">
        <v>344</v>
      </c>
      <c r="H26" s="424" t="s">
        <v>490</v>
      </c>
      <c r="I26" s="424"/>
      <c r="J26" s="425">
        <v>45064.67</v>
      </c>
      <c r="K26" s="425"/>
      <c r="L26" s="425"/>
      <c r="M26" s="425"/>
      <c r="N26" s="425">
        <v>45064.67</v>
      </c>
      <c r="O26" s="425"/>
      <c r="P26" s="426">
        <v>0</v>
      </c>
      <c r="Q26" s="426"/>
      <c r="R26" s="426"/>
      <c r="T26" s="164">
        <v>45064.67</v>
      </c>
      <c r="U26" s="164">
        <f t="shared" si="0"/>
        <v>0</v>
      </c>
    </row>
    <row r="27" spans="1:21" ht="12">
      <c r="A27" s="424" t="s">
        <v>30</v>
      </c>
      <c r="B27" s="424"/>
      <c r="C27" s="424"/>
      <c r="D27" s="424" t="s">
        <v>489</v>
      </c>
      <c r="E27" s="424"/>
      <c r="F27" s="424"/>
      <c r="G27" s="412" t="s">
        <v>344</v>
      </c>
      <c r="H27" s="424" t="s">
        <v>490</v>
      </c>
      <c r="I27" s="424"/>
      <c r="J27" s="425">
        <v>2249.64</v>
      </c>
      <c r="K27" s="425"/>
      <c r="L27" s="425"/>
      <c r="M27" s="425"/>
      <c r="N27" s="425">
        <v>2249.64</v>
      </c>
      <c r="O27" s="425"/>
      <c r="P27" s="426">
        <v>0</v>
      </c>
      <c r="Q27" s="426"/>
      <c r="R27" s="426"/>
      <c r="T27" s="164">
        <v>2249.64</v>
      </c>
      <c r="U27" s="164">
        <f t="shared" si="0"/>
        <v>0</v>
      </c>
    </row>
    <row r="28" spans="1:21" ht="12">
      <c r="A28" s="424" t="s">
        <v>31</v>
      </c>
      <c r="B28" s="424"/>
      <c r="C28" s="424"/>
      <c r="D28" s="424" t="s">
        <v>489</v>
      </c>
      <c r="E28" s="424"/>
      <c r="F28" s="424"/>
      <c r="G28" s="412" t="s">
        <v>344</v>
      </c>
      <c r="H28" s="424" t="s">
        <v>490</v>
      </c>
      <c r="I28" s="424"/>
      <c r="J28" s="425">
        <v>11041</v>
      </c>
      <c r="K28" s="425"/>
      <c r="L28" s="425"/>
      <c r="M28" s="425"/>
      <c r="N28" s="425">
        <v>11041</v>
      </c>
      <c r="O28" s="425"/>
      <c r="P28" s="426">
        <v>0</v>
      </c>
      <c r="Q28" s="426"/>
      <c r="R28" s="426"/>
      <c r="T28" s="164">
        <v>11041</v>
      </c>
      <c r="U28" s="164">
        <f t="shared" si="0"/>
        <v>0</v>
      </c>
    </row>
    <row r="29" spans="1:21" ht="12">
      <c r="A29" s="424" t="s">
        <v>32</v>
      </c>
      <c r="B29" s="424"/>
      <c r="C29" s="424"/>
      <c r="D29" s="424" t="s">
        <v>489</v>
      </c>
      <c r="E29" s="424"/>
      <c r="F29" s="424"/>
      <c r="G29" s="412" t="s">
        <v>344</v>
      </c>
      <c r="H29" s="424" t="s">
        <v>490</v>
      </c>
      <c r="I29" s="424"/>
      <c r="J29" s="425">
        <v>3904</v>
      </c>
      <c r="K29" s="425"/>
      <c r="L29" s="425"/>
      <c r="M29" s="425"/>
      <c r="N29" s="425">
        <v>3904</v>
      </c>
      <c r="O29" s="425"/>
      <c r="P29" s="426">
        <v>0</v>
      </c>
      <c r="Q29" s="426"/>
      <c r="R29" s="426"/>
      <c r="T29" s="164">
        <v>3904</v>
      </c>
      <c r="U29" s="164">
        <f t="shared" si="0"/>
        <v>0</v>
      </c>
    </row>
    <row r="30" spans="1:21" ht="12">
      <c r="A30" s="424" t="s">
        <v>33</v>
      </c>
      <c r="B30" s="424"/>
      <c r="C30" s="424"/>
      <c r="D30" s="424" t="s">
        <v>489</v>
      </c>
      <c r="E30" s="424"/>
      <c r="F30" s="424"/>
      <c r="G30" s="412" t="s">
        <v>344</v>
      </c>
      <c r="H30" s="424" t="s">
        <v>490</v>
      </c>
      <c r="I30" s="424"/>
      <c r="J30" s="425">
        <v>27693</v>
      </c>
      <c r="K30" s="425"/>
      <c r="L30" s="425"/>
      <c r="M30" s="425"/>
      <c r="N30" s="425">
        <v>27693</v>
      </c>
      <c r="O30" s="425"/>
      <c r="P30" s="426">
        <v>0</v>
      </c>
      <c r="Q30" s="426"/>
      <c r="R30" s="426"/>
      <c r="T30" s="164">
        <v>27693</v>
      </c>
      <c r="U30" s="164">
        <f t="shared" si="0"/>
        <v>0</v>
      </c>
    </row>
    <row r="31" spans="1:21" ht="10.5">
      <c r="A31" s="296"/>
      <c r="B31" s="296"/>
      <c r="C31" s="296"/>
      <c r="D31" s="296"/>
      <c r="E31" s="296"/>
      <c r="F31" s="296"/>
      <c r="G31" s="296"/>
      <c r="H31" s="296"/>
      <c r="I31" s="296"/>
      <c r="J31" s="296"/>
      <c r="K31" s="296"/>
      <c r="L31" s="296"/>
      <c r="M31" s="296"/>
      <c r="N31" s="296"/>
      <c r="O31" s="296"/>
      <c r="P31" s="296"/>
      <c r="Q31" s="296"/>
      <c r="R31" s="296"/>
      <c r="T31" s="164"/>
      <c r="U31" s="164"/>
    </row>
    <row r="32" spans="1:21" ht="11.25">
      <c r="A32" s="291"/>
      <c r="B32" s="291"/>
      <c r="C32" s="291"/>
      <c r="D32" s="291"/>
      <c r="E32" s="291"/>
      <c r="F32" s="291"/>
      <c r="G32" s="291"/>
      <c r="H32" s="291"/>
      <c r="I32" s="291"/>
      <c r="J32" s="429">
        <v>180342.76</v>
      </c>
      <c r="K32" s="429"/>
      <c r="L32" s="429"/>
      <c r="M32" s="429"/>
      <c r="N32" s="429">
        <v>171050.5</v>
      </c>
      <c r="O32" s="429"/>
      <c r="P32" s="429">
        <v>9292.26</v>
      </c>
      <c r="Q32" s="429"/>
      <c r="R32" s="429"/>
      <c r="T32" s="164">
        <f>SUM(T18:T30)</f>
        <v>171050.5</v>
      </c>
      <c r="U32" s="164">
        <f>SUM(U18:U30)</f>
        <v>0</v>
      </c>
    </row>
    <row r="33" spans="1:21" ht="12">
      <c r="A33" s="291"/>
      <c r="B33" s="430" t="s">
        <v>331</v>
      </c>
      <c r="C33" s="430"/>
      <c r="D33" s="434" t="s">
        <v>348</v>
      </c>
      <c r="E33" s="434"/>
      <c r="F33" s="434"/>
      <c r="G33" s="434"/>
      <c r="H33" s="434"/>
      <c r="I33" s="434"/>
      <c r="J33" s="434"/>
      <c r="K33" s="434"/>
      <c r="L33" s="434"/>
      <c r="M33" s="434"/>
      <c r="N33" s="291"/>
      <c r="O33" s="291"/>
      <c r="P33" s="291"/>
      <c r="Q33" s="291"/>
      <c r="R33" s="291"/>
      <c r="T33" s="164"/>
      <c r="U33" s="164"/>
    </row>
    <row r="34" spans="1:21" ht="12">
      <c r="A34" s="430" t="s">
        <v>332</v>
      </c>
      <c r="B34" s="430"/>
      <c r="C34" s="291"/>
      <c r="D34" s="291"/>
      <c r="E34" s="435" t="s">
        <v>333</v>
      </c>
      <c r="F34" s="435"/>
      <c r="G34" s="435"/>
      <c r="H34" s="435"/>
      <c r="I34" s="435"/>
      <c r="J34" s="427" t="s">
        <v>3</v>
      </c>
      <c r="K34" s="427"/>
      <c r="L34" s="427"/>
      <c r="M34" s="427"/>
      <c r="N34" s="427" t="s">
        <v>334</v>
      </c>
      <c r="O34" s="427"/>
      <c r="P34" s="428" t="s">
        <v>335</v>
      </c>
      <c r="Q34" s="428"/>
      <c r="R34" s="291"/>
      <c r="T34" s="164"/>
      <c r="U34" s="164"/>
    </row>
    <row r="35" spans="1:21" ht="12">
      <c r="A35" s="430"/>
      <c r="B35" s="430"/>
      <c r="C35" s="291"/>
      <c r="D35" s="291"/>
      <c r="E35" s="435"/>
      <c r="F35" s="435"/>
      <c r="G35" s="435"/>
      <c r="H35" s="435"/>
      <c r="I35" s="435"/>
      <c r="J35" s="428" t="s">
        <v>340</v>
      </c>
      <c r="K35" s="428"/>
      <c r="L35" s="428"/>
      <c r="M35" s="428"/>
      <c r="N35" s="428" t="s">
        <v>341</v>
      </c>
      <c r="O35" s="428"/>
      <c r="P35" s="428"/>
      <c r="Q35" s="428"/>
      <c r="R35" s="291"/>
      <c r="T35" s="164"/>
      <c r="U35" s="164"/>
    </row>
    <row r="36" spans="1:21" ht="12">
      <c r="A36" s="424" t="s">
        <v>23</v>
      </c>
      <c r="B36" s="424"/>
      <c r="C36" s="424"/>
      <c r="D36" s="424" t="s">
        <v>489</v>
      </c>
      <c r="E36" s="424"/>
      <c r="F36" s="424"/>
      <c r="G36" s="412" t="s">
        <v>344</v>
      </c>
      <c r="H36" s="424" t="s">
        <v>490</v>
      </c>
      <c r="I36" s="424"/>
      <c r="J36" s="425">
        <v>187412</v>
      </c>
      <c r="K36" s="425"/>
      <c r="L36" s="425"/>
      <c r="M36" s="425"/>
      <c r="N36" s="425">
        <v>187412</v>
      </c>
      <c r="O36" s="425"/>
      <c r="P36" s="426">
        <v>0</v>
      </c>
      <c r="Q36" s="426"/>
      <c r="R36" s="426"/>
      <c r="T36" s="164">
        <v>187412</v>
      </c>
      <c r="U36" s="164">
        <f>N36-T36</f>
        <v>0</v>
      </c>
    </row>
    <row r="37" spans="1:21" ht="12">
      <c r="A37" s="424" t="s">
        <v>24</v>
      </c>
      <c r="B37" s="424"/>
      <c r="C37" s="424"/>
      <c r="D37" s="424" t="s">
        <v>489</v>
      </c>
      <c r="E37" s="424"/>
      <c r="F37" s="424"/>
      <c r="G37" s="412" t="s">
        <v>344</v>
      </c>
      <c r="H37" s="424" t="s">
        <v>490</v>
      </c>
      <c r="I37" s="424"/>
      <c r="J37" s="425">
        <v>53600</v>
      </c>
      <c r="K37" s="425"/>
      <c r="L37" s="425"/>
      <c r="M37" s="425"/>
      <c r="N37" s="425">
        <v>53600</v>
      </c>
      <c r="O37" s="425"/>
      <c r="P37" s="426">
        <v>0</v>
      </c>
      <c r="Q37" s="426"/>
      <c r="R37" s="426"/>
      <c r="T37" s="164">
        <v>53600</v>
      </c>
      <c r="U37" s="164">
        <f aca="true" t="shared" si="1" ref="U37:U48">N37-T37</f>
        <v>0</v>
      </c>
    </row>
    <row r="38" spans="1:21" ht="12">
      <c r="A38" s="424" t="s">
        <v>25</v>
      </c>
      <c r="B38" s="424"/>
      <c r="C38" s="424"/>
      <c r="D38" s="424" t="s">
        <v>489</v>
      </c>
      <c r="E38" s="424"/>
      <c r="F38" s="424"/>
      <c r="G38" s="412" t="s">
        <v>344</v>
      </c>
      <c r="H38" s="424" t="s">
        <v>490</v>
      </c>
      <c r="I38" s="424"/>
      <c r="J38" s="425">
        <v>40480</v>
      </c>
      <c r="K38" s="425"/>
      <c r="L38" s="425"/>
      <c r="M38" s="425"/>
      <c r="N38" s="425">
        <v>40480</v>
      </c>
      <c r="O38" s="425"/>
      <c r="P38" s="426">
        <v>0</v>
      </c>
      <c r="Q38" s="426"/>
      <c r="R38" s="426"/>
      <c r="T38" s="164">
        <v>40480</v>
      </c>
      <c r="U38" s="164">
        <f t="shared" si="1"/>
        <v>0</v>
      </c>
    </row>
    <row r="39" spans="1:21" ht="12">
      <c r="A39" s="424" t="s">
        <v>493</v>
      </c>
      <c r="B39" s="424"/>
      <c r="C39" s="424"/>
      <c r="D39" s="424" t="s">
        <v>489</v>
      </c>
      <c r="E39" s="424"/>
      <c r="F39" s="424"/>
      <c r="G39" s="412" t="s">
        <v>344</v>
      </c>
      <c r="H39" s="424" t="s">
        <v>490</v>
      </c>
      <c r="I39" s="424"/>
      <c r="J39" s="425">
        <v>4780</v>
      </c>
      <c r="K39" s="425"/>
      <c r="L39" s="425"/>
      <c r="M39" s="425"/>
      <c r="N39" s="425">
        <v>4780</v>
      </c>
      <c r="O39" s="425"/>
      <c r="P39" s="426">
        <v>0</v>
      </c>
      <c r="Q39" s="426"/>
      <c r="R39" s="426"/>
      <c r="T39" s="164">
        <v>4780</v>
      </c>
      <c r="U39" s="164">
        <f t="shared" si="1"/>
        <v>0</v>
      </c>
    </row>
    <row r="40" spans="1:21" ht="12">
      <c r="A40" s="424" t="s">
        <v>27</v>
      </c>
      <c r="B40" s="424"/>
      <c r="C40" s="424"/>
      <c r="D40" s="424" t="s">
        <v>489</v>
      </c>
      <c r="E40" s="424"/>
      <c r="F40" s="424"/>
      <c r="G40" s="412" t="s">
        <v>344</v>
      </c>
      <c r="H40" s="424" t="s">
        <v>490</v>
      </c>
      <c r="I40" s="424"/>
      <c r="J40" s="425">
        <v>121125</v>
      </c>
      <c r="K40" s="425"/>
      <c r="L40" s="425"/>
      <c r="M40" s="425"/>
      <c r="N40" s="425">
        <v>121125</v>
      </c>
      <c r="O40" s="425"/>
      <c r="P40" s="426">
        <v>0</v>
      </c>
      <c r="Q40" s="426"/>
      <c r="R40" s="426"/>
      <c r="T40" s="164">
        <v>121125</v>
      </c>
      <c r="U40" s="164">
        <f t="shared" si="1"/>
        <v>0</v>
      </c>
    </row>
    <row r="41" spans="1:21" ht="12">
      <c r="A41" s="424" t="s">
        <v>165</v>
      </c>
      <c r="B41" s="424"/>
      <c r="C41" s="424"/>
      <c r="D41" s="424" t="s">
        <v>489</v>
      </c>
      <c r="E41" s="424"/>
      <c r="F41" s="424"/>
      <c r="G41" s="412" t="s">
        <v>344</v>
      </c>
      <c r="H41" s="424" t="s">
        <v>490</v>
      </c>
      <c r="I41" s="424"/>
      <c r="J41" s="425">
        <v>102470.17</v>
      </c>
      <c r="K41" s="425"/>
      <c r="L41" s="425"/>
      <c r="M41" s="425"/>
      <c r="N41" s="425">
        <v>24092</v>
      </c>
      <c r="O41" s="425"/>
      <c r="P41" s="426">
        <v>78378.17</v>
      </c>
      <c r="Q41" s="426"/>
      <c r="R41" s="426"/>
      <c r="T41" s="164">
        <v>24092</v>
      </c>
      <c r="U41" s="164">
        <f t="shared" si="1"/>
        <v>0</v>
      </c>
    </row>
    <row r="42" spans="1:21" ht="12">
      <c r="A42" s="424" t="s">
        <v>516</v>
      </c>
      <c r="B42" s="424"/>
      <c r="C42" s="424"/>
      <c r="D42" s="424" t="s">
        <v>489</v>
      </c>
      <c r="E42" s="424"/>
      <c r="F42" s="424"/>
      <c r="G42" s="412" t="s">
        <v>344</v>
      </c>
      <c r="H42" s="424" t="s">
        <v>490</v>
      </c>
      <c r="I42" s="424"/>
      <c r="J42" s="425">
        <v>19030</v>
      </c>
      <c r="K42" s="425"/>
      <c r="L42" s="425"/>
      <c r="M42" s="425"/>
      <c r="N42" s="425">
        <v>19030</v>
      </c>
      <c r="O42" s="425"/>
      <c r="P42" s="426">
        <v>0</v>
      </c>
      <c r="Q42" s="426"/>
      <c r="R42" s="426"/>
      <c r="T42" s="164">
        <v>19030</v>
      </c>
      <c r="U42" s="164">
        <f t="shared" si="1"/>
        <v>0</v>
      </c>
    </row>
    <row r="43" spans="1:21" ht="12">
      <c r="A43" s="424" t="s">
        <v>28</v>
      </c>
      <c r="B43" s="424"/>
      <c r="C43" s="424"/>
      <c r="D43" s="424" t="s">
        <v>489</v>
      </c>
      <c r="E43" s="424"/>
      <c r="F43" s="424"/>
      <c r="G43" s="412" t="s">
        <v>344</v>
      </c>
      <c r="H43" s="424" t="s">
        <v>490</v>
      </c>
      <c r="I43" s="424"/>
      <c r="J43" s="425">
        <v>16235</v>
      </c>
      <c r="K43" s="425"/>
      <c r="L43" s="425"/>
      <c r="M43" s="425"/>
      <c r="N43" s="425">
        <v>16235</v>
      </c>
      <c r="O43" s="425"/>
      <c r="P43" s="426">
        <v>0</v>
      </c>
      <c r="Q43" s="426"/>
      <c r="R43" s="426"/>
      <c r="T43" s="164">
        <f>16235</f>
        <v>16235</v>
      </c>
      <c r="U43" s="164">
        <f t="shared" si="1"/>
        <v>0</v>
      </c>
    </row>
    <row r="44" spans="1:21" ht="12">
      <c r="A44" s="424" t="s">
        <v>29</v>
      </c>
      <c r="B44" s="424"/>
      <c r="C44" s="424"/>
      <c r="D44" s="424" t="s">
        <v>489</v>
      </c>
      <c r="E44" s="424"/>
      <c r="F44" s="424"/>
      <c r="G44" s="412" t="s">
        <v>344</v>
      </c>
      <c r="H44" s="424" t="s">
        <v>490</v>
      </c>
      <c r="I44" s="424"/>
      <c r="J44" s="425">
        <v>260185</v>
      </c>
      <c r="K44" s="425"/>
      <c r="L44" s="425"/>
      <c r="M44" s="425"/>
      <c r="N44" s="425">
        <v>260185</v>
      </c>
      <c r="O44" s="425"/>
      <c r="P44" s="426">
        <v>0</v>
      </c>
      <c r="Q44" s="426"/>
      <c r="R44" s="426"/>
      <c r="T44" s="164">
        <v>260185</v>
      </c>
      <c r="U44" s="164">
        <f t="shared" si="1"/>
        <v>0</v>
      </c>
    </row>
    <row r="45" spans="1:21" ht="12">
      <c r="A45" s="424" t="s">
        <v>30</v>
      </c>
      <c r="B45" s="424"/>
      <c r="C45" s="424"/>
      <c r="D45" s="424" t="s">
        <v>489</v>
      </c>
      <c r="E45" s="424"/>
      <c r="F45" s="424"/>
      <c r="G45" s="412" t="s">
        <v>344</v>
      </c>
      <c r="H45" s="424" t="s">
        <v>490</v>
      </c>
      <c r="I45" s="424"/>
      <c r="J45" s="425">
        <v>31938</v>
      </c>
      <c r="K45" s="425"/>
      <c r="L45" s="425"/>
      <c r="M45" s="425"/>
      <c r="N45" s="425">
        <v>31938</v>
      </c>
      <c r="O45" s="425"/>
      <c r="P45" s="426">
        <v>0</v>
      </c>
      <c r="Q45" s="426"/>
      <c r="R45" s="426"/>
      <c r="T45" s="164">
        <f>47623-15685</f>
        <v>31938</v>
      </c>
      <c r="U45" s="164">
        <f t="shared" si="1"/>
        <v>0</v>
      </c>
    </row>
    <row r="46" spans="1:21" ht="12">
      <c r="A46" s="424" t="s">
        <v>31</v>
      </c>
      <c r="B46" s="424"/>
      <c r="C46" s="424"/>
      <c r="D46" s="424" t="s">
        <v>489</v>
      </c>
      <c r="E46" s="424"/>
      <c r="F46" s="424"/>
      <c r="G46" s="412" t="s">
        <v>344</v>
      </c>
      <c r="H46" s="424" t="s">
        <v>490</v>
      </c>
      <c r="I46" s="424"/>
      <c r="J46" s="425">
        <v>119171</v>
      </c>
      <c r="K46" s="425"/>
      <c r="L46" s="425"/>
      <c r="M46" s="425"/>
      <c r="N46" s="425">
        <v>119171</v>
      </c>
      <c r="O46" s="425"/>
      <c r="P46" s="426">
        <v>0</v>
      </c>
      <c r="Q46" s="426"/>
      <c r="R46" s="426"/>
      <c r="T46" s="164">
        <v>119171</v>
      </c>
      <c r="U46" s="164">
        <f t="shared" si="1"/>
        <v>0</v>
      </c>
    </row>
    <row r="47" spans="1:21" ht="12">
      <c r="A47" s="424" t="s">
        <v>32</v>
      </c>
      <c r="B47" s="424"/>
      <c r="C47" s="424"/>
      <c r="D47" s="424" t="s">
        <v>489</v>
      </c>
      <c r="E47" s="424"/>
      <c r="F47" s="424"/>
      <c r="G47" s="412" t="s">
        <v>344</v>
      </c>
      <c r="H47" s="424" t="s">
        <v>490</v>
      </c>
      <c r="I47" s="424"/>
      <c r="J47" s="425">
        <v>33746</v>
      </c>
      <c r="K47" s="425"/>
      <c r="L47" s="425"/>
      <c r="M47" s="425"/>
      <c r="N47" s="425">
        <v>33746</v>
      </c>
      <c r="O47" s="425"/>
      <c r="P47" s="426">
        <v>0</v>
      </c>
      <c r="Q47" s="426"/>
      <c r="R47" s="426"/>
      <c r="T47" s="164">
        <f>84785-51039</f>
        <v>33746</v>
      </c>
      <c r="U47" s="164">
        <f t="shared" si="1"/>
        <v>0</v>
      </c>
    </row>
    <row r="48" spans="1:21" ht="12">
      <c r="A48" s="424" t="s">
        <v>33</v>
      </c>
      <c r="B48" s="424"/>
      <c r="C48" s="424"/>
      <c r="D48" s="424" t="s">
        <v>489</v>
      </c>
      <c r="E48" s="424"/>
      <c r="F48" s="424"/>
      <c r="G48" s="412" t="s">
        <v>344</v>
      </c>
      <c r="H48" s="424" t="s">
        <v>490</v>
      </c>
      <c r="I48" s="424"/>
      <c r="J48" s="425">
        <v>149896.21</v>
      </c>
      <c r="K48" s="425"/>
      <c r="L48" s="425"/>
      <c r="M48" s="425"/>
      <c r="N48" s="425">
        <v>149896.21</v>
      </c>
      <c r="O48" s="425"/>
      <c r="P48" s="426">
        <v>0</v>
      </c>
      <c r="Q48" s="426"/>
      <c r="R48" s="426"/>
      <c r="T48" s="164">
        <v>149896.21</v>
      </c>
      <c r="U48" s="164">
        <f t="shared" si="1"/>
        <v>0</v>
      </c>
    </row>
    <row r="49" spans="1:21" ht="10.5">
      <c r="A49" s="296"/>
      <c r="B49" s="296"/>
      <c r="C49" s="296"/>
      <c r="D49" s="296"/>
      <c r="E49" s="296"/>
      <c r="F49" s="296"/>
      <c r="G49" s="296"/>
      <c r="H49" s="296"/>
      <c r="I49" s="296"/>
      <c r="J49" s="296"/>
      <c r="K49" s="296"/>
      <c r="L49" s="296"/>
      <c r="M49" s="296"/>
      <c r="N49" s="296"/>
      <c r="O49" s="296"/>
      <c r="P49" s="296"/>
      <c r="Q49" s="296"/>
      <c r="R49" s="296"/>
      <c r="T49" s="164"/>
      <c r="U49" s="164"/>
    </row>
    <row r="50" spans="1:21" ht="11.25">
      <c r="A50" s="291"/>
      <c r="B50" s="291"/>
      <c r="C50" s="291"/>
      <c r="D50" s="291"/>
      <c r="E50" s="291"/>
      <c r="F50" s="291"/>
      <c r="G50" s="291"/>
      <c r="H50" s="291"/>
      <c r="I50" s="291"/>
      <c r="J50" s="429">
        <v>1140068.38</v>
      </c>
      <c r="K50" s="429"/>
      <c r="L50" s="429"/>
      <c r="M50" s="429"/>
      <c r="N50" s="429">
        <v>1061690.21</v>
      </c>
      <c r="O50" s="429"/>
      <c r="P50" s="429">
        <v>78378.17</v>
      </c>
      <c r="Q50" s="429"/>
      <c r="R50" s="429"/>
      <c r="T50" s="164"/>
      <c r="U50" s="164"/>
    </row>
    <row r="51" spans="1:21" ht="12">
      <c r="A51" s="291"/>
      <c r="B51" s="430" t="s">
        <v>331</v>
      </c>
      <c r="C51" s="430"/>
      <c r="D51" s="434" t="s">
        <v>187</v>
      </c>
      <c r="E51" s="434"/>
      <c r="F51" s="434"/>
      <c r="G51" s="434"/>
      <c r="H51" s="434"/>
      <c r="I51" s="434"/>
      <c r="J51" s="434"/>
      <c r="K51" s="434"/>
      <c r="L51" s="434"/>
      <c r="M51" s="434"/>
      <c r="N51" s="291"/>
      <c r="O51" s="291"/>
      <c r="P51" s="291"/>
      <c r="Q51" s="291"/>
      <c r="R51" s="291"/>
      <c r="T51" s="164"/>
      <c r="U51" s="164"/>
    </row>
    <row r="52" spans="1:21" ht="12">
      <c r="A52" s="430" t="s">
        <v>332</v>
      </c>
      <c r="B52" s="430"/>
      <c r="C52" s="291"/>
      <c r="D52" s="291"/>
      <c r="E52" s="435" t="s">
        <v>333</v>
      </c>
      <c r="F52" s="435"/>
      <c r="G52" s="435"/>
      <c r="H52" s="435"/>
      <c r="I52" s="435"/>
      <c r="J52" s="427" t="s">
        <v>3</v>
      </c>
      <c r="K52" s="427"/>
      <c r="L52" s="427"/>
      <c r="M52" s="427"/>
      <c r="N52" s="427" t="s">
        <v>334</v>
      </c>
      <c r="O52" s="427"/>
      <c r="P52" s="428" t="s">
        <v>335</v>
      </c>
      <c r="Q52" s="428"/>
      <c r="R52" s="291"/>
      <c r="T52" s="164"/>
      <c r="U52" s="164"/>
    </row>
    <row r="53" spans="1:21" ht="12">
      <c r="A53" s="430"/>
      <c r="B53" s="430"/>
      <c r="C53" s="291"/>
      <c r="D53" s="291"/>
      <c r="E53" s="435"/>
      <c r="F53" s="435"/>
      <c r="G53" s="435"/>
      <c r="H53" s="435"/>
      <c r="I53" s="435"/>
      <c r="J53" s="428" t="s">
        <v>340</v>
      </c>
      <c r="K53" s="428"/>
      <c r="L53" s="428"/>
      <c r="M53" s="428"/>
      <c r="N53" s="428" t="s">
        <v>341</v>
      </c>
      <c r="O53" s="428"/>
      <c r="P53" s="428"/>
      <c r="Q53" s="428"/>
      <c r="R53" s="291"/>
      <c r="T53" s="164"/>
      <c r="U53" s="164"/>
    </row>
    <row r="54" spans="1:21" ht="12">
      <c r="A54" s="424" t="s">
        <v>23</v>
      </c>
      <c r="B54" s="424"/>
      <c r="C54" s="424"/>
      <c r="D54" s="424" t="s">
        <v>489</v>
      </c>
      <c r="E54" s="424"/>
      <c r="F54" s="424"/>
      <c r="G54" s="412" t="s">
        <v>344</v>
      </c>
      <c r="H54" s="424" t="s">
        <v>490</v>
      </c>
      <c r="I54" s="424"/>
      <c r="J54" s="425">
        <v>25824.11</v>
      </c>
      <c r="K54" s="425"/>
      <c r="L54" s="425"/>
      <c r="M54" s="425"/>
      <c r="N54" s="425">
        <v>25824.11</v>
      </c>
      <c r="O54" s="425"/>
      <c r="P54" s="426">
        <v>0</v>
      </c>
      <c r="Q54" s="426"/>
      <c r="R54" s="426"/>
      <c r="T54" s="164">
        <v>25824.11</v>
      </c>
      <c r="U54" s="164">
        <f>N54-T54</f>
        <v>0</v>
      </c>
    </row>
    <row r="55" spans="1:21" ht="12">
      <c r="A55" s="424" t="s">
        <v>24</v>
      </c>
      <c r="B55" s="424"/>
      <c r="C55" s="424"/>
      <c r="D55" s="424" t="s">
        <v>489</v>
      </c>
      <c r="E55" s="424"/>
      <c r="F55" s="424"/>
      <c r="G55" s="412" t="s">
        <v>344</v>
      </c>
      <c r="H55" s="424" t="s">
        <v>490</v>
      </c>
      <c r="I55" s="424"/>
      <c r="J55" s="425">
        <v>17276.86</v>
      </c>
      <c r="K55" s="425"/>
      <c r="L55" s="425"/>
      <c r="M55" s="425"/>
      <c r="N55" s="425">
        <v>17276.86</v>
      </c>
      <c r="O55" s="425"/>
      <c r="P55" s="426">
        <v>0</v>
      </c>
      <c r="Q55" s="426"/>
      <c r="R55" s="426"/>
      <c r="T55" s="164">
        <v>17276.86</v>
      </c>
      <c r="U55" s="164">
        <f>N55-T55</f>
        <v>0</v>
      </c>
    </row>
    <row r="56" spans="1:21" ht="12">
      <c r="A56" s="424" t="s">
        <v>25</v>
      </c>
      <c r="B56" s="424"/>
      <c r="C56" s="424"/>
      <c r="D56" s="424" t="s">
        <v>489</v>
      </c>
      <c r="E56" s="424"/>
      <c r="F56" s="424"/>
      <c r="G56" s="412" t="s">
        <v>344</v>
      </c>
      <c r="H56" s="424" t="s">
        <v>490</v>
      </c>
      <c r="I56" s="424"/>
      <c r="J56" s="425">
        <v>16935.99</v>
      </c>
      <c r="K56" s="425"/>
      <c r="L56" s="425"/>
      <c r="M56" s="425"/>
      <c r="N56" s="425">
        <v>16935.99</v>
      </c>
      <c r="O56" s="425"/>
      <c r="P56" s="426">
        <v>0</v>
      </c>
      <c r="Q56" s="426"/>
      <c r="R56" s="426"/>
      <c r="T56" s="164">
        <v>16935.99</v>
      </c>
      <c r="U56" s="164">
        <f aca="true" t="shared" si="2" ref="U56:U66">N56-T56</f>
        <v>0</v>
      </c>
    </row>
    <row r="57" spans="1:21" ht="12">
      <c r="A57" s="424" t="s">
        <v>493</v>
      </c>
      <c r="B57" s="424"/>
      <c r="C57" s="424"/>
      <c r="D57" s="424" t="s">
        <v>489</v>
      </c>
      <c r="E57" s="424"/>
      <c r="F57" s="424"/>
      <c r="G57" s="412" t="s">
        <v>344</v>
      </c>
      <c r="H57" s="424" t="s">
        <v>490</v>
      </c>
      <c r="I57" s="424"/>
      <c r="J57" s="425">
        <v>1309</v>
      </c>
      <c r="K57" s="425"/>
      <c r="L57" s="425"/>
      <c r="M57" s="425"/>
      <c r="N57" s="425">
        <v>1309</v>
      </c>
      <c r="O57" s="425"/>
      <c r="P57" s="426">
        <v>0</v>
      </c>
      <c r="Q57" s="426"/>
      <c r="R57" s="426"/>
      <c r="T57" s="164">
        <v>1309</v>
      </c>
      <c r="U57" s="164">
        <f t="shared" si="2"/>
        <v>0</v>
      </c>
    </row>
    <row r="58" spans="1:21" ht="12">
      <c r="A58" s="424" t="s">
        <v>27</v>
      </c>
      <c r="B58" s="424"/>
      <c r="C58" s="424"/>
      <c r="D58" s="424" t="s">
        <v>489</v>
      </c>
      <c r="E58" s="424"/>
      <c r="F58" s="424"/>
      <c r="G58" s="412" t="s">
        <v>344</v>
      </c>
      <c r="H58" s="424" t="s">
        <v>490</v>
      </c>
      <c r="I58" s="424"/>
      <c r="J58" s="425">
        <v>26343</v>
      </c>
      <c r="K58" s="425"/>
      <c r="L58" s="425"/>
      <c r="M58" s="425"/>
      <c r="N58" s="425">
        <v>26343</v>
      </c>
      <c r="O58" s="425"/>
      <c r="P58" s="426">
        <v>0</v>
      </c>
      <c r="Q58" s="426"/>
      <c r="R58" s="426"/>
      <c r="T58" s="164">
        <v>26343</v>
      </c>
      <c r="U58" s="164">
        <f t="shared" si="2"/>
        <v>0</v>
      </c>
    </row>
    <row r="59" spans="1:21" ht="12">
      <c r="A59" s="424" t="s">
        <v>165</v>
      </c>
      <c r="B59" s="424"/>
      <c r="C59" s="424"/>
      <c r="D59" s="424" t="s">
        <v>489</v>
      </c>
      <c r="E59" s="424"/>
      <c r="F59" s="424"/>
      <c r="G59" s="412" t="s">
        <v>344</v>
      </c>
      <c r="H59" s="424" t="s">
        <v>490</v>
      </c>
      <c r="I59" s="424"/>
      <c r="J59" s="425">
        <v>21961</v>
      </c>
      <c r="K59" s="425"/>
      <c r="L59" s="425"/>
      <c r="M59" s="425"/>
      <c r="N59" s="425">
        <v>21961</v>
      </c>
      <c r="O59" s="425"/>
      <c r="P59" s="426">
        <v>0</v>
      </c>
      <c r="Q59" s="426"/>
      <c r="R59" s="426"/>
      <c r="T59" s="164">
        <f>27788.63-5827.63</f>
        <v>21961</v>
      </c>
      <c r="U59" s="164">
        <f t="shared" si="2"/>
        <v>0</v>
      </c>
    </row>
    <row r="60" spans="1:21" ht="12">
      <c r="A60" s="424" t="s">
        <v>516</v>
      </c>
      <c r="B60" s="424"/>
      <c r="C60" s="424"/>
      <c r="D60" s="424" t="s">
        <v>489</v>
      </c>
      <c r="E60" s="424"/>
      <c r="F60" s="424"/>
      <c r="G60" s="412" t="s">
        <v>344</v>
      </c>
      <c r="H60" s="424" t="s">
        <v>490</v>
      </c>
      <c r="I60" s="424"/>
      <c r="J60" s="425">
        <v>2323</v>
      </c>
      <c r="K60" s="425"/>
      <c r="L60" s="425"/>
      <c r="M60" s="425"/>
      <c r="N60" s="425">
        <v>2323</v>
      </c>
      <c r="O60" s="425"/>
      <c r="P60" s="426">
        <v>0</v>
      </c>
      <c r="Q60" s="426"/>
      <c r="R60" s="426"/>
      <c r="T60" s="164">
        <v>2323</v>
      </c>
      <c r="U60" s="164">
        <f t="shared" si="2"/>
        <v>0</v>
      </c>
    </row>
    <row r="61" spans="1:21" ht="12">
      <c r="A61" s="424" t="s">
        <v>28</v>
      </c>
      <c r="B61" s="424"/>
      <c r="C61" s="424"/>
      <c r="D61" s="424" t="s">
        <v>489</v>
      </c>
      <c r="E61" s="424"/>
      <c r="F61" s="424"/>
      <c r="G61" s="412" t="s">
        <v>344</v>
      </c>
      <c r="H61" s="424" t="s">
        <v>490</v>
      </c>
      <c r="I61" s="424"/>
      <c r="J61" s="425">
        <v>10079</v>
      </c>
      <c r="K61" s="425"/>
      <c r="L61" s="425"/>
      <c r="M61" s="425"/>
      <c r="N61" s="425">
        <v>10079</v>
      </c>
      <c r="O61" s="425"/>
      <c r="P61" s="426">
        <v>0</v>
      </c>
      <c r="Q61" s="426"/>
      <c r="R61" s="426"/>
      <c r="T61" s="164">
        <v>10079</v>
      </c>
      <c r="U61" s="164">
        <f t="shared" si="2"/>
        <v>0</v>
      </c>
    </row>
    <row r="62" spans="1:21" ht="12">
      <c r="A62" s="424" t="s">
        <v>29</v>
      </c>
      <c r="B62" s="424"/>
      <c r="C62" s="424"/>
      <c r="D62" s="424" t="s">
        <v>489</v>
      </c>
      <c r="E62" s="424"/>
      <c r="F62" s="424"/>
      <c r="G62" s="412" t="s">
        <v>344</v>
      </c>
      <c r="H62" s="424" t="s">
        <v>490</v>
      </c>
      <c r="I62" s="424"/>
      <c r="J62" s="425">
        <v>9546.28</v>
      </c>
      <c r="K62" s="425"/>
      <c r="L62" s="425"/>
      <c r="M62" s="425"/>
      <c r="N62" s="425">
        <v>9546.28</v>
      </c>
      <c r="O62" s="425"/>
      <c r="P62" s="426">
        <v>0</v>
      </c>
      <c r="Q62" s="426"/>
      <c r="R62" s="426"/>
      <c r="T62" s="164">
        <v>9546.28</v>
      </c>
      <c r="U62" s="164">
        <f t="shared" si="2"/>
        <v>0</v>
      </c>
    </row>
    <row r="63" spans="1:21" ht="12">
      <c r="A63" s="424" t="s">
        <v>30</v>
      </c>
      <c r="B63" s="424"/>
      <c r="C63" s="424"/>
      <c r="D63" s="424" t="s">
        <v>489</v>
      </c>
      <c r="E63" s="424"/>
      <c r="F63" s="424"/>
      <c r="G63" s="412" t="s">
        <v>344</v>
      </c>
      <c r="H63" s="424" t="s">
        <v>490</v>
      </c>
      <c r="I63" s="424"/>
      <c r="J63" s="425">
        <v>6221.8</v>
      </c>
      <c r="K63" s="425"/>
      <c r="L63" s="425"/>
      <c r="M63" s="425"/>
      <c r="N63" s="425">
        <v>6221.8</v>
      </c>
      <c r="O63" s="425"/>
      <c r="P63" s="426">
        <v>0</v>
      </c>
      <c r="Q63" s="426"/>
      <c r="R63" s="426"/>
      <c r="T63" s="164">
        <v>6221.8</v>
      </c>
      <c r="U63" s="164">
        <f t="shared" si="2"/>
        <v>0</v>
      </c>
    </row>
    <row r="64" spans="1:21" ht="12">
      <c r="A64" s="424" t="s">
        <v>31</v>
      </c>
      <c r="B64" s="424"/>
      <c r="C64" s="424"/>
      <c r="D64" s="424" t="s">
        <v>489</v>
      </c>
      <c r="E64" s="424"/>
      <c r="F64" s="424"/>
      <c r="G64" s="412" t="s">
        <v>344</v>
      </c>
      <c r="H64" s="424" t="s">
        <v>490</v>
      </c>
      <c r="I64" s="424"/>
      <c r="J64" s="425">
        <v>31578</v>
      </c>
      <c r="K64" s="425"/>
      <c r="L64" s="425"/>
      <c r="M64" s="425"/>
      <c r="N64" s="425">
        <v>31578</v>
      </c>
      <c r="O64" s="425"/>
      <c r="P64" s="426">
        <v>0</v>
      </c>
      <c r="Q64" s="426"/>
      <c r="R64" s="426"/>
      <c r="T64" s="164">
        <v>31578</v>
      </c>
      <c r="U64" s="164">
        <f t="shared" si="2"/>
        <v>0</v>
      </c>
    </row>
    <row r="65" spans="1:21" ht="12">
      <c r="A65" s="424" t="s">
        <v>32</v>
      </c>
      <c r="B65" s="424"/>
      <c r="C65" s="424"/>
      <c r="D65" s="424" t="s">
        <v>489</v>
      </c>
      <c r="E65" s="424"/>
      <c r="F65" s="424"/>
      <c r="G65" s="412" t="s">
        <v>344</v>
      </c>
      <c r="H65" s="424" t="s">
        <v>490</v>
      </c>
      <c r="I65" s="424"/>
      <c r="J65" s="425">
        <v>15364</v>
      </c>
      <c r="K65" s="425"/>
      <c r="L65" s="425"/>
      <c r="M65" s="425"/>
      <c r="N65" s="425">
        <v>15364</v>
      </c>
      <c r="O65" s="425"/>
      <c r="P65" s="426">
        <v>0</v>
      </c>
      <c r="Q65" s="426"/>
      <c r="R65" s="426"/>
      <c r="T65" s="164">
        <v>15364</v>
      </c>
      <c r="U65" s="164">
        <f t="shared" si="2"/>
        <v>0</v>
      </c>
    </row>
    <row r="66" spans="1:21" ht="12">
      <c r="A66" s="424" t="s">
        <v>33</v>
      </c>
      <c r="B66" s="424"/>
      <c r="C66" s="424"/>
      <c r="D66" s="424" t="s">
        <v>489</v>
      </c>
      <c r="E66" s="424"/>
      <c r="F66" s="424"/>
      <c r="G66" s="412" t="s">
        <v>344</v>
      </c>
      <c r="H66" s="424" t="s">
        <v>490</v>
      </c>
      <c r="I66" s="424"/>
      <c r="J66" s="425">
        <v>24948</v>
      </c>
      <c r="K66" s="425"/>
      <c r="L66" s="425"/>
      <c r="M66" s="425"/>
      <c r="N66" s="425">
        <v>24948</v>
      </c>
      <c r="O66" s="425"/>
      <c r="P66" s="426">
        <v>0</v>
      </c>
      <c r="Q66" s="426"/>
      <c r="R66" s="426"/>
      <c r="T66" s="164">
        <v>24948</v>
      </c>
      <c r="U66" s="164">
        <f t="shared" si="2"/>
        <v>0</v>
      </c>
    </row>
    <row r="67" spans="1:21" ht="10.5">
      <c r="A67" s="296"/>
      <c r="B67" s="296"/>
      <c r="C67" s="296"/>
      <c r="D67" s="296"/>
      <c r="E67" s="296"/>
      <c r="F67" s="296"/>
      <c r="G67" s="296"/>
      <c r="H67" s="296"/>
      <c r="I67" s="296"/>
      <c r="J67" s="296"/>
      <c r="K67" s="296"/>
      <c r="L67" s="296"/>
      <c r="M67" s="296"/>
      <c r="N67" s="296"/>
      <c r="O67" s="296"/>
      <c r="P67" s="296"/>
      <c r="Q67" s="296"/>
      <c r="R67" s="296"/>
      <c r="T67" s="164"/>
      <c r="U67" s="164"/>
    </row>
    <row r="68" spans="1:21" ht="12" thickBot="1">
      <c r="A68" s="291"/>
      <c r="B68" s="291"/>
      <c r="C68" s="291"/>
      <c r="D68" s="291"/>
      <c r="E68" s="291"/>
      <c r="F68" s="291"/>
      <c r="G68" s="291"/>
      <c r="H68" s="291"/>
      <c r="I68" s="291"/>
      <c r="J68" s="429">
        <v>209710.04</v>
      </c>
      <c r="K68" s="429"/>
      <c r="L68" s="429"/>
      <c r="M68" s="429"/>
      <c r="N68" s="429">
        <v>209710.04</v>
      </c>
      <c r="O68" s="429"/>
      <c r="P68" s="429">
        <v>0</v>
      </c>
      <c r="Q68" s="429"/>
      <c r="R68" s="429"/>
      <c r="T68" s="164">
        <f>SUM(T54:T66)</f>
        <v>209710.04</v>
      </c>
      <c r="U68" s="164">
        <f>SUM(U54:U66)</f>
        <v>0</v>
      </c>
    </row>
    <row r="69" spans="1:18" ht="11.25" thickTop="1">
      <c r="A69" s="297"/>
      <c r="B69" s="297"/>
      <c r="C69" s="297"/>
      <c r="D69" s="297"/>
      <c r="E69" s="297"/>
      <c r="F69" s="297"/>
      <c r="G69" s="297"/>
      <c r="H69" s="297"/>
      <c r="I69" s="297"/>
      <c r="J69" s="297"/>
      <c r="K69" s="297"/>
      <c r="L69" s="297"/>
      <c r="M69" s="297"/>
      <c r="N69" s="297"/>
      <c r="O69" s="297"/>
      <c r="P69" s="297"/>
      <c r="Q69" s="297"/>
      <c r="R69" s="297"/>
    </row>
    <row r="70" spans="1:18" ht="12">
      <c r="A70" s="427" t="s">
        <v>494</v>
      </c>
      <c r="B70" s="427"/>
      <c r="C70" s="427"/>
      <c r="D70" s="427"/>
      <c r="E70" s="427"/>
      <c r="F70" s="427"/>
      <c r="G70" s="427"/>
      <c r="H70" s="427"/>
      <c r="I70" s="291"/>
      <c r="J70" s="433">
        <v>1530121.18</v>
      </c>
      <c r="K70" s="433"/>
      <c r="L70" s="433"/>
      <c r="M70" s="433"/>
      <c r="N70" s="433">
        <v>1442450.75</v>
      </c>
      <c r="O70" s="433"/>
      <c r="P70" s="429">
        <v>87670.43</v>
      </c>
      <c r="Q70" s="429"/>
      <c r="R70" s="429"/>
    </row>
    <row r="71" spans="1:18" ht="12">
      <c r="A71" s="430" t="s">
        <v>329</v>
      </c>
      <c r="B71" s="430"/>
      <c r="C71" s="434" t="s">
        <v>495</v>
      </c>
      <c r="D71" s="434"/>
      <c r="E71" s="434"/>
      <c r="F71" s="434"/>
      <c r="G71" s="434"/>
      <c r="H71" s="434"/>
      <c r="I71" s="434"/>
      <c r="J71" s="434"/>
      <c r="K71" s="434"/>
      <c r="L71" s="291"/>
      <c r="M71" s="291"/>
      <c r="N71" s="291"/>
      <c r="O71" s="291"/>
      <c r="P71" s="291"/>
      <c r="Q71" s="291"/>
      <c r="R71" s="291"/>
    </row>
    <row r="72" spans="1:18" ht="10.5" customHeight="1">
      <c r="A72" s="430"/>
      <c r="B72" s="430"/>
      <c r="C72" s="291"/>
      <c r="D72" s="291"/>
      <c r="E72" s="291"/>
      <c r="F72" s="291"/>
      <c r="G72" s="291"/>
      <c r="H72" s="291"/>
      <c r="I72" s="291"/>
      <c r="J72" s="291"/>
      <c r="K72" s="291"/>
      <c r="L72" s="291"/>
      <c r="M72" s="291"/>
      <c r="N72" s="291"/>
      <c r="O72" s="291"/>
      <c r="P72" s="291"/>
      <c r="Q72" s="291"/>
      <c r="R72" s="291"/>
    </row>
    <row r="73" spans="1:18" ht="12">
      <c r="A73" s="291"/>
      <c r="B73" s="430" t="s">
        <v>331</v>
      </c>
      <c r="C73" s="430"/>
      <c r="D73" s="434" t="s">
        <v>44</v>
      </c>
      <c r="E73" s="434"/>
      <c r="F73" s="434"/>
      <c r="G73" s="434"/>
      <c r="H73" s="434"/>
      <c r="I73" s="434"/>
      <c r="J73" s="434"/>
      <c r="K73" s="434"/>
      <c r="L73" s="434"/>
      <c r="M73" s="434"/>
      <c r="N73" s="291"/>
      <c r="O73" s="291"/>
      <c r="P73" s="291"/>
      <c r="Q73" s="291"/>
      <c r="R73" s="291"/>
    </row>
    <row r="74" spans="1:18" ht="12">
      <c r="A74" s="430" t="s">
        <v>332</v>
      </c>
      <c r="B74" s="430"/>
      <c r="C74" s="291"/>
      <c r="D74" s="291"/>
      <c r="E74" s="435" t="s">
        <v>333</v>
      </c>
      <c r="F74" s="435"/>
      <c r="G74" s="435"/>
      <c r="H74" s="435"/>
      <c r="I74" s="435"/>
      <c r="J74" s="427" t="s">
        <v>3</v>
      </c>
      <c r="K74" s="427"/>
      <c r="L74" s="427"/>
      <c r="M74" s="427"/>
      <c r="N74" s="427" t="s">
        <v>334</v>
      </c>
      <c r="O74" s="427"/>
      <c r="P74" s="428" t="s">
        <v>335</v>
      </c>
      <c r="Q74" s="428"/>
      <c r="R74" s="291"/>
    </row>
    <row r="75" spans="1:18" ht="12">
      <c r="A75" s="430"/>
      <c r="B75" s="430"/>
      <c r="C75" s="291"/>
      <c r="D75" s="291"/>
      <c r="E75" s="435"/>
      <c r="F75" s="435"/>
      <c r="G75" s="435"/>
      <c r="H75" s="435"/>
      <c r="I75" s="435"/>
      <c r="J75" s="428" t="s">
        <v>340</v>
      </c>
      <c r="K75" s="428"/>
      <c r="L75" s="428"/>
      <c r="M75" s="428"/>
      <c r="N75" s="428" t="s">
        <v>341</v>
      </c>
      <c r="O75" s="428"/>
      <c r="P75" s="428"/>
      <c r="Q75" s="428"/>
      <c r="R75" s="291"/>
    </row>
    <row r="76" spans="1:21" ht="12">
      <c r="A76" s="424" t="s">
        <v>34</v>
      </c>
      <c r="B76" s="424"/>
      <c r="C76" s="424"/>
      <c r="D76" s="424" t="s">
        <v>489</v>
      </c>
      <c r="E76" s="424"/>
      <c r="F76" s="424"/>
      <c r="G76" s="412" t="s">
        <v>344</v>
      </c>
      <c r="H76" s="424" t="s">
        <v>490</v>
      </c>
      <c r="I76" s="424"/>
      <c r="J76" s="425">
        <v>35986</v>
      </c>
      <c r="K76" s="425"/>
      <c r="L76" s="425"/>
      <c r="M76" s="425"/>
      <c r="N76" s="425">
        <v>35986</v>
      </c>
      <c r="O76" s="425"/>
      <c r="P76" s="426">
        <v>0</v>
      </c>
      <c r="Q76" s="426"/>
      <c r="R76" s="426"/>
      <c r="T76" s="164">
        <v>35986</v>
      </c>
      <c r="U76" s="164">
        <f>N76-T76</f>
        <v>0</v>
      </c>
    </row>
    <row r="77" spans="1:21" ht="12">
      <c r="A77" s="424" t="s">
        <v>35</v>
      </c>
      <c r="B77" s="424"/>
      <c r="C77" s="424"/>
      <c r="D77" s="424" t="s">
        <v>489</v>
      </c>
      <c r="E77" s="424"/>
      <c r="F77" s="424"/>
      <c r="G77" s="412" t="s">
        <v>344</v>
      </c>
      <c r="H77" s="424" t="s">
        <v>490</v>
      </c>
      <c r="I77" s="424"/>
      <c r="J77" s="425">
        <v>67064.42</v>
      </c>
      <c r="K77" s="425"/>
      <c r="L77" s="425"/>
      <c r="M77" s="425"/>
      <c r="N77" s="425">
        <v>67064.42</v>
      </c>
      <c r="O77" s="425"/>
      <c r="P77" s="426">
        <v>0</v>
      </c>
      <c r="Q77" s="426"/>
      <c r="R77" s="426"/>
      <c r="T77" s="164">
        <v>67064.42</v>
      </c>
      <c r="U77" s="164">
        <f>N77-T77</f>
        <v>0</v>
      </c>
    </row>
    <row r="78" spans="1:21" ht="12">
      <c r="A78" s="424" t="s">
        <v>29</v>
      </c>
      <c r="B78" s="424"/>
      <c r="C78" s="424"/>
      <c r="D78" s="424" t="s">
        <v>489</v>
      </c>
      <c r="E78" s="424"/>
      <c r="F78" s="424"/>
      <c r="G78" s="412" t="s">
        <v>344</v>
      </c>
      <c r="H78" s="424" t="s">
        <v>490</v>
      </c>
      <c r="I78" s="424"/>
      <c r="J78" s="425">
        <v>133368.56</v>
      </c>
      <c r="K78" s="425"/>
      <c r="L78" s="425"/>
      <c r="M78" s="425"/>
      <c r="N78" s="425">
        <v>133368.56</v>
      </c>
      <c r="O78" s="425"/>
      <c r="P78" s="426">
        <v>0</v>
      </c>
      <c r="Q78" s="426"/>
      <c r="R78" s="426"/>
      <c r="T78" s="164">
        <f>155451.45-22082.89</f>
        <v>133368.56</v>
      </c>
      <c r="U78" s="164">
        <f>N78-T78</f>
        <v>0</v>
      </c>
    </row>
    <row r="79" spans="1:21" ht="12">
      <c r="A79" s="424" t="s">
        <v>30</v>
      </c>
      <c r="B79" s="424"/>
      <c r="C79" s="424"/>
      <c r="D79" s="424" t="s">
        <v>489</v>
      </c>
      <c r="E79" s="424"/>
      <c r="F79" s="424"/>
      <c r="G79" s="412" t="s">
        <v>344</v>
      </c>
      <c r="H79" s="424" t="s">
        <v>490</v>
      </c>
      <c r="I79" s="424"/>
      <c r="J79" s="425">
        <v>18166.41</v>
      </c>
      <c r="K79" s="425"/>
      <c r="L79" s="425"/>
      <c r="M79" s="425"/>
      <c r="N79" s="425">
        <v>18166.41</v>
      </c>
      <c r="O79" s="425"/>
      <c r="P79" s="426">
        <v>0</v>
      </c>
      <c r="Q79" s="426"/>
      <c r="R79" s="426"/>
      <c r="T79" s="164">
        <f>25233.41-7067</f>
        <v>18166.41</v>
      </c>
      <c r="U79" s="164">
        <f>N79-T79</f>
        <v>0</v>
      </c>
    </row>
    <row r="80" spans="1:21" ht="12">
      <c r="A80" s="424" t="s">
        <v>36</v>
      </c>
      <c r="B80" s="424"/>
      <c r="C80" s="424"/>
      <c r="D80" s="424" t="s">
        <v>489</v>
      </c>
      <c r="E80" s="424"/>
      <c r="F80" s="424"/>
      <c r="G80" s="412" t="s">
        <v>344</v>
      </c>
      <c r="H80" s="424" t="s">
        <v>490</v>
      </c>
      <c r="I80" s="424"/>
      <c r="J80" s="425">
        <v>5509.26</v>
      </c>
      <c r="K80" s="425"/>
      <c r="L80" s="425"/>
      <c r="M80" s="425"/>
      <c r="N80" s="425">
        <v>5509.26</v>
      </c>
      <c r="O80" s="425"/>
      <c r="P80" s="426">
        <v>0</v>
      </c>
      <c r="Q80" s="426"/>
      <c r="R80" s="426"/>
      <c r="T80" s="164">
        <f>10918.55-5409.29</f>
        <v>5509.259999999999</v>
      </c>
      <c r="U80" s="164">
        <f>N80-T80</f>
        <v>0</v>
      </c>
    </row>
    <row r="81" spans="1:21" ht="10.5">
      <c r="A81" s="296"/>
      <c r="B81" s="296"/>
      <c r="C81" s="296"/>
      <c r="D81" s="296"/>
      <c r="E81" s="296"/>
      <c r="F81" s="296"/>
      <c r="G81" s="296"/>
      <c r="H81" s="296"/>
      <c r="I81" s="296"/>
      <c r="J81" s="296"/>
      <c r="K81" s="296"/>
      <c r="L81" s="296"/>
      <c r="M81" s="296"/>
      <c r="N81" s="296"/>
      <c r="O81" s="296"/>
      <c r="P81" s="296"/>
      <c r="Q81" s="296"/>
      <c r="R81" s="296"/>
      <c r="T81" s="164"/>
      <c r="U81" s="164"/>
    </row>
    <row r="82" spans="1:21" ht="11.25">
      <c r="A82" s="291"/>
      <c r="B82" s="291"/>
      <c r="C82" s="291"/>
      <c r="D82" s="291"/>
      <c r="E82" s="291"/>
      <c r="F82" s="291"/>
      <c r="G82" s="291"/>
      <c r="H82" s="291"/>
      <c r="I82" s="291"/>
      <c r="J82" s="429">
        <v>260094.65</v>
      </c>
      <c r="K82" s="429"/>
      <c r="L82" s="429"/>
      <c r="M82" s="429"/>
      <c r="N82" s="429">
        <v>260094.65</v>
      </c>
      <c r="O82" s="429"/>
      <c r="P82" s="429">
        <v>0</v>
      </c>
      <c r="Q82" s="429"/>
      <c r="R82" s="429"/>
      <c r="T82" s="164">
        <f>SUM(T76:T80)</f>
        <v>260094.65</v>
      </c>
      <c r="U82" s="164">
        <f>SUM(U76:U80)</f>
        <v>0</v>
      </c>
    </row>
    <row r="83" spans="1:21" ht="12">
      <c r="A83" s="291"/>
      <c r="B83" s="430" t="s">
        <v>331</v>
      </c>
      <c r="C83" s="430"/>
      <c r="D83" s="434" t="s">
        <v>348</v>
      </c>
      <c r="E83" s="434"/>
      <c r="F83" s="434"/>
      <c r="G83" s="434"/>
      <c r="H83" s="434"/>
      <c r="I83" s="434"/>
      <c r="J83" s="434"/>
      <c r="K83" s="434"/>
      <c r="L83" s="434"/>
      <c r="M83" s="434"/>
      <c r="N83" s="291"/>
      <c r="O83" s="291"/>
      <c r="P83" s="291"/>
      <c r="Q83" s="291"/>
      <c r="R83" s="291"/>
      <c r="T83" s="164"/>
      <c r="U83" s="164"/>
    </row>
    <row r="84" spans="1:21" ht="12">
      <c r="A84" s="430" t="s">
        <v>332</v>
      </c>
      <c r="B84" s="430"/>
      <c r="C84" s="291"/>
      <c r="D84" s="291"/>
      <c r="E84" s="435" t="s">
        <v>333</v>
      </c>
      <c r="F84" s="435"/>
      <c r="G84" s="435"/>
      <c r="H84" s="435"/>
      <c r="I84" s="435"/>
      <c r="J84" s="427" t="s">
        <v>3</v>
      </c>
      <c r="K84" s="427"/>
      <c r="L84" s="427"/>
      <c r="M84" s="427"/>
      <c r="N84" s="427" t="s">
        <v>334</v>
      </c>
      <c r="O84" s="427"/>
      <c r="P84" s="428" t="s">
        <v>335</v>
      </c>
      <c r="Q84" s="428"/>
      <c r="R84" s="291"/>
      <c r="T84" s="164"/>
      <c r="U84" s="164"/>
    </row>
    <row r="85" spans="1:21" ht="12">
      <c r="A85" s="430"/>
      <c r="B85" s="430"/>
      <c r="C85" s="291"/>
      <c r="D85" s="291"/>
      <c r="E85" s="435"/>
      <c r="F85" s="435"/>
      <c r="G85" s="435"/>
      <c r="H85" s="435"/>
      <c r="I85" s="435"/>
      <c r="J85" s="428" t="s">
        <v>340</v>
      </c>
      <c r="K85" s="428"/>
      <c r="L85" s="428"/>
      <c r="M85" s="428"/>
      <c r="N85" s="428" t="s">
        <v>341</v>
      </c>
      <c r="O85" s="428"/>
      <c r="P85" s="428"/>
      <c r="Q85" s="428"/>
      <c r="R85" s="291"/>
      <c r="T85" s="164"/>
      <c r="U85" s="164"/>
    </row>
    <row r="86" spans="1:21" ht="12">
      <c r="A86" s="424" t="s">
        <v>34</v>
      </c>
      <c r="B86" s="424"/>
      <c r="C86" s="424"/>
      <c r="D86" s="424" t="s">
        <v>489</v>
      </c>
      <c r="E86" s="424"/>
      <c r="F86" s="424"/>
      <c r="G86" s="412" t="s">
        <v>344</v>
      </c>
      <c r="H86" s="424" t="s">
        <v>490</v>
      </c>
      <c r="I86" s="424"/>
      <c r="J86" s="425">
        <v>342835</v>
      </c>
      <c r="K86" s="425"/>
      <c r="L86" s="425"/>
      <c r="M86" s="425"/>
      <c r="N86" s="425">
        <v>342835</v>
      </c>
      <c r="O86" s="425"/>
      <c r="P86" s="426">
        <v>0</v>
      </c>
      <c r="Q86" s="426"/>
      <c r="R86" s="426"/>
      <c r="T86" s="164">
        <f>859641-516806</f>
        <v>342835</v>
      </c>
      <c r="U86" s="164">
        <f>N86-T86</f>
        <v>0</v>
      </c>
    </row>
    <row r="87" spans="1:21" ht="12">
      <c r="A87" s="424" t="s">
        <v>35</v>
      </c>
      <c r="B87" s="424"/>
      <c r="C87" s="424"/>
      <c r="D87" s="424" t="s">
        <v>489</v>
      </c>
      <c r="E87" s="424"/>
      <c r="F87" s="424"/>
      <c r="G87" s="412" t="s">
        <v>344</v>
      </c>
      <c r="H87" s="424" t="s">
        <v>490</v>
      </c>
      <c r="I87" s="424"/>
      <c r="J87" s="425">
        <v>668375</v>
      </c>
      <c r="K87" s="425"/>
      <c r="L87" s="425"/>
      <c r="M87" s="425"/>
      <c r="N87" s="425">
        <v>668375</v>
      </c>
      <c r="O87" s="425"/>
      <c r="P87" s="426">
        <v>0</v>
      </c>
      <c r="Q87" s="426"/>
      <c r="R87" s="426"/>
      <c r="T87" s="164">
        <f>1083745-415370</f>
        <v>668375</v>
      </c>
      <c r="U87" s="164">
        <f>N87-T87</f>
        <v>0</v>
      </c>
    </row>
    <row r="88" spans="1:21" ht="12">
      <c r="A88" s="424" t="s">
        <v>29</v>
      </c>
      <c r="B88" s="424"/>
      <c r="C88" s="424"/>
      <c r="D88" s="424" t="s">
        <v>489</v>
      </c>
      <c r="E88" s="424"/>
      <c r="F88" s="424"/>
      <c r="G88" s="412" t="s">
        <v>344</v>
      </c>
      <c r="H88" s="424" t="s">
        <v>490</v>
      </c>
      <c r="I88" s="424"/>
      <c r="J88" s="425">
        <v>788318</v>
      </c>
      <c r="K88" s="425"/>
      <c r="L88" s="425"/>
      <c r="M88" s="425"/>
      <c r="N88" s="425">
        <v>788318</v>
      </c>
      <c r="O88" s="425"/>
      <c r="P88" s="426">
        <v>0</v>
      </c>
      <c r="Q88" s="426"/>
      <c r="R88" s="426"/>
      <c r="T88" s="164">
        <f>1084108-295790</f>
        <v>788318</v>
      </c>
      <c r="U88" s="164">
        <f>N88-T88</f>
        <v>0</v>
      </c>
    </row>
    <row r="89" spans="1:21" ht="12">
      <c r="A89" s="424" t="s">
        <v>30</v>
      </c>
      <c r="B89" s="424"/>
      <c r="C89" s="424"/>
      <c r="D89" s="424" t="s">
        <v>489</v>
      </c>
      <c r="E89" s="424"/>
      <c r="F89" s="424"/>
      <c r="G89" s="412" t="s">
        <v>344</v>
      </c>
      <c r="H89" s="424" t="s">
        <v>490</v>
      </c>
      <c r="I89" s="424"/>
      <c r="J89" s="425">
        <v>272579</v>
      </c>
      <c r="K89" s="425"/>
      <c r="L89" s="425"/>
      <c r="M89" s="425"/>
      <c r="N89" s="425">
        <v>272579</v>
      </c>
      <c r="O89" s="425"/>
      <c r="P89" s="426">
        <v>0</v>
      </c>
      <c r="Q89" s="426"/>
      <c r="R89" s="426"/>
      <c r="T89" s="164">
        <f>658909-386330</f>
        <v>272579</v>
      </c>
      <c r="U89" s="164">
        <f>N89-T89</f>
        <v>0</v>
      </c>
    </row>
    <row r="90" spans="1:21" ht="12">
      <c r="A90" s="424" t="s">
        <v>36</v>
      </c>
      <c r="B90" s="424"/>
      <c r="C90" s="424"/>
      <c r="D90" s="424" t="s">
        <v>489</v>
      </c>
      <c r="E90" s="424"/>
      <c r="F90" s="424"/>
      <c r="G90" s="412" t="s">
        <v>344</v>
      </c>
      <c r="H90" s="424" t="s">
        <v>490</v>
      </c>
      <c r="I90" s="424"/>
      <c r="J90" s="425">
        <v>42490</v>
      </c>
      <c r="K90" s="425"/>
      <c r="L90" s="425"/>
      <c r="M90" s="425"/>
      <c r="N90" s="425">
        <v>42490</v>
      </c>
      <c r="O90" s="425"/>
      <c r="P90" s="426">
        <v>0</v>
      </c>
      <c r="Q90" s="426"/>
      <c r="R90" s="426"/>
      <c r="T90" s="164">
        <f>114740-72250</f>
        <v>42490</v>
      </c>
      <c r="U90" s="164">
        <f>N90-T90</f>
        <v>0</v>
      </c>
    </row>
    <row r="91" spans="1:21" ht="10.5">
      <c r="A91" s="296"/>
      <c r="B91" s="296"/>
      <c r="C91" s="296"/>
      <c r="D91" s="296"/>
      <c r="E91" s="296"/>
      <c r="F91" s="296"/>
      <c r="G91" s="296"/>
      <c r="H91" s="296"/>
      <c r="I91" s="296"/>
      <c r="J91" s="296"/>
      <c r="K91" s="296"/>
      <c r="L91" s="296"/>
      <c r="M91" s="296"/>
      <c r="N91" s="296"/>
      <c r="O91" s="296"/>
      <c r="P91" s="296"/>
      <c r="Q91" s="296"/>
      <c r="R91" s="296"/>
      <c r="T91" s="164"/>
      <c r="U91" s="164"/>
    </row>
    <row r="92" spans="1:21" ht="11.25">
      <c r="A92" s="291"/>
      <c r="B92" s="291"/>
      <c r="C92" s="291"/>
      <c r="D92" s="291"/>
      <c r="E92" s="291"/>
      <c r="F92" s="291"/>
      <c r="G92" s="291"/>
      <c r="H92" s="291"/>
      <c r="I92" s="291"/>
      <c r="J92" s="429">
        <v>2114597</v>
      </c>
      <c r="K92" s="429"/>
      <c r="L92" s="429"/>
      <c r="M92" s="429"/>
      <c r="N92" s="429">
        <v>2114597</v>
      </c>
      <c r="O92" s="429"/>
      <c r="P92" s="429">
        <v>0</v>
      </c>
      <c r="Q92" s="429"/>
      <c r="R92" s="429"/>
      <c r="T92" s="164">
        <f>SUM(T86:T90)</f>
        <v>2114597</v>
      </c>
      <c r="U92" s="164">
        <f>SUM(U86:U90)</f>
        <v>0</v>
      </c>
    </row>
    <row r="93" spans="1:21" ht="12">
      <c r="A93" s="291"/>
      <c r="B93" s="430" t="s">
        <v>331</v>
      </c>
      <c r="C93" s="430"/>
      <c r="D93" s="434" t="s">
        <v>187</v>
      </c>
      <c r="E93" s="434"/>
      <c r="F93" s="434"/>
      <c r="G93" s="434"/>
      <c r="H93" s="434"/>
      <c r="I93" s="434"/>
      <c r="J93" s="434"/>
      <c r="K93" s="434"/>
      <c r="L93" s="434"/>
      <c r="M93" s="434"/>
      <c r="N93" s="291"/>
      <c r="O93" s="291"/>
      <c r="P93" s="291"/>
      <c r="Q93" s="291"/>
      <c r="R93" s="291"/>
      <c r="T93" s="164"/>
      <c r="U93" s="164"/>
    </row>
    <row r="94" spans="1:21" ht="12">
      <c r="A94" s="430" t="s">
        <v>332</v>
      </c>
      <c r="B94" s="430"/>
      <c r="C94" s="291"/>
      <c r="D94" s="291"/>
      <c r="E94" s="435" t="s">
        <v>333</v>
      </c>
      <c r="F94" s="435"/>
      <c r="G94" s="435"/>
      <c r="H94" s="435"/>
      <c r="I94" s="435"/>
      <c r="J94" s="427" t="s">
        <v>3</v>
      </c>
      <c r="K94" s="427"/>
      <c r="L94" s="427"/>
      <c r="M94" s="427"/>
      <c r="N94" s="427" t="s">
        <v>334</v>
      </c>
      <c r="O94" s="427"/>
      <c r="P94" s="428" t="s">
        <v>335</v>
      </c>
      <c r="Q94" s="428"/>
      <c r="R94" s="291"/>
      <c r="T94" s="164"/>
      <c r="U94" s="164"/>
    </row>
    <row r="95" spans="1:21" ht="12">
      <c r="A95" s="430"/>
      <c r="B95" s="430"/>
      <c r="C95" s="291"/>
      <c r="D95" s="291"/>
      <c r="E95" s="435"/>
      <c r="F95" s="435"/>
      <c r="G95" s="435"/>
      <c r="H95" s="435"/>
      <c r="I95" s="435"/>
      <c r="J95" s="428" t="s">
        <v>340</v>
      </c>
      <c r="K95" s="428"/>
      <c r="L95" s="428"/>
      <c r="M95" s="428"/>
      <c r="N95" s="428" t="s">
        <v>341</v>
      </c>
      <c r="O95" s="428"/>
      <c r="P95" s="428"/>
      <c r="Q95" s="428"/>
      <c r="R95" s="291"/>
      <c r="T95" s="164"/>
      <c r="U95" s="164"/>
    </row>
    <row r="96" spans="1:21" ht="12">
      <c r="A96" s="424" t="s">
        <v>34</v>
      </c>
      <c r="B96" s="424"/>
      <c r="C96" s="424"/>
      <c r="D96" s="424" t="s">
        <v>489</v>
      </c>
      <c r="E96" s="424"/>
      <c r="F96" s="424"/>
      <c r="G96" s="412" t="s">
        <v>344</v>
      </c>
      <c r="H96" s="424" t="s">
        <v>490</v>
      </c>
      <c r="I96" s="424"/>
      <c r="J96" s="425">
        <v>133668</v>
      </c>
      <c r="K96" s="425"/>
      <c r="L96" s="425"/>
      <c r="M96" s="425"/>
      <c r="N96" s="425">
        <v>133668</v>
      </c>
      <c r="O96" s="425"/>
      <c r="P96" s="426">
        <v>0</v>
      </c>
      <c r="Q96" s="426"/>
      <c r="R96" s="426"/>
      <c r="T96" s="164">
        <f>226190-92522</f>
        <v>133668</v>
      </c>
      <c r="U96" s="164">
        <f>N96-T96</f>
        <v>0</v>
      </c>
    </row>
    <row r="97" spans="1:21" ht="12">
      <c r="A97" s="424" t="s">
        <v>35</v>
      </c>
      <c r="B97" s="424"/>
      <c r="C97" s="424"/>
      <c r="D97" s="424" t="s">
        <v>489</v>
      </c>
      <c r="E97" s="424"/>
      <c r="F97" s="424"/>
      <c r="G97" s="412" t="s">
        <v>344</v>
      </c>
      <c r="H97" s="424" t="s">
        <v>490</v>
      </c>
      <c r="I97" s="424"/>
      <c r="J97" s="425">
        <v>93570.83</v>
      </c>
      <c r="K97" s="425"/>
      <c r="L97" s="425"/>
      <c r="M97" s="425"/>
      <c r="N97" s="425">
        <v>93570.83</v>
      </c>
      <c r="O97" s="425"/>
      <c r="P97" s="426">
        <v>0</v>
      </c>
      <c r="Q97" s="426"/>
      <c r="R97" s="426"/>
      <c r="T97" s="164">
        <v>93570.83</v>
      </c>
      <c r="U97" s="164">
        <f>N97-T97</f>
        <v>0</v>
      </c>
    </row>
    <row r="98" spans="1:21" ht="12">
      <c r="A98" s="424" t="s">
        <v>29</v>
      </c>
      <c r="B98" s="424"/>
      <c r="C98" s="424"/>
      <c r="D98" s="424" t="s">
        <v>489</v>
      </c>
      <c r="E98" s="424"/>
      <c r="F98" s="424"/>
      <c r="G98" s="412" t="s">
        <v>344</v>
      </c>
      <c r="H98" s="424" t="s">
        <v>490</v>
      </c>
      <c r="I98" s="424"/>
      <c r="J98" s="425">
        <v>58825.05</v>
      </c>
      <c r="K98" s="425"/>
      <c r="L98" s="425"/>
      <c r="M98" s="425"/>
      <c r="N98" s="425">
        <v>58825.05</v>
      </c>
      <c r="O98" s="425"/>
      <c r="P98" s="426">
        <v>0</v>
      </c>
      <c r="Q98" s="426"/>
      <c r="R98" s="426"/>
      <c r="T98" s="164">
        <f>88315.9-29490.85</f>
        <v>58825.049999999996</v>
      </c>
      <c r="U98" s="164">
        <f>N98-T98</f>
        <v>0</v>
      </c>
    </row>
    <row r="99" spans="1:21" ht="12">
      <c r="A99" s="424" t="s">
        <v>30</v>
      </c>
      <c r="B99" s="424"/>
      <c r="C99" s="424"/>
      <c r="D99" s="424" t="s">
        <v>489</v>
      </c>
      <c r="E99" s="424"/>
      <c r="F99" s="424"/>
      <c r="G99" s="412" t="s">
        <v>344</v>
      </c>
      <c r="H99" s="424" t="s">
        <v>490</v>
      </c>
      <c r="I99" s="424"/>
      <c r="J99" s="425">
        <v>24900.68</v>
      </c>
      <c r="K99" s="425"/>
      <c r="L99" s="425"/>
      <c r="M99" s="425"/>
      <c r="N99" s="425">
        <v>24900.68</v>
      </c>
      <c r="O99" s="425"/>
      <c r="P99" s="426">
        <v>0</v>
      </c>
      <c r="Q99" s="426"/>
      <c r="R99" s="426"/>
      <c r="T99" s="164">
        <f>47950.68-23050</f>
        <v>24900.68</v>
      </c>
      <c r="U99" s="164">
        <f>N99-T99</f>
        <v>0</v>
      </c>
    </row>
    <row r="100" spans="1:21" ht="12">
      <c r="A100" s="424" t="s">
        <v>36</v>
      </c>
      <c r="B100" s="424"/>
      <c r="C100" s="424"/>
      <c r="D100" s="424" t="s">
        <v>489</v>
      </c>
      <c r="E100" s="424"/>
      <c r="F100" s="424"/>
      <c r="G100" s="412" t="s">
        <v>344</v>
      </c>
      <c r="H100" s="424" t="s">
        <v>490</v>
      </c>
      <c r="I100" s="424"/>
      <c r="J100" s="425">
        <v>15830.4</v>
      </c>
      <c r="K100" s="425"/>
      <c r="L100" s="425"/>
      <c r="M100" s="425"/>
      <c r="N100" s="425">
        <v>15830.4</v>
      </c>
      <c r="O100" s="425"/>
      <c r="P100" s="426">
        <v>0</v>
      </c>
      <c r="Q100" s="426"/>
      <c r="R100" s="426"/>
      <c r="T100" s="164">
        <f>22393.15-6562.75</f>
        <v>15830.400000000001</v>
      </c>
      <c r="U100" s="164">
        <f>N100-T100</f>
        <v>0</v>
      </c>
    </row>
    <row r="101" spans="1:21" ht="10.5">
      <c r="A101" s="296"/>
      <c r="B101" s="296"/>
      <c r="C101" s="296"/>
      <c r="D101" s="296"/>
      <c r="E101" s="296"/>
      <c r="F101" s="296"/>
      <c r="G101" s="296"/>
      <c r="H101" s="296"/>
      <c r="I101" s="296"/>
      <c r="J101" s="296"/>
      <c r="K101" s="296"/>
      <c r="L101" s="296"/>
      <c r="M101" s="296"/>
      <c r="N101" s="296"/>
      <c r="O101" s="296"/>
      <c r="P101" s="296"/>
      <c r="Q101" s="296"/>
      <c r="R101" s="296"/>
      <c r="T101" s="164"/>
      <c r="U101" s="164"/>
    </row>
    <row r="102" spans="1:21" ht="12" thickBot="1">
      <c r="A102" s="291"/>
      <c r="B102" s="291"/>
      <c r="C102" s="291"/>
      <c r="D102" s="291"/>
      <c r="E102" s="291"/>
      <c r="F102" s="291"/>
      <c r="G102" s="291"/>
      <c r="H102" s="291"/>
      <c r="I102" s="291"/>
      <c r="J102" s="429">
        <v>326794.96</v>
      </c>
      <c r="K102" s="429"/>
      <c r="L102" s="429"/>
      <c r="M102" s="429"/>
      <c r="N102" s="429">
        <v>326794.96</v>
      </c>
      <c r="O102" s="429"/>
      <c r="P102" s="429">
        <v>0</v>
      </c>
      <c r="Q102" s="429"/>
      <c r="R102" s="429"/>
      <c r="T102" s="164">
        <f>SUM(T96:T100)</f>
        <v>326794.96</v>
      </c>
      <c r="U102" s="164">
        <f>SUM(U96:U100)</f>
        <v>0</v>
      </c>
    </row>
    <row r="103" spans="1:18" ht="11.25" thickTop="1">
      <c r="A103" s="297"/>
      <c r="B103" s="297"/>
      <c r="C103" s="297"/>
      <c r="D103" s="297"/>
      <c r="E103" s="297"/>
      <c r="F103" s="297"/>
      <c r="G103" s="297"/>
      <c r="H103" s="297"/>
      <c r="I103" s="297"/>
      <c r="J103" s="297"/>
      <c r="K103" s="297"/>
      <c r="L103" s="297"/>
      <c r="M103" s="297"/>
      <c r="N103" s="297"/>
      <c r="O103" s="297"/>
      <c r="P103" s="297"/>
      <c r="Q103" s="297"/>
      <c r="R103" s="297"/>
    </row>
    <row r="104" spans="1:18" ht="12">
      <c r="A104" s="427" t="s">
        <v>496</v>
      </c>
      <c r="B104" s="427"/>
      <c r="C104" s="427"/>
      <c r="D104" s="427"/>
      <c r="E104" s="427"/>
      <c r="F104" s="427"/>
      <c r="G104" s="427"/>
      <c r="H104" s="427"/>
      <c r="I104" s="291"/>
      <c r="J104" s="433">
        <v>2701486.61</v>
      </c>
      <c r="K104" s="433"/>
      <c r="L104" s="433"/>
      <c r="M104" s="433"/>
      <c r="N104" s="433">
        <v>2701486.61</v>
      </c>
      <c r="O104" s="433"/>
      <c r="P104" s="429">
        <v>0</v>
      </c>
      <c r="Q104" s="429"/>
      <c r="R104" s="429"/>
    </row>
    <row r="105" spans="1:18" ht="12">
      <c r="A105" s="430" t="s">
        <v>329</v>
      </c>
      <c r="B105" s="430"/>
      <c r="C105" s="434" t="s">
        <v>523</v>
      </c>
      <c r="D105" s="434"/>
      <c r="E105" s="434"/>
      <c r="F105" s="434"/>
      <c r="G105" s="434"/>
      <c r="H105" s="434"/>
      <c r="I105" s="434"/>
      <c r="J105" s="434"/>
      <c r="K105" s="434"/>
      <c r="L105" s="291"/>
      <c r="M105" s="291"/>
      <c r="N105" s="291"/>
      <c r="O105" s="291"/>
      <c r="P105" s="291"/>
      <c r="Q105" s="291"/>
      <c r="R105" s="291"/>
    </row>
    <row r="106" spans="1:18" ht="10.5" customHeight="1">
      <c r="A106" s="430"/>
      <c r="B106" s="430"/>
      <c r="C106" s="291"/>
      <c r="D106" s="291"/>
      <c r="E106" s="291"/>
      <c r="F106" s="291"/>
      <c r="G106" s="291"/>
      <c r="H106" s="291"/>
      <c r="I106" s="291"/>
      <c r="J106" s="291"/>
      <c r="K106" s="291"/>
      <c r="L106" s="291"/>
      <c r="M106" s="291"/>
      <c r="N106" s="291"/>
      <c r="O106" s="291"/>
      <c r="P106" s="291"/>
      <c r="Q106" s="291"/>
      <c r="R106" s="291"/>
    </row>
    <row r="107" spans="1:18" ht="12">
      <c r="A107" s="291"/>
      <c r="B107" s="430" t="s">
        <v>331</v>
      </c>
      <c r="C107" s="430"/>
      <c r="D107" s="434" t="s">
        <v>44</v>
      </c>
      <c r="E107" s="434"/>
      <c r="F107" s="434"/>
      <c r="G107" s="434"/>
      <c r="H107" s="434"/>
      <c r="I107" s="434"/>
      <c r="J107" s="434"/>
      <c r="K107" s="434"/>
      <c r="L107" s="434"/>
      <c r="M107" s="434"/>
      <c r="N107" s="291"/>
      <c r="O107" s="291"/>
      <c r="P107" s="291"/>
      <c r="Q107" s="291"/>
      <c r="R107" s="291"/>
    </row>
    <row r="108" spans="1:18" ht="10.5" customHeight="1">
      <c r="A108" s="430" t="s">
        <v>332</v>
      </c>
      <c r="B108" s="430"/>
      <c r="C108" s="291"/>
      <c r="D108" s="291"/>
      <c r="E108" s="435" t="s">
        <v>333</v>
      </c>
      <c r="F108" s="435"/>
      <c r="G108" s="435"/>
      <c r="H108" s="435"/>
      <c r="I108" s="435"/>
      <c r="J108" s="427" t="s">
        <v>3</v>
      </c>
      <c r="K108" s="427"/>
      <c r="L108" s="427"/>
      <c r="M108" s="427"/>
      <c r="N108" s="427" t="s">
        <v>334</v>
      </c>
      <c r="O108" s="427"/>
      <c r="P108" s="428" t="s">
        <v>335</v>
      </c>
      <c r="Q108" s="428"/>
      <c r="R108" s="291"/>
    </row>
    <row r="109" spans="1:18" ht="12">
      <c r="A109" s="430"/>
      <c r="B109" s="430"/>
      <c r="C109" s="291"/>
      <c r="D109" s="291"/>
      <c r="E109" s="435"/>
      <c r="F109" s="435"/>
      <c r="G109" s="435"/>
      <c r="H109" s="435"/>
      <c r="I109" s="435"/>
      <c r="J109" s="428" t="s">
        <v>340</v>
      </c>
      <c r="K109" s="428"/>
      <c r="L109" s="428"/>
      <c r="M109" s="428"/>
      <c r="N109" s="428" t="s">
        <v>341</v>
      </c>
      <c r="O109" s="428"/>
      <c r="P109" s="428"/>
      <c r="Q109" s="428"/>
      <c r="R109" s="291"/>
    </row>
    <row r="110" spans="1:21" ht="12">
      <c r="A110" s="424" t="s">
        <v>196</v>
      </c>
      <c r="B110" s="424"/>
      <c r="C110" s="424"/>
      <c r="D110" s="424" t="s">
        <v>524</v>
      </c>
      <c r="E110" s="424"/>
      <c r="F110" s="424"/>
      <c r="G110" s="412" t="s">
        <v>344</v>
      </c>
      <c r="H110" s="424" t="s">
        <v>525</v>
      </c>
      <c r="I110" s="424"/>
      <c r="J110" s="425">
        <v>1543.07</v>
      </c>
      <c r="K110" s="425"/>
      <c r="L110" s="425"/>
      <c r="M110" s="425"/>
      <c r="N110" s="425">
        <v>1543.07</v>
      </c>
      <c r="O110" s="425"/>
      <c r="P110" s="426">
        <v>0</v>
      </c>
      <c r="Q110" s="426"/>
      <c r="R110" s="426"/>
      <c r="T110">
        <v>1543.07</v>
      </c>
      <c r="U110" s="403">
        <f>N110-T110</f>
        <v>0</v>
      </c>
    </row>
    <row r="111" spans="1:18" ht="12">
      <c r="A111" s="424" t="s">
        <v>36</v>
      </c>
      <c r="B111" s="424"/>
      <c r="C111" s="424"/>
      <c r="D111" s="424" t="s">
        <v>524</v>
      </c>
      <c r="E111" s="424"/>
      <c r="F111" s="424"/>
      <c r="G111" s="412" t="s">
        <v>344</v>
      </c>
      <c r="H111" s="424" t="s">
        <v>525</v>
      </c>
      <c r="I111" s="424"/>
      <c r="J111" s="425">
        <v>300</v>
      </c>
      <c r="K111" s="425"/>
      <c r="L111" s="425"/>
      <c r="M111" s="425"/>
      <c r="N111" s="425">
        <v>0</v>
      </c>
      <c r="O111" s="425"/>
      <c r="P111" s="426">
        <v>300</v>
      </c>
      <c r="Q111" s="426"/>
      <c r="R111" s="426"/>
    </row>
    <row r="112" spans="1:18" ht="10.5">
      <c r="A112" s="296"/>
      <c r="B112" s="296"/>
      <c r="C112" s="296"/>
      <c r="D112" s="296"/>
      <c r="E112" s="296"/>
      <c r="F112" s="296"/>
      <c r="G112" s="296"/>
      <c r="H112" s="296"/>
      <c r="I112" s="296"/>
      <c r="J112" s="296"/>
      <c r="K112" s="296"/>
      <c r="L112" s="296"/>
      <c r="M112" s="296"/>
      <c r="N112" s="296"/>
      <c r="O112" s="296"/>
      <c r="P112" s="296"/>
      <c r="Q112" s="296"/>
      <c r="R112" s="296"/>
    </row>
    <row r="113" spans="1:18" ht="12" thickBot="1">
      <c r="A113" s="291"/>
      <c r="B113" s="291"/>
      <c r="C113" s="291"/>
      <c r="D113" s="291"/>
      <c r="E113" s="291"/>
      <c r="F113" s="291"/>
      <c r="G113" s="291"/>
      <c r="H113" s="291"/>
      <c r="I113" s="291"/>
      <c r="J113" s="429">
        <v>1843.07</v>
      </c>
      <c r="K113" s="429"/>
      <c r="L113" s="429"/>
      <c r="M113" s="429"/>
      <c r="N113" s="429">
        <v>1543.07</v>
      </c>
      <c r="O113" s="429"/>
      <c r="P113" s="429">
        <v>300</v>
      </c>
      <c r="Q113" s="429"/>
      <c r="R113" s="429"/>
    </row>
    <row r="114" spans="1:18" ht="11.25" thickTop="1">
      <c r="A114" s="297"/>
      <c r="B114" s="297"/>
      <c r="C114" s="297"/>
      <c r="D114" s="297"/>
      <c r="E114" s="297"/>
      <c r="F114" s="297"/>
      <c r="G114" s="297"/>
      <c r="H114" s="297"/>
      <c r="I114" s="297"/>
      <c r="J114" s="297"/>
      <c r="K114" s="297"/>
      <c r="L114" s="297"/>
      <c r="M114" s="297"/>
      <c r="N114" s="297"/>
      <c r="O114" s="297"/>
      <c r="P114" s="297"/>
      <c r="Q114" s="297"/>
      <c r="R114" s="297"/>
    </row>
    <row r="115" spans="1:18" ht="12">
      <c r="A115" s="427" t="s">
        <v>526</v>
      </c>
      <c r="B115" s="427"/>
      <c r="C115" s="427"/>
      <c r="D115" s="427"/>
      <c r="E115" s="427"/>
      <c r="F115" s="427"/>
      <c r="G115" s="427"/>
      <c r="H115" s="427"/>
      <c r="I115" s="291"/>
      <c r="J115" s="433">
        <v>1843.07</v>
      </c>
      <c r="K115" s="433"/>
      <c r="L115" s="433"/>
      <c r="M115" s="433"/>
      <c r="N115" s="433">
        <v>1543.07</v>
      </c>
      <c r="O115" s="433"/>
      <c r="P115" s="429">
        <v>300</v>
      </c>
      <c r="Q115" s="429"/>
      <c r="R115" s="429"/>
    </row>
    <row r="116" spans="1:18" ht="10.5" customHeight="1">
      <c r="A116" s="430" t="s">
        <v>329</v>
      </c>
      <c r="B116" s="430"/>
      <c r="C116" s="434" t="s">
        <v>527</v>
      </c>
      <c r="D116" s="434"/>
      <c r="E116" s="434"/>
      <c r="F116" s="434"/>
      <c r="G116" s="434"/>
      <c r="H116" s="434"/>
      <c r="I116" s="434"/>
      <c r="J116" s="434"/>
      <c r="K116" s="434"/>
      <c r="L116" s="291"/>
      <c r="M116" s="291"/>
      <c r="N116" s="291"/>
      <c r="O116" s="291"/>
      <c r="P116" s="291"/>
      <c r="Q116" s="291"/>
      <c r="R116" s="291"/>
    </row>
    <row r="117" spans="1:18" ht="10.5" customHeight="1">
      <c r="A117" s="430"/>
      <c r="B117" s="430"/>
      <c r="C117" s="291"/>
      <c r="D117" s="291"/>
      <c r="E117" s="291"/>
      <c r="F117" s="291"/>
      <c r="G117" s="291"/>
      <c r="H117" s="291"/>
      <c r="I117" s="291"/>
      <c r="J117" s="291"/>
      <c r="K117" s="291"/>
      <c r="L117" s="291"/>
      <c r="M117" s="291"/>
      <c r="N117" s="291"/>
      <c r="O117" s="291"/>
      <c r="P117" s="291"/>
      <c r="Q117" s="291"/>
      <c r="R117" s="291"/>
    </row>
    <row r="118" spans="1:21" ht="10.5" customHeight="1">
      <c r="A118" s="291"/>
      <c r="B118" s="430" t="s">
        <v>331</v>
      </c>
      <c r="C118" s="430"/>
      <c r="D118" s="434" t="s">
        <v>44</v>
      </c>
      <c r="E118" s="434"/>
      <c r="F118" s="434"/>
      <c r="G118" s="434"/>
      <c r="H118" s="434"/>
      <c r="I118" s="434"/>
      <c r="J118" s="434"/>
      <c r="K118" s="434"/>
      <c r="L118" s="434"/>
      <c r="M118" s="434"/>
      <c r="N118" s="291"/>
      <c r="O118" s="291"/>
      <c r="P118" s="291"/>
      <c r="Q118" s="291"/>
      <c r="R118" s="291"/>
      <c r="T118" s="99"/>
      <c r="U118" s="99"/>
    </row>
    <row r="119" spans="1:18" ht="12">
      <c r="A119" s="430" t="s">
        <v>332</v>
      </c>
      <c r="B119" s="430"/>
      <c r="C119" s="291"/>
      <c r="D119" s="291"/>
      <c r="E119" s="435" t="s">
        <v>333</v>
      </c>
      <c r="F119" s="435"/>
      <c r="G119" s="435"/>
      <c r="H119" s="435"/>
      <c r="I119" s="435"/>
      <c r="J119" s="427" t="s">
        <v>3</v>
      </c>
      <c r="K119" s="427"/>
      <c r="L119" s="427"/>
      <c r="M119" s="427"/>
      <c r="N119" s="427" t="s">
        <v>334</v>
      </c>
      <c r="O119" s="427"/>
      <c r="P119" s="428" t="s">
        <v>335</v>
      </c>
      <c r="Q119" s="428"/>
      <c r="R119" s="291"/>
    </row>
    <row r="120" spans="1:18" ht="12">
      <c r="A120" s="430"/>
      <c r="B120" s="430"/>
      <c r="C120" s="291"/>
      <c r="D120" s="291"/>
      <c r="E120" s="435"/>
      <c r="F120" s="435"/>
      <c r="G120" s="435"/>
      <c r="H120" s="435"/>
      <c r="I120" s="435"/>
      <c r="J120" s="428" t="s">
        <v>340</v>
      </c>
      <c r="K120" s="428"/>
      <c r="L120" s="428"/>
      <c r="M120" s="428"/>
      <c r="N120" s="428" t="s">
        <v>341</v>
      </c>
      <c r="O120" s="428"/>
      <c r="P120" s="428"/>
      <c r="Q120" s="428"/>
      <c r="R120" s="291"/>
    </row>
    <row r="121" spans="1:21" ht="12">
      <c r="A121" s="424" t="s">
        <v>23</v>
      </c>
      <c r="B121" s="424"/>
      <c r="C121" s="424"/>
      <c r="D121" s="424" t="s">
        <v>524</v>
      </c>
      <c r="E121" s="424"/>
      <c r="F121" s="424"/>
      <c r="G121" s="412" t="s">
        <v>344</v>
      </c>
      <c r="H121" s="424" t="s">
        <v>525</v>
      </c>
      <c r="I121" s="424"/>
      <c r="J121" s="425">
        <v>93532.53</v>
      </c>
      <c r="K121" s="425"/>
      <c r="L121" s="425"/>
      <c r="M121" s="425"/>
      <c r="N121" s="425">
        <v>23465.41</v>
      </c>
      <c r="O121" s="425"/>
      <c r="P121" s="426">
        <v>70067.12</v>
      </c>
      <c r="Q121" s="426"/>
      <c r="R121" s="426"/>
      <c r="T121" s="164">
        <v>23465.41</v>
      </c>
      <c r="U121" s="164">
        <f>N121-T121</f>
        <v>0</v>
      </c>
    </row>
    <row r="122" spans="1:21" ht="12">
      <c r="A122" s="424" t="s">
        <v>24</v>
      </c>
      <c r="B122" s="424"/>
      <c r="C122" s="424"/>
      <c r="D122" s="424" t="s">
        <v>524</v>
      </c>
      <c r="E122" s="424"/>
      <c r="F122" s="424"/>
      <c r="G122" s="412" t="s">
        <v>344</v>
      </c>
      <c r="H122" s="424" t="s">
        <v>525</v>
      </c>
      <c r="I122" s="424"/>
      <c r="J122" s="425">
        <v>20266</v>
      </c>
      <c r="K122" s="425"/>
      <c r="L122" s="425"/>
      <c r="M122" s="425"/>
      <c r="N122" s="425">
        <v>5427.87</v>
      </c>
      <c r="O122" s="425"/>
      <c r="P122" s="426">
        <v>14838.13</v>
      </c>
      <c r="Q122" s="426"/>
      <c r="R122" s="426"/>
      <c r="T122" s="164">
        <v>5427.87</v>
      </c>
      <c r="U122" s="164">
        <f aca="true" t="shared" si="3" ref="U122:U133">N122-T122</f>
        <v>0</v>
      </c>
    </row>
    <row r="123" spans="1:21" ht="12">
      <c r="A123" s="424" t="s">
        <v>25</v>
      </c>
      <c r="B123" s="424"/>
      <c r="C123" s="424"/>
      <c r="D123" s="424" t="s">
        <v>524</v>
      </c>
      <c r="E123" s="424"/>
      <c r="F123" s="424"/>
      <c r="G123" s="412" t="s">
        <v>344</v>
      </c>
      <c r="H123" s="424" t="s">
        <v>525</v>
      </c>
      <c r="I123" s="424"/>
      <c r="J123" s="425">
        <v>25184.24</v>
      </c>
      <c r="K123" s="425"/>
      <c r="L123" s="425"/>
      <c r="M123" s="425"/>
      <c r="N123" s="425">
        <v>2655.62</v>
      </c>
      <c r="O123" s="425"/>
      <c r="P123" s="426">
        <v>22528.62</v>
      </c>
      <c r="Q123" s="426"/>
      <c r="R123" s="426"/>
      <c r="T123" s="164">
        <v>2655.62</v>
      </c>
      <c r="U123" s="164">
        <f t="shared" si="3"/>
        <v>0</v>
      </c>
    </row>
    <row r="124" spans="1:21" ht="12">
      <c r="A124" s="424" t="s">
        <v>493</v>
      </c>
      <c r="B124" s="424"/>
      <c r="C124" s="424"/>
      <c r="D124" s="424" t="s">
        <v>524</v>
      </c>
      <c r="E124" s="424"/>
      <c r="F124" s="424"/>
      <c r="G124" s="412" t="s">
        <v>344</v>
      </c>
      <c r="H124" s="424" t="s">
        <v>525</v>
      </c>
      <c r="I124" s="424"/>
      <c r="J124" s="425">
        <v>4205</v>
      </c>
      <c r="K124" s="425"/>
      <c r="L124" s="425"/>
      <c r="M124" s="425"/>
      <c r="N124" s="425">
        <v>356</v>
      </c>
      <c r="O124" s="425"/>
      <c r="P124" s="426">
        <v>3849</v>
      </c>
      <c r="Q124" s="426"/>
      <c r="R124" s="426"/>
      <c r="T124" s="164">
        <v>356</v>
      </c>
      <c r="U124" s="164">
        <f t="shared" si="3"/>
        <v>0</v>
      </c>
    </row>
    <row r="125" spans="1:21" ht="12">
      <c r="A125" s="424" t="s">
        <v>27</v>
      </c>
      <c r="B125" s="424"/>
      <c r="C125" s="424"/>
      <c r="D125" s="424" t="s">
        <v>524</v>
      </c>
      <c r="E125" s="424"/>
      <c r="F125" s="424"/>
      <c r="G125" s="412" t="s">
        <v>344</v>
      </c>
      <c r="H125" s="424" t="s">
        <v>525</v>
      </c>
      <c r="I125" s="424"/>
      <c r="J125" s="425">
        <v>95450</v>
      </c>
      <c r="K125" s="425"/>
      <c r="L125" s="425"/>
      <c r="M125" s="425"/>
      <c r="N125" s="425">
        <v>27653</v>
      </c>
      <c r="O125" s="425"/>
      <c r="P125" s="426">
        <v>67797</v>
      </c>
      <c r="Q125" s="426"/>
      <c r="R125" s="426"/>
      <c r="T125" s="164">
        <v>27653</v>
      </c>
      <c r="U125" s="164">
        <f t="shared" si="3"/>
        <v>0</v>
      </c>
    </row>
    <row r="126" spans="1:21" ht="12">
      <c r="A126" s="424" t="s">
        <v>165</v>
      </c>
      <c r="B126" s="424"/>
      <c r="C126" s="424"/>
      <c r="D126" s="424" t="s">
        <v>524</v>
      </c>
      <c r="E126" s="424"/>
      <c r="F126" s="424"/>
      <c r="G126" s="412" t="s">
        <v>344</v>
      </c>
      <c r="H126" s="424" t="s">
        <v>525</v>
      </c>
      <c r="I126" s="424"/>
      <c r="J126" s="425">
        <v>27818</v>
      </c>
      <c r="K126" s="425"/>
      <c r="L126" s="425"/>
      <c r="M126" s="425"/>
      <c r="N126" s="425">
        <v>13457.5</v>
      </c>
      <c r="O126" s="425"/>
      <c r="P126" s="426">
        <v>14360.5</v>
      </c>
      <c r="Q126" s="426"/>
      <c r="R126" s="426"/>
      <c r="T126" s="164">
        <v>13457.5</v>
      </c>
      <c r="U126" s="164">
        <f t="shared" si="3"/>
        <v>0</v>
      </c>
    </row>
    <row r="127" spans="1:21" ht="12">
      <c r="A127" s="424" t="s">
        <v>516</v>
      </c>
      <c r="B127" s="424"/>
      <c r="C127" s="424"/>
      <c r="D127" s="424" t="s">
        <v>524</v>
      </c>
      <c r="E127" s="424"/>
      <c r="F127" s="424"/>
      <c r="G127" s="412" t="s">
        <v>344</v>
      </c>
      <c r="H127" s="424" t="s">
        <v>525</v>
      </c>
      <c r="I127" s="424"/>
      <c r="J127" s="425">
        <v>6148</v>
      </c>
      <c r="K127" s="425"/>
      <c r="L127" s="425"/>
      <c r="M127" s="425"/>
      <c r="N127" s="425">
        <v>5234</v>
      </c>
      <c r="O127" s="425"/>
      <c r="P127" s="426">
        <v>914</v>
      </c>
      <c r="Q127" s="426"/>
      <c r="R127" s="426"/>
      <c r="T127" s="164">
        <v>5234</v>
      </c>
      <c r="U127" s="164">
        <f t="shared" si="3"/>
        <v>0</v>
      </c>
    </row>
    <row r="128" spans="1:21" ht="12">
      <c r="A128" s="424" t="s">
        <v>28</v>
      </c>
      <c r="B128" s="424"/>
      <c r="C128" s="424"/>
      <c r="D128" s="424" t="s">
        <v>524</v>
      </c>
      <c r="E128" s="424"/>
      <c r="F128" s="424"/>
      <c r="G128" s="412" t="s">
        <v>344</v>
      </c>
      <c r="H128" s="424" t="s">
        <v>525</v>
      </c>
      <c r="I128" s="424"/>
      <c r="J128" s="425">
        <v>10943.39</v>
      </c>
      <c r="K128" s="425"/>
      <c r="L128" s="425"/>
      <c r="M128" s="425"/>
      <c r="N128" s="425">
        <v>4611.24</v>
      </c>
      <c r="O128" s="425"/>
      <c r="P128" s="426">
        <v>6332.15</v>
      </c>
      <c r="Q128" s="426"/>
      <c r="R128" s="426"/>
      <c r="T128" s="164">
        <v>4611.24</v>
      </c>
      <c r="U128" s="164">
        <f t="shared" si="3"/>
        <v>0</v>
      </c>
    </row>
    <row r="129" spans="1:21" ht="12">
      <c r="A129" s="424" t="s">
        <v>29</v>
      </c>
      <c r="B129" s="424"/>
      <c r="C129" s="424"/>
      <c r="D129" s="424" t="s">
        <v>524</v>
      </c>
      <c r="E129" s="424"/>
      <c r="F129" s="424"/>
      <c r="G129" s="412" t="s">
        <v>344</v>
      </c>
      <c r="H129" s="424" t="s">
        <v>525</v>
      </c>
      <c r="I129" s="424"/>
      <c r="J129" s="425">
        <v>117276</v>
      </c>
      <c r="K129" s="425"/>
      <c r="L129" s="425"/>
      <c r="M129" s="425"/>
      <c r="N129" s="425">
        <v>35614.07</v>
      </c>
      <c r="O129" s="425"/>
      <c r="P129" s="426">
        <v>81661.93</v>
      </c>
      <c r="Q129" s="426"/>
      <c r="R129" s="426"/>
      <c r="T129" s="164">
        <v>35614.07</v>
      </c>
      <c r="U129" s="164">
        <f t="shared" si="3"/>
        <v>0</v>
      </c>
    </row>
    <row r="130" spans="1:21" ht="12">
      <c r="A130" s="424" t="s">
        <v>30</v>
      </c>
      <c r="B130" s="424"/>
      <c r="C130" s="424"/>
      <c r="D130" s="424" t="s">
        <v>524</v>
      </c>
      <c r="E130" s="424"/>
      <c r="F130" s="424"/>
      <c r="G130" s="412" t="s">
        <v>344</v>
      </c>
      <c r="H130" s="424" t="s">
        <v>525</v>
      </c>
      <c r="I130" s="424"/>
      <c r="J130" s="425">
        <v>24687.11</v>
      </c>
      <c r="K130" s="425"/>
      <c r="L130" s="425"/>
      <c r="M130" s="425"/>
      <c r="N130" s="425">
        <v>4313</v>
      </c>
      <c r="O130" s="425"/>
      <c r="P130" s="426">
        <v>20374.11</v>
      </c>
      <c r="Q130" s="426"/>
      <c r="R130" s="426"/>
      <c r="T130" s="164">
        <v>4313</v>
      </c>
      <c r="U130" s="164">
        <f t="shared" si="3"/>
        <v>0</v>
      </c>
    </row>
    <row r="131" spans="1:21" ht="12">
      <c r="A131" s="424" t="s">
        <v>31</v>
      </c>
      <c r="B131" s="424"/>
      <c r="C131" s="424"/>
      <c r="D131" s="424" t="s">
        <v>524</v>
      </c>
      <c r="E131" s="424"/>
      <c r="F131" s="424"/>
      <c r="G131" s="412" t="s">
        <v>344</v>
      </c>
      <c r="H131" s="424" t="s">
        <v>525</v>
      </c>
      <c r="I131" s="424"/>
      <c r="J131" s="425">
        <v>81149.79</v>
      </c>
      <c r="K131" s="425"/>
      <c r="L131" s="425"/>
      <c r="M131" s="425"/>
      <c r="N131" s="425">
        <v>18702</v>
      </c>
      <c r="O131" s="425"/>
      <c r="P131" s="426">
        <v>62447.79</v>
      </c>
      <c r="Q131" s="426"/>
      <c r="R131" s="426"/>
      <c r="T131" s="164">
        <v>18702</v>
      </c>
      <c r="U131" s="164">
        <f t="shared" si="3"/>
        <v>0</v>
      </c>
    </row>
    <row r="132" spans="1:21" ht="12">
      <c r="A132" s="424" t="s">
        <v>32</v>
      </c>
      <c r="B132" s="424"/>
      <c r="C132" s="424"/>
      <c r="D132" s="424" t="s">
        <v>524</v>
      </c>
      <c r="E132" s="424"/>
      <c r="F132" s="424"/>
      <c r="G132" s="412" t="s">
        <v>344</v>
      </c>
      <c r="H132" s="424" t="s">
        <v>525</v>
      </c>
      <c r="I132" s="424"/>
      <c r="J132" s="425">
        <v>23579.6</v>
      </c>
      <c r="K132" s="425"/>
      <c r="L132" s="425"/>
      <c r="M132" s="425"/>
      <c r="N132" s="425">
        <v>10372</v>
      </c>
      <c r="O132" s="425"/>
      <c r="P132" s="426">
        <v>13207.6</v>
      </c>
      <c r="Q132" s="426"/>
      <c r="R132" s="426"/>
      <c r="T132" s="164">
        <v>10372</v>
      </c>
      <c r="U132" s="164">
        <f t="shared" si="3"/>
        <v>0</v>
      </c>
    </row>
    <row r="133" spans="1:21" ht="12">
      <c r="A133" s="424" t="s">
        <v>33</v>
      </c>
      <c r="B133" s="424"/>
      <c r="C133" s="424"/>
      <c r="D133" s="424" t="s">
        <v>524</v>
      </c>
      <c r="E133" s="424"/>
      <c r="F133" s="424"/>
      <c r="G133" s="412" t="s">
        <v>344</v>
      </c>
      <c r="H133" s="424" t="s">
        <v>525</v>
      </c>
      <c r="I133" s="424"/>
      <c r="J133" s="425">
        <v>61565</v>
      </c>
      <c r="K133" s="425"/>
      <c r="L133" s="425"/>
      <c r="M133" s="425"/>
      <c r="N133" s="425">
        <v>39760</v>
      </c>
      <c r="O133" s="425"/>
      <c r="P133" s="426">
        <v>21805</v>
      </c>
      <c r="Q133" s="426"/>
      <c r="R133" s="426"/>
      <c r="T133" s="164">
        <v>39760</v>
      </c>
      <c r="U133" s="164">
        <f t="shared" si="3"/>
        <v>0</v>
      </c>
    </row>
    <row r="134" spans="1:21" ht="10.5">
      <c r="A134" s="296"/>
      <c r="B134" s="296"/>
      <c r="C134" s="296"/>
      <c r="D134" s="296"/>
      <c r="E134" s="296"/>
      <c r="F134" s="296"/>
      <c r="G134" s="296"/>
      <c r="H134" s="296"/>
      <c r="I134" s="296"/>
      <c r="J134" s="296"/>
      <c r="K134" s="296"/>
      <c r="L134" s="296"/>
      <c r="M134" s="296"/>
      <c r="N134" s="296"/>
      <c r="O134" s="296"/>
      <c r="P134" s="296"/>
      <c r="Q134" s="296"/>
      <c r="R134" s="296"/>
      <c r="T134" s="164"/>
      <c r="U134" s="164"/>
    </row>
    <row r="135" spans="1:21" ht="11.25">
      <c r="A135" s="291"/>
      <c r="B135" s="291"/>
      <c r="C135" s="291"/>
      <c r="D135" s="291"/>
      <c r="E135" s="291"/>
      <c r="F135" s="291"/>
      <c r="G135" s="291"/>
      <c r="H135" s="291"/>
      <c r="I135" s="291"/>
      <c r="J135" s="429">
        <v>591804.66</v>
      </c>
      <c r="K135" s="429"/>
      <c r="L135" s="429"/>
      <c r="M135" s="429"/>
      <c r="N135" s="429">
        <v>191621.71</v>
      </c>
      <c r="O135" s="429"/>
      <c r="P135" s="429">
        <v>400182.95</v>
      </c>
      <c r="Q135" s="429"/>
      <c r="R135" s="429"/>
      <c r="T135" s="164"/>
      <c r="U135" s="164"/>
    </row>
    <row r="136" spans="1:18" ht="12">
      <c r="A136" s="291"/>
      <c r="B136" s="430" t="s">
        <v>331</v>
      </c>
      <c r="C136" s="430"/>
      <c r="D136" s="434" t="s">
        <v>348</v>
      </c>
      <c r="E136" s="434"/>
      <c r="F136" s="434"/>
      <c r="G136" s="434"/>
      <c r="H136" s="434"/>
      <c r="I136" s="434"/>
      <c r="J136" s="434"/>
      <c r="K136" s="434"/>
      <c r="L136" s="434"/>
      <c r="M136" s="434"/>
      <c r="N136" s="291"/>
      <c r="O136" s="291"/>
      <c r="P136" s="291"/>
      <c r="Q136" s="291"/>
      <c r="R136" s="291"/>
    </row>
    <row r="137" spans="1:18" ht="12">
      <c r="A137" s="430" t="s">
        <v>332</v>
      </c>
      <c r="B137" s="430"/>
      <c r="C137" s="291"/>
      <c r="D137" s="291"/>
      <c r="E137" s="435" t="s">
        <v>333</v>
      </c>
      <c r="F137" s="435"/>
      <c r="G137" s="435"/>
      <c r="H137" s="435"/>
      <c r="I137" s="435"/>
      <c r="J137" s="427" t="s">
        <v>3</v>
      </c>
      <c r="K137" s="427"/>
      <c r="L137" s="427"/>
      <c r="M137" s="427"/>
      <c r="N137" s="427" t="s">
        <v>334</v>
      </c>
      <c r="O137" s="427"/>
      <c r="P137" s="428" t="s">
        <v>335</v>
      </c>
      <c r="Q137" s="428"/>
      <c r="R137" s="291"/>
    </row>
    <row r="138" spans="1:18" ht="12">
      <c r="A138" s="430"/>
      <c r="B138" s="430"/>
      <c r="C138" s="291"/>
      <c r="D138" s="291"/>
      <c r="E138" s="435"/>
      <c r="F138" s="435"/>
      <c r="G138" s="435"/>
      <c r="H138" s="435"/>
      <c r="I138" s="435"/>
      <c r="J138" s="428" t="s">
        <v>340</v>
      </c>
      <c r="K138" s="428"/>
      <c r="L138" s="428"/>
      <c r="M138" s="428"/>
      <c r="N138" s="428" t="s">
        <v>341</v>
      </c>
      <c r="O138" s="428"/>
      <c r="P138" s="428"/>
      <c r="Q138" s="428"/>
      <c r="R138" s="291"/>
    </row>
    <row r="139" spans="1:21" ht="12">
      <c r="A139" s="424" t="s">
        <v>23</v>
      </c>
      <c r="B139" s="424"/>
      <c r="C139" s="424"/>
      <c r="D139" s="424" t="s">
        <v>524</v>
      </c>
      <c r="E139" s="424"/>
      <c r="F139" s="424"/>
      <c r="G139" s="412" t="s">
        <v>344</v>
      </c>
      <c r="H139" s="424" t="s">
        <v>525</v>
      </c>
      <c r="I139" s="424"/>
      <c r="J139" s="425">
        <v>777804</v>
      </c>
      <c r="K139" s="425"/>
      <c r="L139" s="425"/>
      <c r="M139" s="425"/>
      <c r="N139" s="425">
        <v>392315</v>
      </c>
      <c r="O139" s="425"/>
      <c r="P139" s="426">
        <v>385489</v>
      </c>
      <c r="Q139" s="426"/>
      <c r="R139" s="426"/>
      <c r="T139" s="164">
        <v>392315</v>
      </c>
      <c r="U139" s="164">
        <f>N139-T139</f>
        <v>0</v>
      </c>
    </row>
    <row r="140" spans="1:21" ht="12">
      <c r="A140" s="424" t="s">
        <v>24</v>
      </c>
      <c r="B140" s="424"/>
      <c r="C140" s="424"/>
      <c r="D140" s="424" t="s">
        <v>524</v>
      </c>
      <c r="E140" s="424"/>
      <c r="F140" s="424"/>
      <c r="G140" s="412" t="s">
        <v>344</v>
      </c>
      <c r="H140" s="424" t="s">
        <v>525</v>
      </c>
      <c r="I140" s="424"/>
      <c r="J140" s="425">
        <v>238826.45</v>
      </c>
      <c r="K140" s="425"/>
      <c r="L140" s="425"/>
      <c r="M140" s="425"/>
      <c r="N140" s="425">
        <v>143150</v>
      </c>
      <c r="O140" s="425"/>
      <c r="P140" s="426">
        <v>95676.45</v>
      </c>
      <c r="Q140" s="426"/>
      <c r="R140" s="426"/>
      <c r="T140" s="164">
        <v>143150</v>
      </c>
      <c r="U140" s="164">
        <f aca="true" t="shared" si="4" ref="U140:U151">N140-T140</f>
        <v>0</v>
      </c>
    </row>
    <row r="141" spans="1:21" ht="12">
      <c r="A141" s="424" t="s">
        <v>25</v>
      </c>
      <c r="B141" s="424"/>
      <c r="C141" s="424"/>
      <c r="D141" s="424" t="s">
        <v>524</v>
      </c>
      <c r="E141" s="424"/>
      <c r="F141" s="424"/>
      <c r="G141" s="412" t="s">
        <v>344</v>
      </c>
      <c r="H141" s="424" t="s">
        <v>525</v>
      </c>
      <c r="I141" s="424"/>
      <c r="J141" s="425">
        <v>203360</v>
      </c>
      <c r="K141" s="425"/>
      <c r="L141" s="425"/>
      <c r="M141" s="425"/>
      <c r="N141" s="425">
        <v>159355</v>
      </c>
      <c r="O141" s="425"/>
      <c r="P141" s="426">
        <v>44005</v>
      </c>
      <c r="Q141" s="426"/>
      <c r="R141" s="426"/>
      <c r="T141" s="164">
        <v>159355</v>
      </c>
      <c r="U141" s="164">
        <f t="shared" si="4"/>
        <v>0</v>
      </c>
    </row>
    <row r="142" spans="1:21" ht="12">
      <c r="A142" s="424" t="s">
        <v>493</v>
      </c>
      <c r="B142" s="424"/>
      <c r="C142" s="424"/>
      <c r="D142" s="424" t="s">
        <v>524</v>
      </c>
      <c r="E142" s="424"/>
      <c r="F142" s="424"/>
      <c r="G142" s="412" t="s">
        <v>344</v>
      </c>
      <c r="H142" s="424" t="s">
        <v>525</v>
      </c>
      <c r="I142" s="424"/>
      <c r="J142" s="425">
        <v>35411</v>
      </c>
      <c r="K142" s="425"/>
      <c r="L142" s="425"/>
      <c r="M142" s="425"/>
      <c r="N142" s="425">
        <v>5509</v>
      </c>
      <c r="O142" s="425"/>
      <c r="P142" s="426">
        <v>29902</v>
      </c>
      <c r="Q142" s="426"/>
      <c r="R142" s="426"/>
      <c r="T142" s="164">
        <v>5509</v>
      </c>
      <c r="U142" s="164">
        <f t="shared" si="4"/>
        <v>0</v>
      </c>
    </row>
    <row r="143" spans="1:21" ht="12">
      <c r="A143" s="424" t="s">
        <v>27</v>
      </c>
      <c r="B143" s="424"/>
      <c r="C143" s="424"/>
      <c r="D143" s="424" t="s">
        <v>524</v>
      </c>
      <c r="E143" s="424"/>
      <c r="F143" s="424"/>
      <c r="G143" s="412" t="s">
        <v>344</v>
      </c>
      <c r="H143" s="424" t="s">
        <v>525</v>
      </c>
      <c r="I143" s="424"/>
      <c r="J143" s="425">
        <v>756531</v>
      </c>
      <c r="K143" s="425"/>
      <c r="L143" s="425"/>
      <c r="M143" s="425"/>
      <c r="N143" s="425">
        <v>562215</v>
      </c>
      <c r="O143" s="425"/>
      <c r="P143" s="426">
        <v>194316</v>
      </c>
      <c r="Q143" s="426"/>
      <c r="R143" s="426"/>
      <c r="T143" s="164">
        <v>562215</v>
      </c>
      <c r="U143" s="164">
        <f t="shared" si="4"/>
        <v>0</v>
      </c>
    </row>
    <row r="144" spans="1:21" ht="12">
      <c r="A144" s="424" t="s">
        <v>165</v>
      </c>
      <c r="B144" s="424"/>
      <c r="C144" s="424"/>
      <c r="D144" s="424" t="s">
        <v>524</v>
      </c>
      <c r="E144" s="424"/>
      <c r="F144" s="424"/>
      <c r="G144" s="412" t="s">
        <v>344</v>
      </c>
      <c r="H144" s="424" t="s">
        <v>525</v>
      </c>
      <c r="I144" s="424"/>
      <c r="J144" s="425">
        <v>210037</v>
      </c>
      <c r="K144" s="425"/>
      <c r="L144" s="425"/>
      <c r="M144" s="425"/>
      <c r="N144" s="425">
        <v>138640</v>
      </c>
      <c r="O144" s="425"/>
      <c r="P144" s="426">
        <v>71397</v>
      </c>
      <c r="Q144" s="426"/>
      <c r="R144" s="426"/>
      <c r="T144" s="164">
        <v>138640</v>
      </c>
      <c r="U144" s="164">
        <f t="shared" si="4"/>
        <v>0</v>
      </c>
    </row>
    <row r="145" spans="1:21" ht="12">
      <c r="A145" s="424" t="s">
        <v>516</v>
      </c>
      <c r="B145" s="424"/>
      <c r="C145" s="424"/>
      <c r="D145" s="424" t="s">
        <v>524</v>
      </c>
      <c r="E145" s="424"/>
      <c r="F145" s="424"/>
      <c r="G145" s="412" t="s">
        <v>344</v>
      </c>
      <c r="H145" s="424" t="s">
        <v>525</v>
      </c>
      <c r="I145" s="424"/>
      <c r="J145" s="425">
        <v>53655.83</v>
      </c>
      <c r="K145" s="425"/>
      <c r="L145" s="425"/>
      <c r="M145" s="425"/>
      <c r="N145" s="425">
        <v>33970</v>
      </c>
      <c r="O145" s="425"/>
      <c r="P145" s="426">
        <v>19685.83</v>
      </c>
      <c r="Q145" s="426"/>
      <c r="R145" s="426"/>
      <c r="T145" s="164">
        <v>33970</v>
      </c>
      <c r="U145" s="164">
        <f t="shared" si="4"/>
        <v>0</v>
      </c>
    </row>
    <row r="146" spans="1:21" ht="12">
      <c r="A146" s="424" t="s">
        <v>28</v>
      </c>
      <c r="B146" s="424"/>
      <c r="C146" s="424"/>
      <c r="D146" s="424" t="s">
        <v>524</v>
      </c>
      <c r="E146" s="424"/>
      <c r="F146" s="424"/>
      <c r="G146" s="412" t="s">
        <v>344</v>
      </c>
      <c r="H146" s="424" t="s">
        <v>525</v>
      </c>
      <c r="I146" s="424"/>
      <c r="J146" s="425">
        <v>76815</v>
      </c>
      <c r="K146" s="425"/>
      <c r="L146" s="425"/>
      <c r="M146" s="425"/>
      <c r="N146" s="425">
        <v>70560</v>
      </c>
      <c r="O146" s="425"/>
      <c r="P146" s="426">
        <v>6255</v>
      </c>
      <c r="Q146" s="426"/>
      <c r="R146" s="426"/>
      <c r="T146" s="164">
        <v>70560</v>
      </c>
      <c r="U146" s="164">
        <f t="shared" si="4"/>
        <v>0</v>
      </c>
    </row>
    <row r="147" spans="1:21" ht="12">
      <c r="A147" s="424" t="s">
        <v>29</v>
      </c>
      <c r="B147" s="424"/>
      <c r="C147" s="424"/>
      <c r="D147" s="424" t="s">
        <v>524</v>
      </c>
      <c r="E147" s="424"/>
      <c r="F147" s="424"/>
      <c r="G147" s="412" t="s">
        <v>344</v>
      </c>
      <c r="H147" s="424" t="s">
        <v>525</v>
      </c>
      <c r="I147" s="424"/>
      <c r="J147" s="425">
        <v>887661</v>
      </c>
      <c r="K147" s="425"/>
      <c r="L147" s="425"/>
      <c r="M147" s="425"/>
      <c r="N147" s="425">
        <v>389575</v>
      </c>
      <c r="O147" s="425"/>
      <c r="P147" s="426">
        <v>498086</v>
      </c>
      <c r="Q147" s="426"/>
      <c r="R147" s="426"/>
      <c r="T147" s="164">
        <v>389575</v>
      </c>
      <c r="U147" s="164">
        <f t="shared" si="4"/>
        <v>0</v>
      </c>
    </row>
    <row r="148" spans="1:21" ht="12">
      <c r="A148" s="424" t="s">
        <v>30</v>
      </c>
      <c r="B148" s="424"/>
      <c r="C148" s="424"/>
      <c r="D148" s="424" t="s">
        <v>524</v>
      </c>
      <c r="E148" s="424"/>
      <c r="F148" s="424"/>
      <c r="G148" s="412" t="s">
        <v>344</v>
      </c>
      <c r="H148" s="424" t="s">
        <v>525</v>
      </c>
      <c r="I148" s="424"/>
      <c r="J148" s="425">
        <v>205383</v>
      </c>
      <c r="K148" s="425"/>
      <c r="L148" s="425"/>
      <c r="M148" s="425"/>
      <c r="N148" s="425">
        <v>184800</v>
      </c>
      <c r="O148" s="425"/>
      <c r="P148" s="426">
        <v>20583</v>
      </c>
      <c r="Q148" s="426"/>
      <c r="R148" s="426"/>
      <c r="T148" s="164">
        <v>184800</v>
      </c>
      <c r="U148" s="164">
        <f t="shared" si="4"/>
        <v>0</v>
      </c>
    </row>
    <row r="149" spans="1:21" ht="12">
      <c r="A149" s="424" t="s">
        <v>31</v>
      </c>
      <c r="B149" s="424"/>
      <c r="C149" s="424"/>
      <c r="D149" s="424" t="s">
        <v>524</v>
      </c>
      <c r="E149" s="424"/>
      <c r="F149" s="424"/>
      <c r="G149" s="412" t="s">
        <v>344</v>
      </c>
      <c r="H149" s="424" t="s">
        <v>525</v>
      </c>
      <c r="I149" s="424"/>
      <c r="J149" s="425">
        <v>626870</v>
      </c>
      <c r="K149" s="425"/>
      <c r="L149" s="425"/>
      <c r="M149" s="425"/>
      <c r="N149" s="425">
        <v>514586</v>
      </c>
      <c r="O149" s="425"/>
      <c r="P149" s="426">
        <v>112284</v>
      </c>
      <c r="Q149" s="426"/>
      <c r="R149" s="426"/>
      <c r="T149" s="164">
        <v>514586</v>
      </c>
      <c r="U149" s="164">
        <f t="shared" si="4"/>
        <v>0</v>
      </c>
    </row>
    <row r="150" spans="1:21" ht="12">
      <c r="A150" s="424" t="s">
        <v>32</v>
      </c>
      <c r="B150" s="424"/>
      <c r="C150" s="424"/>
      <c r="D150" s="424" t="s">
        <v>524</v>
      </c>
      <c r="E150" s="424"/>
      <c r="F150" s="424"/>
      <c r="G150" s="412" t="s">
        <v>344</v>
      </c>
      <c r="H150" s="424" t="s">
        <v>525</v>
      </c>
      <c r="I150" s="424"/>
      <c r="J150" s="425">
        <v>180130</v>
      </c>
      <c r="K150" s="425"/>
      <c r="L150" s="425"/>
      <c r="M150" s="425"/>
      <c r="N150" s="425">
        <v>115213</v>
      </c>
      <c r="O150" s="425"/>
      <c r="P150" s="426">
        <v>64917</v>
      </c>
      <c r="Q150" s="426"/>
      <c r="R150" s="426"/>
      <c r="T150" s="164">
        <v>115213</v>
      </c>
      <c r="U150" s="164">
        <f t="shared" si="4"/>
        <v>0</v>
      </c>
    </row>
    <row r="151" spans="1:21" ht="12">
      <c r="A151" s="424" t="s">
        <v>33</v>
      </c>
      <c r="B151" s="424"/>
      <c r="C151" s="424"/>
      <c r="D151" s="424" t="s">
        <v>524</v>
      </c>
      <c r="E151" s="424"/>
      <c r="F151" s="424"/>
      <c r="G151" s="412" t="s">
        <v>344</v>
      </c>
      <c r="H151" s="424" t="s">
        <v>525</v>
      </c>
      <c r="I151" s="424"/>
      <c r="J151" s="425">
        <v>560897</v>
      </c>
      <c r="K151" s="425"/>
      <c r="L151" s="425"/>
      <c r="M151" s="425"/>
      <c r="N151" s="425">
        <v>452363.08</v>
      </c>
      <c r="O151" s="425"/>
      <c r="P151" s="426">
        <v>108533.92</v>
      </c>
      <c r="Q151" s="426"/>
      <c r="R151" s="426"/>
      <c r="T151" s="164">
        <v>452363.08</v>
      </c>
      <c r="U151" s="164">
        <f t="shared" si="4"/>
        <v>0</v>
      </c>
    </row>
    <row r="152" spans="1:18" ht="10.5">
      <c r="A152" s="296"/>
      <c r="B152" s="296"/>
      <c r="C152" s="296"/>
      <c r="D152" s="296"/>
      <c r="E152" s="296"/>
      <c r="F152" s="296"/>
      <c r="G152" s="296"/>
      <c r="H152" s="296"/>
      <c r="I152" s="296"/>
      <c r="J152" s="296"/>
      <c r="K152" s="296"/>
      <c r="L152" s="296"/>
      <c r="M152" s="296"/>
      <c r="N152" s="296"/>
      <c r="O152" s="296"/>
      <c r="P152" s="296"/>
      <c r="Q152" s="296"/>
      <c r="R152" s="296"/>
    </row>
    <row r="153" spans="1:18" ht="11.25">
      <c r="A153" s="291"/>
      <c r="B153" s="291"/>
      <c r="C153" s="291"/>
      <c r="D153" s="291"/>
      <c r="E153" s="291"/>
      <c r="F153" s="291"/>
      <c r="G153" s="291"/>
      <c r="H153" s="291"/>
      <c r="I153" s="291"/>
      <c r="J153" s="429">
        <v>4813381.28</v>
      </c>
      <c r="K153" s="429"/>
      <c r="L153" s="429"/>
      <c r="M153" s="429"/>
      <c r="N153" s="429">
        <v>3162251.08</v>
      </c>
      <c r="O153" s="429"/>
      <c r="P153" s="429">
        <v>1651130.2</v>
      </c>
      <c r="Q153" s="429"/>
      <c r="R153" s="429"/>
    </row>
    <row r="154" spans="1:18" ht="12">
      <c r="A154" s="291"/>
      <c r="B154" s="430" t="s">
        <v>331</v>
      </c>
      <c r="C154" s="430"/>
      <c r="D154" s="434" t="s">
        <v>187</v>
      </c>
      <c r="E154" s="434"/>
      <c r="F154" s="434"/>
      <c r="G154" s="434"/>
      <c r="H154" s="434"/>
      <c r="I154" s="434"/>
      <c r="J154" s="434"/>
      <c r="K154" s="434"/>
      <c r="L154" s="434"/>
      <c r="M154" s="434"/>
      <c r="N154" s="291"/>
      <c r="O154" s="291"/>
      <c r="P154" s="291"/>
      <c r="Q154" s="291"/>
      <c r="R154" s="291"/>
    </row>
    <row r="155" spans="1:18" ht="12">
      <c r="A155" s="430" t="s">
        <v>332</v>
      </c>
      <c r="B155" s="430"/>
      <c r="C155" s="291"/>
      <c r="D155" s="291"/>
      <c r="E155" s="435" t="s">
        <v>333</v>
      </c>
      <c r="F155" s="435"/>
      <c r="G155" s="435"/>
      <c r="H155" s="435"/>
      <c r="I155" s="435"/>
      <c r="J155" s="427" t="s">
        <v>3</v>
      </c>
      <c r="K155" s="427"/>
      <c r="L155" s="427"/>
      <c r="M155" s="427"/>
      <c r="N155" s="427" t="s">
        <v>334</v>
      </c>
      <c r="O155" s="427"/>
      <c r="P155" s="428" t="s">
        <v>335</v>
      </c>
      <c r="Q155" s="428"/>
      <c r="R155" s="291"/>
    </row>
    <row r="156" spans="1:18" ht="12">
      <c r="A156" s="430"/>
      <c r="B156" s="430"/>
      <c r="C156" s="291"/>
      <c r="D156" s="291"/>
      <c r="E156" s="435"/>
      <c r="F156" s="435"/>
      <c r="G156" s="435"/>
      <c r="H156" s="435"/>
      <c r="I156" s="435"/>
      <c r="J156" s="428" t="s">
        <v>340</v>
      </c>
      <c r="K156" s="428"/>
      <c r="L156" s="428"/>
      <c r="M156" s="428"/>
      <c r="N156" s="428" t="s">
        <v>341</v>
      </c>
      <c r="O156" s="428"/>
      <c r="P156" s="428"/>
      <c r="Q156" s="428"/>
      <c r="R156" s="291"/>
    </row>
    <row r="157" spans="1:21" ht="12">
      <c r="A157" s="424" t="s">
        <v>23</v>
      </c>
      <c r="B157" s="424"/>
      <c r="C157" s="424"/>
      <c r="D157" s="424" t="s">
        <v>524</v>
      </c>
      <c r="E157" s="424"/>
      <c r="F157" s="424"/>
      <c r="G157" s="412" t="s">
        <v>344</v>
      </c>
      <c r="H157" s="424" t="s">
        <v>525</v>
      </c>
      <c r="I157" s="424"/>
      <c r="J157" s="425">
        <v>63996</v>
      </c>
      <c r="K157" s="425"/>
      <c r="L157" s="425"/>
      <c r="M157" s="425"/>
      <c r="N157" s="425">
        <v>10076.17</v>
      </c>
      <c r="O157" s="425"/>
      <c r="P157" s="426">
        <v>53919.83</v>
      </c>
      <c r="Q157" s="426"/>
      <c r="R157" s="426"/>
      <c r="T157" s="164">
        <v>10076.17</v>
      </c>
      <c r="U157" s="164">
        <f>N157-T157</f>
        <v>0</v>
      </c>
    </row>
    <row r="158" spans="1:21" ht="12">
      <c r="A158" s="424" t="s">
        <v>24</v>
      </c>
      <c r="B158" s="424"/>
      <c r="C158" s="424"/>
      <c r="D158" s="424" t="s">
        <v>524</v>
      </c>
      <c r="E158" s="424"/>
      <c r="F158" s="424"/>
      <c r="G158" s="412" t="s">
        <v>344</v>
      </c>
      <c r="H158" s="424" t="s">
        <v>525</v>
      </c>
      <c r="I158" s="424"/>
      <c r="J158" s="425">
        <v>26135.51</v>
      </c>
      <c r="K158" s="425"/>
      <c r="L158" s="425"/>
      <c r="M158" s="425"/>
      <c r="N158" s="425">
        <v>17719.05</v>
      </c>
      <c r="O158" s="425"/>
      <c r="P158" s="426">
        <v>8416.46</v>
      </c>
      <c r="Q158" s="426"/>
      <c r="R158" s="426"/>
      <c r="T158" s="164">
        <v>17719.05</v>
      </c>
      <c r="U158" s="164">
        <f aca="true" t="shared" si="5" ref="U158:U169">N158-T158</f>
        <v>0</v>
      </c>
    </row>
    <row r="159" spans="1:21" ht="12">
      <c r="A159" s="424" t="s">
        <v>25</v>
      </c>
      <c r="B159" s="424"/>
      <c r="C159" s="424"/>
      <c r="D159" s="424" t="s">
        <v>524</v>
      </c>
      <c r="E159" s="424"/>
      <c r="F159" s="424"/>
      <c r="G159" s="412" t="s">
        <v>344</v>
      </c>
      <c r="H159" s="424" t="s">
        <v>525</v>
      </c>
      <c r="I159" s="424"/>
      <c r="J159" s="425">
        <v>23300</v>
      </c>
      <c r="K159" s="425"/>
      <c r="L159" s="425"/>
      <c r="M159" s="425"/>
      <c r="N159" s="425">
        <v>12512.35</v>
      </c>
      <c r="O159" s="425"/>
      <c r="P159" s="426">
        <v>10787.65</v>
      </c>
      <c r="Q159" s="426"/>
      <c r="R159" s="426"/>
      <c r="T159" s="164">
        <v>12512.35</v>
      </c>
      <c r="U159" s="164">
        <f t="shared" si="5"/>
        <v>0</v>
      </c>
    </row>
    <row r="160" spans="1:21" ht="12">
      <c r="A160" s="424" t="s">
        <v>493</v>
      </c>
      <c r="B160" s="424"/>
      <c r="C160" s="424"/>
      <c r="D160" s="424" t="s">
        <v>524</v>
      </c>
      <c r="E160" s="424"/>
      <c r="F160" s="424"/>
      <c r="G160" s="412" t="s">
        <v>344</v>
      </c>
      <c r="H160" s="424" t="s">
        <v>525</v>
      </c>
      <c r="I160" s="424"/>
      <c r="J160" s="425">
        <v>2429</v>
      </c>
      <c r="K160" s="425"/>
      <c r="L160" s="425"/>
      <c r="M160" s="425"/>
      <c r="N160" s="425">
        <v>444</v>
      </c>
      <c r="O160" s="425"/>
      <c r="P160" s="426">
        <v>1985</v>
      </c>
      <c r="Q160" s="426"/>
      <c r="R160" s="426"/>
      <c r="T160" s="164">
        <v>444</v>
      </c>
      <c r="U160" s="164">
        <f t="shared" si="5"/>
        <v>0</v>
      </c>
    </row>
    <row r="161" spans="1:21" ht="12">
      <c r="A161" s="424" t="s">
        <v>27</v>
      </c>
      <c r="B161" s="424"/>
      <c r="C161" s="424"/>
      <c r="D161" s="424" t="s">
        <v>524</v>
      </c>
      <c r="E161" s="424"/>
      <c r="F161" s="424"/>
      <c r="G161" s="412" t="s">
        <v>344</v>
      </c>
      <c r="H161" s="424" t="s">
        <v>525</v>
      </c>
      <c r="I161" s="424"/>
      <c r="J161" s="425">
        <v>102512</v>
      </c>
      <c r="K161" s="425"/>
      <c r="L161" s="425"/>
      <c r="M161" s="425"/>
      <c r="N161" s="425">
        <v>90537</v>
      </c>
      <c r="O161" s="425"/>
      <c r="P161" s="426">
        <v>11975</v>
      </c>
      <c r="Q161" s="426"/>
      <c r="R161" s="426"/>
      <c r="T161" s="164">
        <v>90537</v>
      </c>
      <c r="U161" s="164">
        <f t="shared" si="5"/>
        <v>0</v>
      </c>
    </row>
    <row r="162" spans="1:21" ht="12">
      <c r="A162" s="424" t="s">
        <v>165</v>
      </c>
      <c r="B162" s="424"/>
      <c r="C162" s="424"/>
      <c r="D162" s="424" t="s">
        <v>524</v>
      </c>
      <c r="E162" s="424"/>
      <c r="F162" s="424"/>
      <c r="G162" s="412" t="s">
        <v>344</v>
      </c>
      <c r="H162" s="424" t="s">
        <v>525</v>
      </c>
      <c r="I162" s="424"/>
      <c r="J162" s="425">
        <v>40336</v>
      </c>
      <c r="K162" s="425"/>
      <c r="L162" s="425"/>
      <c r="M162" s="425"/>
      <c r="N162" s="425">
        <v>34824.87</v>
      </c>
      <c r="O162" s="425"/>
      <c r="P162" s="426">
        <v>5511.13</v>
      </c>
      <c r="Q162" s="426"/>
      <c r="R162" s="426"/>
      <c r="T162" s="164">
        <v>34824.87</v>
      </c>
      <c r="U162" s="164">
        <f t="shared" si="5"/>
        <v>0</v>
      </c>
    </row>
    <row r="163" spans="1:21" ht="12">
      <c r="A163" s="424" t="s">
        <v>516</v>
      </c>
      <c r="B163" s="424"/>
      <c r="C163" s="424"/>
      <c r="D163" s="424" t="s">
        <v>524</v>
      </c>
      <c r="E163" s="424"/>
      <c r="F163" s="424"/>
      <c r="G163" s="412" t="s">
        <v>344</v>
      </c>
      <c r="H163" s="424" t="s">
        <v>525</v>
      </c>
      <c r="I163" s="424"/>
      <c r="J163" s="425">
        <v>7295</v>
      </c>
      <c r="K163" s="425"/>
      <c r="L163" s="425"/>
      <c r="M163" s="425"/>
      <c r="N163" s="425">
        <v>4125</v>
      </c>
      <c r="O163" s="425"/>
      <c r="P163" s="426">
        <v>3170</v>
      </c>
      <c r="Q163" s="426"/>
      <c r="R163" s="426"/>
      <c r="T163" s="164">
        <v>4125</v>
      </c>
      <c r="U163" s="164">
        <f t="shared" si="5"/>
        <v>0</v>
      </c>
    </row>
    <row r="164" spans="1:21" ht="12">
      <c r="A164" s="424" t="s">
        <v>28</v>
      </c>
      <c r="B164" s="424"/>
      <c r="C164" s="424"/>
      <c r="D164" s="424" t="s">
        <v>524</v>
      </c>
      <c r="E164" s="424"/>
      <c r="F164" s="424"/>
      <c r="G164" s="412" t="s">
        <v>344</v>
      </c>
      <c r="H164" s="424" t="s">
        <v>525</v>
      </c>
      <c r="I164" s="424"/>
      <c r="J164" s="425">
        <v>21677</v>
      </c>
      <c r="K164" s="425"/>
      <c r="L164" s="425"/>
      <c r="M164" s="425"/>
      <c r="N164" s="425">
        <v>17337.66</v>
      </c>
      <c r="O164" s="425"/>
      <c r="P164" s="426">
        <v>4339.34</v>
      </c>
      <c r="Q164" s="426"/>
      <c r="R164" s="426"/>
      <c r="T164" s="164">
        <v>17337.66</v>
      </c>
      <c r="U164" s="164">
        <f t="shared" si="5"/>
        <v>0</v>
      </c>
    </row>
    <row r="165" spans="1:21" ht="12">
      <c r="A165" s="424" t="s">
        <v>29</v>
      </c>
      <c r="B165" s="424"/>
      <c r="C165" s="424"/>
      <c r="D165" s="424" t="s">
        <v>524</v>
      </c>
      <c r="E165" s="424"/>
      <c r="F165" s="424"/>
      <c r="G165" s="412" t="s">
        <v>344</v>
      </c>
      <c r="H165" s="424" t="s">
        <v>525</v>
      </c>
      <c r="I165" s="424"/>
      <c r="J165" s="425">
        <v>167816.55</v>
      </c>
      <c r="K165" s="425"/>
      <c r="L165" s="425"/>
      <c r="M165" s="425"/>
      <c r="N165" s="425">
        <v>52991.28</v>
      </c>
      <c r="O165" s="425"/>
      <c r="P165" s="426">
        <v>114825.27</v>
      </c>
      <c r="Q165" s="426"/>
      <c r="R165" s="426"/>
      <c r="T165" s="164">
        <v>52991.28</v>
      </c>
      <c r="U165" s="164">
        <f t="shared" si="5"/>
        <v>0</v>
      </c>
    </row>
    <row r="166" spans="1:21" ht="12">
      <c r="A166" s="424" t="s">
        <v>30</v>
      </c>
      <c r="B166" s="424"/>
      <c r="C166" s="424"/>
      <c r="D166" s="424" t="s">
        <v>524</v>
      </c>
      <c r="E166" s="424"/>
      <c r="F166" s="424"/>
      <c r="G166" s="412" t="s">
        <v>344</v>
      </c>
      <c r="H166" s="424" t="s">
        <v>525</v>
      </c>
      <c r="I166" s="424"/>
      <c r="J166" s="425">
        <v>16849.5</v>
      </c>
      <c r="K166" s="425"/>
      <c r="L166" s="425"/>
      <c r="M166" s="425"/>
      <c r="N166" s="425">
        <v>10914</v>
      </c>
      <c r="O166" s="425"/>
      <c r="P166" s="426">
        <v>5935.5</v>
      </c>
      <c r="Q166" s="426"/>
      <c r="R166" s="426"/>
      <c r="T166" s="164">
        <v>10914</v>
      </c>
      <c r="U166" s="164">
        <f t="shared" si="5"/>
        <v>0</v>
      </c>
    </row>
    <row r="167" spans="1:21" ht="12">
      <c r="A167" s="424" t="s">
        <v>31</v>
      </c>
      <c r="B167" s="424"/>
      <c r="C167" s="424"/>
      <c r="D167" s="424" t="s">
        <v>524</v>
      </c>
      <c r="E167" s="424"/>
      <c r="F167" s="424"/>
      <c r="G167" s="412" t="s">
        <v>344</v>
      </c>
      <c r="H167" s="424" t="s">
        <v>525</v>
      </c>
      <c r="I167" s="424"/>
      <c r="J167" s="425">
        <v>103477</v>
      </c>
      <c r="K167" s="425"/>
      <c r="L167" s="425"/>
      <c r="M167" s="425"/>
      <c r="N167" s="425">
        <v>61589</v>
      </c>
      <c r="O167" s="425"/>
      <c r="P167" s="426">
        <v>41888</v>
      </c>
      <c r="Q167" s="426"/>
      <c r="R167" s="426"/>
      <c r="T167" s="164">
        <v>61589</v>
      </c>
      <c r="U167" s="164">
        <f t="shared" si="5"/>
        <v>0</v>
      </c>
    </row>
    <row r="168" spans="1:21" ht="12">
      <c r="A168" s="424" t="s">
        <v>32</v>
      </c>
      <c r="B168" s="424"/>
      <c r="C168" s="424"/>
      <c r="D168" s="424" t="s">
        <v>524</v>
      </c>
      <c r="E168" s="424"/>
      <c r="F168" s="424"/>
      <c r="G168" s="412" t="s">
        <v>344</v>
      </c>
      <c r="H168" s="424" t="s">
        <v>525</v>
      </c>
      <c r="I168" s="424"/>
      <c r="J168" s="425">
        <v>27862</v>
      </c>
      <c r="K168" s="425"/>
      <c r="L168" s="425"/>
      <c r="M168" s="425"/>
      <c r="N168" s="425">
        <v>24002</v>
      </c>
      <c r="O168" s="425"/>
      <c r="P168" s="426">
        <v>3860</v>
      </c>
      <c r="Q168" s="426"/>
      <c r="R168" s="426"/>
      <c r="T168" s="164">
        <v>24002</v>
      </c>
      <c r="U168" s="164">
        <f t="shared" si="5"/>
        <v>0</v>
      </c>
    </row>
    <row r="169" spans="1:21" ht="12">
      <c r="A169" s="424" t="s">
        <v>33</v>
      </c>
      <c r="B169" s="424"/>
      <c r="C169" s="424"/>
      <c r="D169" s="424" t="s">
        <v>524</v>
      </c>
      <c r="E169" s="424"/>
      <c r="F169" s="424"/>
      <c r="G169" s="412" t="s">
        <v>344</v>
      </c>
      <c r="H169" s="424" t="s">
        <v>525</v>
      </c>
      <c r="I169" s="424"/>
      <c r="J169" s="425">
        <v>87164.99</v>
      </c>
      <c r="K169" s="425"/>
      <c r="L169" s="425"/>
      <c r="M169" s="425"/>
      <c r="N169" s="425">
        <v>44270</v>
      </c>
      <c r="O169" s="425"/>
      <c r="P169" s="426">
        <v>42894.99</v>
      </c>
      <c r="Q169" s="426"/>
      <c r="R169" s="426"/>
      <c r="T169" s="164">
        <v>44270</v>
      </c>
      <c r="U169" s="164">
        <f t="shared" si="5"/>
        <v>0</v>
      </c>
    </row>
    <row r="170" spans="1:21" ht="10.5">
      <c r="A170" s="296"/>
      <c r="B170" s="296"/>
      <c r="C170" s="296"/>
      <c r="D170" s="296"/>
      <c r="E170" s="296"/>
      <c r="F170" s="296"/>
      <c r="G170" s="296"/>
      <c r="H170" s="296"/>
      <c r="I170" s="296"/>
      <c r="J170" s="296"/>
      <c r="K170" s="296"/>
      <c r="L170" s="296"/>
      <c r="M170" s="296"/>
      <c r="N170" s="296"/>
      <c r="O170" s="296"/>
      <c r="P170" s="296"/>
      <c r="Q170" s="296"/>
      <c r="R170" s="296"/>
      <c r="T170" s="164"/>
      <c r="U170" s="164"/>
    </row>
    <row r="171" spans="1:21" ht="12" thickBot="1">
      <c r="A171" s="291"/>
      <c r="B171" s="291"/>
      <c r="C171" s="291"/>
      <c r="D171" s="291"/>
      <c r="E171" s="291"/>
      <c r="F171" s="291"/>
      <c r="G171" s="291"/>
      <c r="H171" s="291"/>
      <c r="I171" s="291"/>
      <c r="J171" s="429">
        <v>690850.55</v>
      </c>
      <c r="K171" s="429"/>
      <c r="L171" s="429"/>
      <c r="M171" s="429"/>
      <c r="N171" s="429">
        <v>381342.38</v>
      </c>
      <c r="O171" s="429"/>
      <c r="P171" s="429">
        <v>309508.17</v>
      </c>
      <c r="Q171" s="429"/>
      <c r="R171" s="429"/>
      <c r="T171" s="164"/>
      <c r="U171" s="164"/>
    </row>
    <row r="172" spans="1:18" ht="11.25" thickTop="1">
      <c r="A172" s="297"/>
      <c r="B172" s="297"/>
      <c r="C172" s="297"/>
      <c r="D172" s="297"/>
      <c r="E172" s="297"/>
      <c r="F172" s="297"/>
      <c r="G172" s="297"/>
      <c r="H172" s="297"/>
      <c r="I172" s="297"/>
      <c r="J172" s="297"/>
      <c r="K172" s="297"/>
      <c r="L172" s="297"/>
      <c r="M172" s="297"/>
      <c r="N172" s="297"/>
      <c r="O172" s="297"/>
      <c r="P172" s="297"/>
      <c r="Q172" s="297"/>
      <c r="R172" s="297"/>
    </row>
    <row r="173" spans="1:18" ht="10.5" customHeight="1">
      <c r="A173" s="427" t="s">
        <v>528</v>
      </c>
      <c r="B173" s="427"/>
      <c r="C173" s="427"/>
      <c r="D173" s="427"/>
      <c r="E173" s="427"/>
      <c r="F173" s="427"/>
      <c r="G173" s="427"/>
      <c r="H173" s="427"/>
      <c r="I173" s="291"/>
      <c r="J173" s="433">
        <v>6096036.49</v>
      </c>
      <c r="K173" s="433"/>
      <c r="L173" s="433"/>
      <c r="M173" s="433"/>
      <c r="N173" s="433">
        <v>3735215.17</v>
      </c>
      <c r="O173" s="433"/>
      <c r="P173" s="429">
        <v>2360821.32</v>
      </c>
      <c r="Q173" s="429"/>
      <c r="R173" s="429"/>
    </row>
    <row r="174" spans="1:18" ht="10.5" customHeight="1">
      <c r="A174" s="430" t="s">
        <v>329</v>
      </c>
      <c r="B174" s="430"/>
      <c r="C174" s="434" t="s">
        <v>529</v>
      </c>
      <c r="D174" s="434"/>
      <c r="E174" s="434"/>
      <c r="F174" s="434"/>
      <c r="G174" s="434"/>
      <c r="H174" s="434"/>
      <c r="I174" s="434"/>
      <c r="J174" s="434"/>
      <c r="K174" s="434"/>
      <c r="L174" s="291"/>
      <c r="M174" s="291"/>
      <c r="N174" s="291"/>
      <c r="O174" s="291"/>
      <c r="P174" s="291"/>
      <c r="Q174" s="291"/>
      <c r="R174" s="291"/>
    </row>
    <row r="175" spans="1:18" ht="10.5" customHeight="1">
      <c r="A175" s="430"/>
      <c r="B175" s="430"/>
      <c r="C175" s="291"/>
      <c r="D175" s="291"/>
      <c r="E175" s="291"/>
      <c r="F175" s="291"/>
      <c r="G175" s="291"/>
      <c r="H175" s="291"/>
      <c r="I175" s="291"/>
      <c r="J175" s="291"/>
      <c r="K175" s="291"/>
      <c r="L175" s="291"/>
      <c r="M175" s="291"/>
      <c r="N175" s="291"/>
      <c r="O175" s="291"/>
      <c r="P175" s="291"/>
      <c r="Q175" s="291"/>
      <c r="R175" s="291"/>
    </row>
    <row r="176" spans="1:18" ht="10.5" customHeight="1">
      <c r="A176" s="291"/>
      <c r="B176" s="430" t="s">
        <v>331</v>
      </c>
      <c r="C176" s="430"/>
      <c r="D176" s="434" t="s">
        <v>44</v>
      </c>
      <c r="E176" s="434"/>
      <c r="F176" s="434"/>
      <c r="G176" s="434"/>
      <c r="H176" s="434"/>
      <c r="I176" s="434"/>
      <c r="J176" s="434"/>
      <c r="K176" s="434"/>
      <c r="L176" s="434"/>
      <c r="M176" s="434"/>
      <c r="N176" s="291"/>
      <c r="O176" s="291"/>
      <c r="P176" s="291"/>
      <c r="Q176" s="291"/>
      <c r="R176" s="291"/>
    </row>
    <row r="177" spans="1:18" ht="12">
      <c r="A177" s="430" t="s">
        <v>332</v>
      </c>
      <c r="B177" s="430"/>
      <c r="C177" s="291"/>
      <c r="D177" s="291"/>
      <c r="E177" s="435" t="s">
        <v>333</v>
      </c>
      <c r="F177" s="435"/>
      <c r="G177" s="435"/>
      <c r="H177" s="435"/>
      <c r="I177" s="435"/>
      <c r="J177" s="427" t="s">
        <v>3</v>
      </c>
      <c r="K177" s="427"/>
      <c r="L177" s="427"/>
      <c r="M177" s="427"/>
      <c r="N177" s="427" t="s">
        <v>334</v>
      </c>
      <c r="O177" s="427"/>
      <c r="P177" s="428" t="s">
        <v>335</v>
      </c>
      <c r="Q177" s="428"/>
      <c r="R177" s="291"/>
    </row>
    <row r="178" spans="1:18" ht="12">
      <c r="A178" s="430"/>
      <c r="B178" s="430"/>
      <c r="C178" s="291"/>
      <c r="D178" s="291"/>
      <c r="E178" s="435"/>
      <c r="F178" s="435"/>
      <c r="G178" s="435"/>
      <c r="H178" s="435"/>
      <c r="I178" s="435"/>
      <c r="J178" s="428" t="s">
        <v>340</v>
      </c>
      <c r="K178" s="428"/>
      <c r="L178" s="428"/>
      <c r="M178" s="428"/>
      <c r="N178" s="428" t="s">
        <v>341</v>
      </c>
      <c r="O178" s="428"/>
      <c r="P178" s="428"/>
      <c r="Q178" s="428"/>
      <c r="R178" s="291"/>
    </row>
    <row r="179" spans="1:21" ht="12">
      <c r="A179" s="424" t="s">
        <v>34</v>
      </c>
      <c r="B179" s="424"/>
      <c r="C179" s="424"/>
      <c r="D179" s="424" t="s">
        <v>524</v>
      </c>
      <c r="E179" s="424"/>
      <c r="F179" s="424"/>
      <c r="G179" s="412" t="s">
        <v>344</v>
      </c>
      <c r="H179" s="424" t="s">
        <v>525</v>
      </c>
      <c r="I179" s="424"/>
      <c r="J179" s="425">
        <v>168099</v>
      </c>
      <c r="K179" s="425"/>
      <c r="L179" s="425"/>
      <c r="M179" s="425"/>
      <c r="N179" s="425">
        <v>67431</v>
      </c>
      <c r="O179" s="425"/>
      <c r="P179" s="426">
        <v>100668</v>
      </c>
      <c r="Q179" s="426"/>
      <c r="R179" s="426"/>
      <c r="T179" s="164">
        <v>67431</v>
      </c>
      <c r="U179" s="164">
        <f>N179-T179</f>
        <v>0</v>
      </c>
    </row>
    <row r="180" spans="1:21" ht="12">
      <c r="A180" s="424" t="s">
        <v>35</v>
      </c>
      <c r="B180" s="424"/>
      <c r="C180" s="424"/>
      <c r="D180" s="424" t="s">
        <v>524</v>
      </c>
      <c r="E180" s="424"/>
      <c r="F180" s="424"/>
      <c r="G180" s="412" t="s">
        <v>344</v>
      </c>
      <c r="H180" s="424" t="s">
        <v>525</v>
      </c>
      <c r="I180" s="424"/>
      <c r="J180" s="425">
        <v>172588.56</v>
      </c>
      <c r="K180" s="425"/>
      <c r="L180" s="425"/>
      <c r="M180" s="425"/>
      <c r="N180" s="425">
        <v>9447.74</v>
      </c>
      <c r="O180" s="425"/>
      <c r="P180" s="426">
        <v>163140.82</v>
      </c>
      <c r="Q180" s="426"/>
      <c r="R180" s="426"/>
      <c r="T180" s="164">
        <v>9447.74</v>
      </c>
      <c r="U180" s="164">
        <f>N180-T180</f>
        <v>0</v>
      </c>
    </row>
    <row r="181" spans="1:21" ht="12">
      <c r="A181" s="424" t="s">
        <v>29</v>
      </c>
      <c r="B181" s="424"/>
      <c r="C181" s="424"/>
      <c r="D181" s="424" t="s">
        <v>524</v>
      </c>
      <c r="E181" s="424"/>
      <c r="F181" s="424"/>
      <c r="G181" s="412" t="s">
        <v>344</v>
      </c>
      <c r="H181" s="424" t="s">
        <v>525</v>
      </c>
      <c r="I181" s="424"/>
      <c r="J181" s="425">
        <v>240877</v>
      </c>
      <c r="K181" s="425"/>
      <c r="L181" s="425"/>
      <c r="M181" s="425"/>
      <c r="N181" s="425">
        <v>77835.11</v>
      </c>
      <c r="O181" s="425"/>
      <c r="P181" s="426">
        <v>163041.89</v>
      </c>
      <c r="Q181" s="426"/>
      <c r="R181" s="426"/>
      <c r="T181" s="164">
        <v>77835.11</v>
      </c>
      <c r="U181" s="164">
        <f>N181-T181</f>
        <v>0</v>
      </c>
    </row>
    <row r="182" spans="1:21" ht="12">
      <c r="A182" s="424" t="s">
        <v>30</v>
      </c>
      <c r="B182" s="424"/>
      <c r="C182" s="424"/>
      <c r="D182" s="424" t="s">
        <v>524</v>
      </c>
      <c r="E182" s="424"/>
      <c r="F182" s="424"/>
      <c r="G182" s="412" t="s">
        <v>344</v>
      </c>
      <c r="H182" s="424" t="s">
        <v>525</v>
      </c>
      <c r="I182" s="424"/>
      <c r="J182" s="425">
        <v>58456.98</v>
      </c>
      <c r="K182" s="425"/>
      <c r="L182" s="425"/>
      <c r="M182" s="425"/>
      <c r="N182" s="425">
        <v>21299</v>
      </c>
      <c r="O182" s="425"/>
      <c r="P182" s="426">
        <v>37157.98</v>
      </c>
      <c r="Q182" s="426"/>
      <c r="R182" s="426"/>
      <c r="T182" s="164">
        <v>21299</v>
      </c>
      <c r="U182" s="164">
        <f>N182-T182</f>
        <v>0</v>
      </c>
    </row>
    <row r="183" spans="1:21" ht="12">
      <c r="A183" s="424" t="s">
        <v>36</v>
      </c>
      <c r="B183" s="424"/>
      <c r="C183" s="424"/>
      <c r="D183" s="424" t="s">
        <v>524</v>
      </c>
      <c r="E183" s="424"/>
      <c r="F183" s="424"/>
      <c r="G183" s="412" t="s">
        <v>344</v>
      </c>
      <c r="H183" s="424" t="s">
        <v>525</v>
      </c>
      <c r="I183" s="424"/>
      <c r="J183" s="425">
        <v>22327.7</v>
      </c>
      <c r="K183" s="425"/>
      <c r="L183" s="425"/>
      <c r="M183" s="425"/>
      <c r="N183" s="425">
        <v>14076.32</v>
      </c>
      <c r="O183" s="425"/>
      <c r="P183" s="426">
        <v>8251.38</v>
      </c>
      <c r="Q183" s="426"/>
      <c r="R183" s="426"/>
      <c r="T183" s="164">
        <v>14076.32</v>
      </c>
      <c r="U183" s="164">
        <f>N183-T183</f>
        <v>0</v>
      </c>
    </row>
    <row r="184" spans="1:21" ht="10.5">
      <c r="A184" s="296"/>
      <c r="B184" s="296"/>
      <c r="C184" s="296"/>
      <c r="D184" s="296"/>
      <c r="E184" s="296"/>
      <c r="F184" s="296"/>
      <c r="G184" s="296"/>
      <c r="H184" s="296"/>
      <c r="I184" s="296"/>
      <c r="J184" s="296"/>
      <c r="K184" s="296"/>
      <c r="L184" s="296"/>
      <c r="M184" s="296"/>
      <c r="N184" s="296"/>
      <c r="O184" s="296"/>
      <c r="P184" s="296"/>
      <c r="Q184" s="296"/>
      <c r="R184" s="296"/>
      <c r="T184" s="164"/>
      <c r="U184" s="164"/>
    </row>
    <row r="185" spans="1:21" ht="11.25">
      <c r="A185" s="291"/>
      <c r="B185" s="291"/>
      <c r="C185" s="291"/>
      <c r="D185" s="291"/>
      <c r="E185" s="291"/>
      <c r="F185" s="291"/>
      <c r="G185" s="291"/>
      <c r="H185" s="291"/>
      <c r="I185" s="291"/>
      <c r="J185" s="429">
        <v>662349.24</v>
      </c>
      <c r="K185" s="429"/>
      <c r="L185" s="429"/>
      <c r="M185" s="429"/>
      <c r="N185" s="429">
        <v>190089.17</v>
      </c>
      <c r="O185" s="429"/>
      <c r="P185" s="429">
        <v>472260.07</v>
      </c>
      <c r="Q185" s="429"/>
      <c r="R185" s="429"/>
      <c r="T185" s="164"/>
      <c r="U185" s="164"/>
    </row>
    <row r="186" spans="1:21" ht="12">
      <c r="A186" s="291"/>
      <c r="B186" s="430" t="s">
        <v>331</v>
      </c>
      <c r="C186" s="430"/>
      <c r="D186" s="434" t="s">
        <v>348</v>
      </c>
      <c r="E186" s="434"/>
      <c r="F186" s="434"/>
      <c r="G186" s="434"/>
      <c r="H186" s="434"/>
      <c r="I186" s="434"/>
      <c r="J186" s="434"/>
      <c r="K186" s="434"/>
      <c r="L186" s="434"/>
      <c r="M186" s="434"/>
      <c r="N186" s="291"/>
      <c r="O186" s="291"/>
      <c r="P186" s="291"/>
      <c r="Q186" s="291"/>
      <c r="R186" s="291"/>
      <c r="T186" s="164"/>
      <c r="U186" s="164"/>
    </row>
    <row r="187" spans="1:21" ht="12">
      <c r="A187" s="430" t="s">
        <v>332</v>
      </c>
      <c r="B187" s="430"/>
      <c r="C187" s="291"/>
      <c r="D187" s="291"/>
      <c r="E187" s="435" t="s">
        <v>333</v>
      </c>
      <c r="F187" s="435"/>
      <c r="G187" s="435"/>
      <c r="H187" s="435"/>
      <c r="I187" s="435"/>
      <c r="J187" s="427" t="s">
        <v>3</v>
      </c>
      <c r="K187" s="427"/>
      <c r="L187" s="427"/>
      <c r="M187" s="427"/>
      <c r="N187" s="427" t="s">
        <v>334</v>
      </c>
      <c r="O187" s="427"/>
      <c r="P187" s="428" t="s">
        <v>335</v>
      </c>
      <c r="Q187" s="428"/>
      <c r="R187" s="291"/>
      <c r="T187" s="164"/>
      <c r="U187" s="164"/>
    </row>
    <row r="188" spans="1:21" ht="12">
      <c r="A188" s="430"/>
      <c r="B188" s="430"/>
      <c r="C188" s="291"/>
      <c r="D188" s="291"/>
      <c r="E188" s="435"/>
      <c r="F188" s="435"/>
      <c r="G188" s="435"/>
      <c r="H188" s="435"/>
      <c r="I188" s="435"/>
      <c r="J188" s="428" t="s">
        <v>340</v>
      </c>
      <c r="K188" s="428"/>
      <c r="L188" s="428"/>
      <c r="M188" s="428"/>
      <c r="N188" s="428" t="s">
        <v>341</v>
      </c>
      <c r="O188" s="428"/>
      <c r="P188" s="428"/>
      <c r="Q188" s="428"/>
      <c r="R188" s="291"/>
      <c r="T188" s="164"/>
      <c r="U188" s="164"/>
    </row>
    <row r="189" spans="1:21" ht="12">
      <c r="A189" s="424" t="s">
        <v>34</v>
      </c>
      <c r="B189" s="424"/>
      <c r="C189" s="424"/>
      <c r="D189" s="424" t="s">
        <v>524</v>
      </c>
      <c r="E189" s="424"/>
      <c r="F189" s="424"/>
      <c r="G189" s="412" t="s">
        <v>344</v>
      </c>
      <c r="H189" s="424" t="s">
        <v>525</v>
      </c>
      <c r="I189" s="424"/>
      <c r="J189" s="425">
        <v>1851647.4</v>
      </c>
      <c r="K189" s="425"/>
      <c r="L189" s="425"/>
      <c r="M189" s="425"/>
      <c r="N189" s="425">
        <v>1203030</v>
      </c>
      <c r="O189" s="425"/>
      <c r="P189" s="426">
        <v>648617.4</v>
      </c>
      <c r="Q189" s="426"/>
      <c r="R189" s="426"/>
      <c r="T189" s="164">
        <v>1203030</v>
      </c>
      <c r="U189" s="164">
        <f>N189-T189</f>
        <v>0</v>
      </c>
    </row>
    <row r="190" spans="1:21" ht="12">
      <c r="A190" s="424" t="s">
        <v>25</v>
      </c>
      <c r="B190" s="424"/>
      <c r="C190" s="424"/>
      <c r="D190" s="424" t="s">
        <v>524</v>
      </c>
      <c r="E190" s="424"/>
      <c r="F190" s="424"/>
      <c r="G190" s="412" t="s">
        <v>344</v>
      </c>
      <c r="H190" s="424" t="s">
        <v>525</v>
      </c>
      <c r="I190" s="424"/>
      <c r="J190" s="425">
        <v>3501</v>
      </c>
      <c r="K190" s="425"/>
      <c r="L190" s="425"/>
      <c r="M190" s="425"/>
      <c r="N190" s="425">
        <v>0</v>
      </c>
      <c r="O190" s="425"/>
      <c r="P190" s="426">
        <v>3501</v>
      </c>
      <c r="Q190" s="426"/>
      <c r="R190" s="426"/>
      <c r="T190" s="164"/>
      <c r="U190" s="164">
        <f aca="true" t="shared" si="6" ref="U190:U195">N190-T190</f>
        <v>0</v>
      </c>
    </row>
    <row r="191" spans="1:21" ht="12">
      <c r="A191" s="424" t="s">
        <v>35</v>
      </c>
      <c r="B191" s="424"/>
      <c r="C191" s="424"/>
      <c r="D191" s="424" t="s">
        <v>524</v>
      </c>
      <c r="E191" s="424"/>
      <c r="F191" s="424"/>
      <c r="G191" s="412" t="s">
        <v>344</v>
      </c>
      <c r="H191" s="424" t="s">
        <v>525</v>
      </c>
      <c r="I191" s="424"/>
      <c r="J191" s="425">
        <v>1265645</v>
      </c>
      <c r="K191" s="425"/>
      <c r="L191" s="425"/>
      <c r="M191" s="425"/>
      <c r="N191" s="425">
        <v>907471</v>
      </c>
      <c r="O191" s="425"/>
      <c r="P191" s="426">
        <v>358174</v>
      </c>
      <c r="Q191" s="426"/>
      <c r="R191" s="426"/>
      <c r="T191" s="164">
        <v>907471</v>
      </c>
      <c r="U191" s="164">
        <f t="shared" si="6"/>
        <v>0</v>
      </c>
    </row>
    <row r="192" spans="1:21" ht="12">
      <c r="A192" s="424" t="s">
        <v>28</v>
      </c>
      <c r="B192" s="424"/>
      <c r="C192" s="424"/>
      <c r="D192" s="424" t="s">
        <v>524</v>
      </c>
      <c r="E192" s="424"/>
      <c r="F192" s="424"/>
      <c r="G192" s="412" t="s">
        <v>344</v>
      </c>
      <c r="H192" s="424" t="s">
        <v>525</v>
      </c>
      <c r="I192" s="424"/>
      <c r="J192" s="425">
        <v>946</v>
      </c>
      <c r="K192" s="425"/>
      <c r="L192" s="425"/>
      <c r="M192" s="425"/>
      <c r="N192" s="425">
        <v>0</v>
      </c>
      <c r="O192" s="425"/>
      <c r="P192" s="426">
        <v>946</v>
      </c>
      <c r="Q192" s="426"/>
      <c r="R192" s="426"/>
      <c r="T192" s="164">
        <v>0</v>
      </c>
      <c r="U192" s="164">
        <f t="shared" si="6"/>
        <v>0</v>
      </c>
    </row>
    <row r="193" spans="1:21" ht="12">
      <c r="A193" s="424" t="s">
        <v>29</v>
      </c>
      <c r="B193" s="424"/>
      <c r="C193" s="424"/>
      <c r="D193" s="424" t="s">
        <v>524</v>
      </c>
      <c r="E193" s="424"/>
      <c r="F193" s="424"/>
      <c r="G193" s="412" t="s">
        <v>344</v>
      </c>
      <c r="H193" s="424" t="s">
        <v>525</v>
      </c>
      <c r="I193" s="424"/>
      <c r="J193" s="425">
        <v>1835467</v>
      </c>
      <c r="K193" s="425"/>
      <c r="L193" s="425"/>
      <c r="M193" s="425"/>
      <c r="N193" s="425">
        <v>763457</v>
      </c>
      <c r="O193" s="425"/>
      <c r="P193" s="426">
        <v>1072010</v>
      </c>
      <c r="Q193" s="426"/>
      <c r="R193" s="426"/>
      <c r="T193" s="164">
        <v>763457</v>
      </c>
      <c r="U193" s="164">
        <f t="shared" si="6"/>
        <v>0</v>
      </c>
    </row>
    <row r="194" spans="1:21" ht="12">
      <c r="A194" s="424" t="s">
        <v>30</v>
      </c>
      <c r="B194" s="424"/>
      <c r="C194" s="424"/>
      <c r="D194" s="424" t="s">
        <v>524</v>
      </c>
      <c r="E194" s="424"/>
      <c r="F194" s="424"/>
      <c r="G194" s="412" t="s">
        <v>344</v>
      </c>
      <c r="H194" s="424" t="s">
        <v>525</v>
      </c>
      <c r="I194" s="424"/>
      <c r="J194" s="425">
        <v>941795</v>
      </c>
      <c r="K194" s="425"/>
      <c r="L194" s="425"/>
      <c r="M194" s="425"/>
      <c r="N194" s="425">
        <v>783741</v>
      </c>
      <c r="O194" s="425"/>
      <c r="P194" s="426">
        <v>158054</v>
      </c>
      <c r="Q194" s="426"/>
      <c r="R194" s="426"/>
      <c r="T194" s="164">
        <v>783741</v>
      </c>
      <c r="U194" s="164">
        <f t="shared" si="6"/>
        <v>0</v>
      </c>
    </row>
    <row r="195" spans="1:21" ht="12">
      <c r="A195" s="424" t="s">
        <v>36</v>
      </c>
      <c r="B195" s="424"/>
      <c r="C195" s="424"/>
      <c r="D195" s="424" t="s">
        <v>524</v>
      </c>
      <c r="E195" s="424"/>
      <c r="F195" s="424"/>
      <c r="G195" s="412" t="s">
        <v>344</v>
      </c>
      <c r="H195" s="424" t="s">
        <v>525</v>
      </c>
      <c r="I195" s="424"/>
      <c r="J195" s="425">
        <v>178577</v>
      </c>
      <c r="K195" s="425"/>
      <c r="L195" s="425"/>
      <c r="M195" s="425"/>
      <c r="N195" s="425">
        <v>148065</v>
      </c>
      <c r="O195" s="425"/>
      <c r="P195" s="426">
        <v>30512</v>
      </c>
      <c r="Q195" s="426"/>
      <c r="R195" s="426"/>
      <c r="T195" s="164">
        <v>148065</v>
      </c>
      <c r="U195" s="164">
        <f t="shared" si="6"/>
        <v>0</v>
      </c>
    </row>
    <row r="196" spans="1:21" ht="10.5">
      <c r="A196" s="296"/>
      <c r="B196" s="296"/>
      <c r="C196" s="296"/>
      <c r="D196" s="296"/>
      <c r="E196" s="296"/>
      <c r="F196" s="296"/>
      <c r="G196" s="296"/>
      <c r="H196" s="296"/>
      <c r="I196" s="296"/>
      <c r="J196" s="296"/>
      <c r="K196" s="296"/>
      <c r="L196" s="296"/>
      <c r="M196" s="296"/>
      <c r="N196" s="296"/>
      <c r="O196" s="296"/>
      <c r="P196" s="296"/>
      <c r="Q196" s="296"/>
      <c r="R196" s="296"/>
      <c r="T196" s="164"/>
      <c r="U196" s="164"/>
    </row>
    <row r="197" spans="1:21" ht="11.25">
      <c r="A197" s="291"/>
      <c r="B197" s="291"/>
      <c r="C197" s="291"/>
      <c r="D197" s="291"/>
      <c r="E197" s="291"/>
      <c r="F197" s="291"/>
      <c r="G197" s="291"/>
      <c r="H197" s="291"/>
      <c r="I197" s="291"/>
      <c r="J197" s="429">
        <v>6077578.4</v>
      </c>
      <c r="K197" s="429"/>
      <c r="L197" s="429"/>
      <c r="M197" s="429"/>
      <c r="N197" s="429">
        <v>3805764</v>
      </c>
      <c r="O197" s="429"/>
      <c r="P197" s="429">
        <v>2271814.4</v>
      </c>
      <c r="Q197" s="429"/>
      <c r="R197" s="429"/>
      <c r="T197" s="164"/>
      <c r="U197" s="164"/>
    </row>
    <row r="198" spans="1:21" ht="12">
      <c r="A198" s="291"/>
      <c r="B198" s="430" t="s">
        <v>331</v>
      </c>
      <c r="C198" s="430"/>
      <c r="D198" s="434" t="s">
        <v>187</v>
      </c>
      <c r="E198" s="434"/>
      <c r="F198" s="434"/>
      <c r="G198" s="434"/>
      <c r="H198" s="434"/>
      <c r="I198" s="434"/>
      <c r="J198" s="434"/>
      <c r="K198" s="434"/>
      <c r="L198" s="434"/>
      <c r="M198" s="434"/>
      <c r="N198" s="291"/>
      <c r="O198" s="291"/>
      <c r="P198" s="291"/>
      <c r="Q198" s="291"/>
      <c r="R198" s="291"/>
      <c r="T198" s="164"/>
      <c r="U198" s="164"/>
    </row>
    <row r="199" spans="1:21" ht="12">
      <c r="A199" s="430" t="s">
        <v>332</v>
      </c>
      <c r="B199" s="430"/>
      <c r="C199" s="291"/>
      <c r="D199" s="291"/>
      <c r="E199" s="435" t="s">
        <v>333</v>
      </c>
      <c r="F199" s="435"/>
      <c r="G199" s="435"/>
      <c r="H199" s="435"/>
      <c r="I199" s="435"/>
      <c r="J199" s="427" t="s">
        <v>3</v>
      </c>
      <c r="K199" s="427"/>
      <c r="L199" s="427"/>
      <c r="M199" s="427"/>
      <c r="N199" s="427" t="s">
        <v>334</v>
      </c>
      <c r="O199" s="427"/>
      <c r="P199" s="428" t="s">
        <v>335</v>
      </c>
      <c r="Q199" s="428"/>
      <c r="R199" s="291"/>
      <c r="T199" s="164"/>
      <c r="U199" s="164"/>
    </row>
    <row r="200" spans="1:21" ht="12">
      <c r="A200" s="430"/>
      <c r="B200" s="430"/>
      <c r="C200" s="291"/>
      <c r="D200" s="291"/>
      <c r="E200" s="435"/>
      <c r="F200" s="435"/>
      <c r="G200" s="435"/>
      <c r="H200" s="435"/>
      <c r="I200" s="435"/>
      <c r="J200" s="428" t="s">
        <v>340</v>
      </c>
      <c r="K200" s="428"/>
      <c r="L200" s="428"/>
      <c r="M200" s="428"/>
      <c r="N200" s="428" t="s">
        <v>341</v>
      </c>
      <c r="O200" s="428"/>
      <c r="P200" s="428"/>
      <c r="Q200" s="428"/>
      <c r="R200" s="291"/>
      <c r="T200" s="164"/>
      <c r="U200" s="164"/>
    </row>
    <row r="201" spans="1:21" ht="12">
      <c r="A201" s="424" t="s">
        <v>34</v>
      </c>
      <c r="B201" s="424"/>
      <c r="C201" s="424"/>
      <c r="D201" s="424" t="s">
        <v>524</v>
      </c>
      <c r="E201" s="424"/>
      <c r="F201" s="424"/>
      <c r="G201" s="412" t="s">
        <v>344</v>
      </c>
      <c r="H201" s="424" t="s">
        <v>525</v>
      </c>
      <c r="I201" s="424"/>
      <c r="J201" s="425">
        <v>233589</v>
      </c>
      <c r="K201" s="425"/>
      <c r="L201" s="425"/>
      <c r="M201" s="425"/>
      <c r="N201" s="425">
        <v>225263</v>
      </c>
      <c r="O201" s="425"/>
      <c r="P201" s="426">
        <v>8326</v>
      </c>
      <c r="Q201" s="426"/>
      <c r="R201" s="426"/>
      <c r="T201" s="164">
        <v>225263</v>
      </c>
      <c r="U201" s="164">
        <f>N201-T201</f>
        <v>0</v>
      </c>
    </row>
    <row r="202" spans="1:21" ht="12">
      <c r="A202" s="424" t="s">
        <v>35</v>
      </c>
      <c r="B202" s="424"/>
      <c r="C202" s="424"/>
      <c r="D202" s="424" t="s">
        <v>524</v>
      </c>
      <c r="E202" s="424"/>
      <c r="F202" s="424"/>
      <c r="G202" s="412" t="s">
        <v>344</v>
      </c>
      <c r="H202" s="424" t="s">
        <v>525</v>
      </c>
      <c r="I202" s="424"/>
      <c r="J202" s="425">
        <v>287655</v>
      </c>
      <c r="K202" s="425"/>
      <c r="L202" s="425"/>
      <c r="M202" s="425"/>
      <c r="N202" s="425">
        <v>74566.01</v>
      </c>
      <c r="O202" s="425"/>
      <c r="P202" s="426">
        <v>213088.99</v>
      </c>
      <c r="Q202" s="426"/>
      <c r="R202" s="426"/>
      <c r="T202" s="164">
        <v>74566.01</v>
      </c>
      <c r="U202" s="164">
        <f>N202-T202</f>
        <v>0</v>
      </c>
    </row>
    <row r="203" spans="1:21" ht="12">
      <c r="A203" s="424" t="s">
        <v>29</v>
      </c>
      <c r="B203" s="424"/>
      <c r="C203" s="424"/>
      <c r="D203" s="424" t="s">
        <v>524</v>
      </c>
      <c r="E203" s="424"/>
      <c r="F203" s="424"/>
      <c r="G203" s="412" t="s">
        <v>344</v>
      </c>
      <c r="H203" s="424" t="s">
        <v>525</v>
      </c>
      <c r="I203" s="424"/>
      <c r="J203" s="425">
        <v>332429.94</v>
      </c>
      <c r="K203" s="425"/>
      <c r="L203" s="425"/>
      <c r="M203" s="425"/>
      <c r="N203" s="425">
        <v>112910.29</v>
      </c>
      <c r="O203" s="425"/>
      <c r="P203" s="426">
        <v>219519.65</v>
      </c>
      <c r="Q203" s="426"/>
      <c r="R203" s="426"/>
      <c r="T203" s="164">
        <v>112910.29</v>
      </c>
      <c r="U203" s="164">
        <f>N203-T203</f>
        <v>0</v>
      </c>
    </row>
    <row r="204" spans="1:21" ht="12">
      <c r="A204" s="424" t="s">
        <v>30</v>
      </c>
      <c r="B204" s="424"/>
      <c r="C204" s="424"/>
      <c r="D204" s="424" t="s">
        <v>524</v>
      </c>
      <c r="E204" s="424"/>
      <c r="F204" s="424"/>
      <c r="G204" s="412" t="s">
        <v>344</v>
      </c>
      <c r="H204" s="424" t="s">
        <v>525</v>
      </c>
      <c r="I204" s="424"/>
      <c r="J204" s="425">
        <v>84577.3</v>
      </c>
      <c r="K204" s="425"/>
      <c r="L204" s="425"/>
      <c r="M204" s="425"/>
      <c r="N204" s="425">
        <v>51462</v>
      </c>
      <c r="O204" s="425"/>
      <c r="P204" s="426">
        <v>33115.3</v>
      </c>
      <c r="Q204" s="426"/>
      <c r="R204" s="426"/>
      <c r="T204" s="164">
        <v>51462</v>
      </c>
      <c r="U204" s="164">
        <f>N204-T204</f>
        <v>0</v>
      </c>
    </row>
    <row r="205" spans="1:21" ht="12">
      <c r="A205" s="424" t="s">
        <v>36</v>
      </c>
      <c r="B205" s="424"/>
      <c r="C205" s="424"/>
      <c r="D205" s="424" t="s">
        <v>524</v>
      </c>
      <c r="E205" s="424"/>
      <c r="F205" s="424"/>
      <c r="G205" s="412" t="s">
        <v>344</v>
      </c>
      <c r="H205" s="424" t="s">
        <v>525</v>
      </c>
      <c r="I205" s="424"/>
      <c r="J205" s="425">
        <v>35524</v>
      </c>
      <c r="K205" s="425"/>
      <c r="L205" s="425"/>
      <c r="M205" s="425"/>
      <c r="N205" s="425">
        <v>16377.45</v>
      </c>
      <c r="O205" s="425"/>
      <c r="P205" s="426">
        <v>19146.55</v>
      </c>
      <c r="Q205" s="426"/>
      <c r="R205" s="426"/>
      <c r="T205" s="164">
        <v>16377.45</v>
      </c>
      <c r="U205" s="164">
        <f>N205-T205</f>
        <v>0</v>
      </c>
    </row>
    <row r="206" spans="1:21" ht="10.5">
      <c r="A206" s="296"/>
      <c r="B206" s="296"/>
      <c r="C206" s="296"/>
      <c r="D206" s="296"/>
      <c r="E206" s="296"/>
      <c r="F206" s="296"/>
      <c r="G206" s="296"/>
      <c r="H206" s="296"/>
      <c r="I206" s="296"/>
      <c r="J206" s="296"/>
      <c r="K206" s="296"/>
      <c r="L206" s="296"/>
      <c r="M206" s="296"/>
      <c r="N206" s="296"/>
      <c r="O206" s="296"/>
      <c r="P206" s="296"/>
      <c r="Q206" s="296"/>
      <c r="R206" s="296"/>
      <c r="T206" s="164"/>
      <c r="U206" s="164"/>
    </row>
    <row r="207" spans="1:21" ht="12" thickBot="1">
      <c r="A207" s="291"/>
      <c r="B207" s="291"/>
      <c r="C207" s="291"/>
      <c r="D207" s="291"/>
      <c r="E207" s="291"/>
      <c r="F207" s="291"/>
      <c r="G207" s="291"/>
      <c r="H207" s="291"/>
      <c r="I207" s="291"/>
      <c r="J207" s="429">
        <v>973775.24</v>
      </c>
      <c r="K207" s="429"/>
      <c r="L207" s="429"/>
      <c r="M207" s="429"/>
      <c r="N207" s="429">
        <v>480578.75</v>
      </c>
      <c r="O207" s="429"/>
      <c r="P207" s="429">
        <v>493196.49</v>
      </c>
      <c r="Q207" s="429"/>
      <c r="R207" s="429"/>
      <c r="T207" s="164"/>
      <c r="U207" s="164"/>
    </row>
    <row r="208" spans="1:18" ht="11.25" thickTop="1">
      <c r="A208" s="297"/>
      <c r="B208" s="297"/>
      <c r="C208" s="297"/>
      <c r="D208" s="297"/>
      <c r="E208" s="297"/>
      <c r="F208" s="297"/>
      <c r="G208" s="297"/>
      <c r="H208" s="297"/>
      <c r="I208" s="297"/>
      <c r="J208" s="297"/>
      <c r="K208" s="297"/>
      <c r="L208" s="297"/>
      <c r="M208" s="297"/>
      <c r="N208" s="297"/>
      <c r="O208" s="297"/>
      <c r="P208" s="297"/>
      <c r="Q208" s="297"/>
      <c r="R208" s="297"/>
    </row>
    <row r="209" spans="1:18" ht="12">
      <c r="A209" s="427" t="s">
        <v>530</v>
      </c>
      <c r="B209" s="427"/>
      <c r="C209" s="427"/>
      <c r="D209" s="427"/>
      <c r="E209" s="427"/>
      <c r="F209" s="427"/>
      <c r="G209" s="427"/>
      <c r="H209" s="427"/>
      <c r="I209" s="291"/>
      <c r="J209" s="433">
        <v>7713702.88</v>
      </c>
      <c r="K209" s="433"/>
      <c r="L209" s="433"/>
      <c r="M209" s="433"/>
      <c r="N209" s="433">
        <v>4476431.92</v>
      </c>
      <c r="O209" s="433"/>
      <c r="P209" s="429">
        <v>3237270.96</v>
      </c>
      <c r="Q209" s="429"/>
      <c r="R209" s="429"/>
    </row>
    <row r="210" spans="1:18" ht="12">
      <c r="A210" s="431"/>
      <c r="B210" s="431"/>
      <c r="C210" s="431"/>
      <c r="D210" s="431"/>
      <c r="E210" s="431"/>
      <c r="F210" s="431"/>
      <c r="G210" s="431"/>
      <c r="H210" s="431"/>
      <c r="I210" s="291"/>
      <c r="J210" s="432"/>
      <c r="K210" s="432"/>
      <c r="L210" s="432"/>
      <c r="M210" s="432"/>
      <c r="N210" s="432"/>
      <c r="O210" s="432"/>
      <c r="P210" s="411"/>
      <c r="Q210" s="411"/>
      <c r="R210" s="411"/>
    </row>
    <row r="213" ht="10.5">
      <c r="P213" s="403">
        <f>P70+P104+P173+P209+P113</f>
        <v>5686062.71</v>
      </c>
    </row>
  </sheetData>
  <sheetProtection/>
  <mergeCells count="919">
    <mergeCell ref="A205:C205"/>
    <mergeCell ref="D205:F205"/>
    <mergeCell ref="H205:I205"/>
    <mergeCell ref="J205:M205"/>
    <mergeCell ref="N205:O205"/>
    <mergeCell ref="P205:R205"/>
    <mergeCell ref="J207:M207"/>
    <mergeCell ref="N207:O207"/>
    <mergeCell ref="P207:R207"/>
    <mergeCell ref="P177:Q177"/>
    <mergeCell ref="D186:M186"/>
    <mergeCell ref="E187:I188"/>
    <mergeCell ref="A188:B188"/>
    <mergeCell ref="P188:Q188"/>
    <mergeCell ref="A195:C195"/>
    <mergeCell ref="D195:F195"/>
    <mergeCell ref="H195:I195"/>
    <mergeCell ref="J195:M195"/>
    <mergeCell ref="N195:O195"/>
    <mergeCell ref="P195:R195"/>
    <mergeCell ref="A194:C194"/>
    <mergeCell ref="D194:F194"/>
    <mergeCell ref="H194:I194"/>
    <mergeCell ref="J194:M194"/>
    <mergeCell ref="N194:O194"/>
    <mergeCell ref="P194:R194"/>
    <mergeCell ref="H191:I191"/>
    <mergeCell ref="J191:M191"/>
    <mergeCell ref="N191:O191"/>
    <mergeCell ref="P191:R191"/>
    <mergeCell ref="A190:C190"/>
    <mergeCell ref="D190:F190"/>
    <mergeCell ref="H190:I190"/>
    <mergeCell ref="P178:Q178"/>
    <mergeCell ref="A183:C183"/>
    <mergeCell ref="D183:F183"/>
    <mergeCell ref="H183:I183"/>
    <mergeCell ref="J183:M183"/>
    <mergeCell ref="N183:O183"/>
    <mergeCell ref="P183:R183"/>
    <mergeCell ref="J179:M179"/>
    <mergeCell ref="N179:O179"/>
    <mergeCell ref="J178:M178"/>
    <mergeCell ref="N178:O178"/>
    <mergeCell ref="A179:C179"/>
    <mergeCell ref="D179:F179"/>
    <mergeCell ref="H179:I179"/>
    <mergeCell ref="P179:R179"/>
    <mergeCell ref="P181:R181"/>
    <mergeCell ref="P182:R182"/>
    <mergeCell ref="P171:R171"/>
    <mergeCell ref="A173:H173"/>
    <mergeCell ref="J173:M173"/>
    <mergeCell ref="N173:O173"/>
    <mergeCell ref="P173:R173"/>
    <mergeCell ref="A174:B175"/>
    <mergeCell ref="C174:K174"/>
    <mergeCell ref="B176:C176"/>
    <mergeCell ref="D176:M176"/>
    <mergeCell ref="P169:R169"/>
    <mergeCell ref="P155:Q155"/>
    <mergeCell ref="B154:C154"/>
    <mergeCell ref="J157:M157"/>
    <mergeCell ref="N157:O157"/>
    <mergeCell ref="A157:C157"/>
    <mergeCell ref="D157:F157"/>
    <mergeCell ref="H157:I157"/>
    <mergeCell ref="P157:R157"/>
    <mergeCell ref="A159:C159"/>
    <mergeCell ref="D159:F159"/>
    <mergeCell ref="H159:I159"/>
    <mergeCell ref="J159:M159"/>
    <mergeCell ref="N159:O159"/>
    <mergeCell ref="P159:R159"/>
    <mergeCell ref="A158:C158"/>
    <mergeCell ref="D158:F158"/>
    <mergeCell ref="H158:I158"/>
    <mergeCell ref="J158:M158"/>
    <mergeCell ref="N158:O158"/>
    <mergeCell ref="P158:R158"/>
    <mergeCell ref="A161:C161"/>
    <mergeCell ref="D161:F161"/>
    <mergeCell ref="H161:I161"/>
    <mergeCell ref="N113:O113"/>
    <mergeCell ref="P113:R113"/>
    <mergeCell ref="A115:H115"/>
    <mergeCell ref="J115:M115"/>
    <mergeCell ref="N115:O115"/>
    <mergeCell ref="P115:R115"/>
    <mergeCell ref="A116:B117"/>
    <mergeCell ref="C116:K116"/>
    <mergeCell ref="B118:C118"/>
    <mergeCell ref="D118:M118"/>
    <mergeCell ref="N5:O5"/>
    <mergeCell ref="P5:Q5"/>
    <mergeCell ref="A6:B6"/>
    <mergeCell ref="J6:M6"/>
    <mergeCell ref="N6:O6"/>
    <mergeCell ref="P6:Q6"/>
    <mergeCell ref="P10:R10"/>
    <mergeCell ref="A2:B3"/>
    <mergeCell ref="C2:K2"/>
    <mergeCell ref="B4:C4"/>
    <mergeCell ref="D4:M4"/>
    <mergeCell ref="A5:B5"/>
    <mergeCell ref="E5:I6"/>
    <mergeCell ref="J5:M5"/>
    <mergeCell ref="A7:C7"/>
    <mergeCell ref="D7:F7"/>
    <mergeCell ref="H7:I7"/>
    <mergeCell ref="J7:M7"/>
    <mergeCell ref="P12:R12"/>
    <mergeCell ref="A8:C8"/>
    <mergeCell ref="D8:F8"/>
    <mergeCell ref="H8:I8"/>
    <mergeCell ref="J8:M8"/>
    <mergeCell ref="N8:O8"/>
    <mergeCell ref="P8:R8"/>
    <mergeCell ref="N7:O7"/>
    <mergeCell ref="P7:R7"/>
    <mergeCell ref="A13:B14"/>
    <mergeCell ref="C13:K13"/>
    <mergeCell ref="B15:C15"/>
    <mergeCell ref="D15:M15"/>
    <mergeCell ref="A16:B16"/>
    <mergeCell ref="E16:I17"/>
    <mergeCell ref="J16:M16"/>
    <mergeCell ref="J10:M10"/>
    <mergeCell ref="N10:O10"/>
    <mergeCell ref="A12:H12"/>
    <mergeCell ref="J12:M12"/>
    <mergeCell ref="N12:O12"/>
    <mergeCell ref="A18:C18"/>
    <mergeCell ref="D18:F18"/>
    <mergeCell ref="H18:I18"/>
    <mergeCell ref="J18:M18"/>
    <mergeCell ref="N18:O18"/>
    <mergeCell ref="P18:R18"/>
    <mergeCell ref="N16:O16"/>
    <mergeCell ref="P16:Q16"/>
    <mergeCell ref="A17:B17"/>
    <mergeCell ref="J17:M17"/>
    <mergeCell ref="N17:O17"/>
    <mergeCell ref="P17:Q17"/>
    <mergeCell ref="A20:C20"/>
    <mergeCell ref="D20:F20"/>
    <mergeCell ref="H20:I20"/>
    <mergeCell ref="J20:M20"/>
    <mergeCell ref="N20:O20"/>
    <mergeCell ref="P20:R20"/>
    <mergeCell ref="A19:C19"/>
    <mergeCell ref="D19:F19"/>
    <mergeCell ref="H19:I19"/>
    <mergeCell ref="J19:M19"/>
    <mergeCell ref="N19:O19"/>
    <mergeCell ref="P19:R19"/>
    <mergeCell ref="A22:C22"/>
    <mergeCell ref="D22:F22"/>
    <mergeCell ref="H22:I22"/>
    <mergeCell ref="J22:M22"/>
    <mergeCell ref="N22:O22"/>
    <mergeCell ref="P22:R22"/>
    <mergeCell ref="A21:C21"/>
    <mergeCell ref="D21:F21"/>
    <mergeCell ref="H21:I21"/>
    <mergeCell ref="J21:M21"/>
    <mergeCell ref="N21:O21"/>
    <mergeCell ref="P21:R21"/>
    <mergeCell ref="A24:C24"/>
    <mergeCell ref="D24:F24"/>
    <mergeCell ref="H24:I24"/>
    <mergeCell ref="J24:M24"/>
    <mergeCell ref="N24:O24"/>
    <mergeCell ref="P24:R24"/>
    <mergeCell ref="A23:C23"/>
    <mergeCell ref="D23:F23"/>
    <mergeCell ref="H23:I23"/>
    <mergeCell ref="J23:M23"/>
    <mergeCell ref="N23:O23"/>
    <mergeCell ref="P23:R23"/>
    <mergeCell ref="A26:C26"/>
    <mergeCell ref="D26:F26"/>
    <mergeCell ref="H26:I26"/>
    <mergeCell ref="J26:M26"/>
    <mergeCell ref="N26:O26"/>
    <mergeCell ref="P26:R26"/>
    <mergeCell ref="A25:C25"/>
    <mergeCell ref="D25:F25"/>
    <mergeCell ref="H25:I25"/>
    <mergeCell ref="J25:M25"/>
    <mergeCell ref="N25:O25"/>
    <mergeCell ref="P25:R25"/>
    <mergeCell ref="A28:C28"/>
    <mergeCell ref="D28:F28"/>
    <mergeCell ref="H28:I28"/>
    <mergeCell ref="J28:M28"/>
    <mergeCell ref="N28:O28"/>
    <mergeCell ref="P28:R28"/>
    <mergeCell ref="A27:C27"/>
    <mergeCell ref="D27:F27"/>
    <mergeCell ref="H27:I27"/>
    <mergeCell ref="J27:M27"/>
    <mergeCell ref="N27:O27"/>
    <mergeCell ref="P27:R27"/>
    <mergeCell ref="A30:C30"/>
    <mergeCell ref="D30:F30"/>
    <mergeCell ref="H30:I30"/>
    <mergeCell ref="J30:M30"/>
    <mergeCell ref="N30:O30"/>
    <mergeCell ref="P30:R30"/>
    <mergeCell ref="A29:C29"/>
    <mergeCell ref="D29:F29"/>
    <mergeCell ref="H29:I29"/>
    <mergeCell ref="J29:M29"/>
    <mergeCell ref="N29:O29"/>
    <mergeCell ref="P29:R29"/>
    <mergeCell ref="J32:M32"/>
    <mergeCell ref="N32:O32"/>
    <mergeCell ref="B33:C33"/>
    <mergeCell ref="D33:M33"/>
    <mergeCell ref="A34:B34"/>
    <mergeCell ref="E34:I35"/>
    <mergeCell ref="J34:M34"/>
    <mergeCell ref="N34:O34"/>
    <mergeCell ref="P34:Q34"/>
    <mergeCell ref="A35:B35"/>
    <mergeCell ref="J35:M35"/>
    <mergeCell ref="N35:O35"/>
    <mergeCell ref="P35:Q35"/>
    <mergeCell ref="P32:R32"/>
    <mergeCell ref="A36:C36"/>
    <mergeCell ref="D36:F36"/>
    <mergeCell ref="H36:I36"/>
    <mergeCell ref="J36:M36"/>
    <mergeCell ref="N36:O36"/>
    <mergeCell ref="P36:R36"/>
    <mergeCell ref="A38:C38"/>
    <mergeCell ref="D38:F38"/>
    <mergeCell ref="H38:I38"/>
    <mergeCell ref="J38:M38"/>
    <mergeCell ref="N38:O38"/>
    <mergeCell ref="P38:R38"/>
    <mergeCell ref="A37:C37"/>
    <mergeCell ref="D37:F37"/>
    <mergeCell ref="H37:I37"/>
    <mergeCell ref="J37:M37"/>
    <mergeCell ref="N37:O37"/>
    <mergeCell ref="P37:R37"/>
    <mergeCell ref="A40:C40"/>
    <mergeCell ref="D40:F40"/>
    <mergeCell ref="H40:I40"/>
    <mergeCell ref="J40:M40"/>
    <mergeCell ref="N40:O40"/>
    <mergeCell ref="P40:R40"/>
    <mergeCell ref="A39:C39"/>
    <mergeCell ref="D39:F39"/>
    <mergeCell ref="H39:I39"/>
    <mergeCell ref="J39:M39"/>
    <mergeCell ref="N39:O39"/>
    <mergeCell ref="P39:R39"/>
    <mergeCell ref="A42:C42"/>
    <mergeCell ref="D42:F42"/>
    <mergeCell ref="H42:I42"/>
    <mergeCell ref="J42:M42"/>
    <mergeCell ref="N42:O42"/>
    <mergeCell ref="P42:R42"/>
    <mergeCell ref="A41:C41"/>
    <mergeCell ref="D41:F41"/>
    <mergeCell ref="H41:I41"/>
    <mergeCell ref="J41:M41"/>
    <mergeCell ref="N41:O41"/>
    <mergeCell ref="P41:R41"/>
    <mergeCell ref="A44:C44"/>
    <mergeCell ref="D44:F44"/>
    <mergeCell ref="H44:I44"/>
    <mergeCell ref="J44:M44"/>
    <mergeCell ref="N44:O44"/>
    <mergeCell ref="P44:R44"/>
    <mergeCell ref="A43:C43"/>
    <mergeCell ref="D43:F43"/>
    <mergeCell ref="H43:I43"/>
    <mergeCell ref="J43:M43"/>
    <mergeCell ref="N43:O43"/>
    <mergeCell ref="P43:R43"/>
    <mergeCell ref="A46:C46"/>
    <mergeCell ref="D46:F46"/>
    <mergeCell ref="H46:I46"/>
    <mergeCell ref="J46:M46"/>
    <mergeCell ref="N46:O46"/>
    <mergeCell ref="P46:R46"/>
    <mergeCell ref="A45:C45"/>
    <mergeCell ref="D45:F45"/>
    <mergeCell ref="H45:I45"/>
    <mergeCell ref="J45:M45"/>
    <mergeCell ref="N45:O45"/>
    <mergeCell ref="P45:R45"/>
    <mergeCell ref="A48:C48"/>
    <mergeCell ref="D48:F48"/>
    <mergeCell ref="H48:I48"/>
    <mergeCell ref="J48:M48"/>
    <mergeCell ref="N48:O48"/>
    <mergeCell ref="P48:R48"/>
    <mergeCell ref="A47:C47"/>
    <mergeCell ref="D47:F47"/>
    <mergeCell ref="H47:I47"/>
    <mergeCell ref="J47:M47"/>
    <mergeCell ref="N47:O47"/>
    <mergeCell ref="P47:R47"/>
    <mergeCell ref="J50:M50"/>
    <mergeCell ref="N50:O50"/>
    <mergeCell ref="B51:C51"/>
    <mergeCell ref="D51:M51"/>
    <mergeCell ref="A52:B52"/>
    <mergeCell ref="E52:I53"/>
    <mergeCell ref="J52:M52"/>
    <mergeCell ref="N52:O52"/>
    <mergeCell ref="P52:Q52"/>
    <mergeCell ref="P50:R50"/>
    <mergeCell ref="A55:C55"/>
    <mergeCell ref="D55:F55"/>
    <mergeCell ref="H55:I55"/>
    <mergeCell ref="J55:M55"/>
    <mergeCell ref="N55:O55"/>
    <mergeCell ref="P55:R55"/>
    <mergeCell ref="A53:B53"/>
    <mergeCell ref="J53:M53"/>
    <mergeCell ref="N53:O53"/>
    <mergeCell ref="P53:Q53"/>
    <mergeCell ref="A54:C54"/>
    <mergeCell ref="D54:F54"/>
    <mergeCell ref="H54:I54"/>
    <mergeCell ref="J54:M54"/>
    <mergeCell ref="N54:O54"/>
    <mergeCell ref="P54:R54"/>
    <mergeCell ref="A57:C57"/>
    <mergeCell ref="D57:F57"/>
    <mergeCell ref="H57:I57"/>
    <mergeCell ref="J57:M57"/>
    <mergeCell ref="N57:O57"/>
    <mergeCell ref="P57:R57"/>
    <mergeCell ref="A56:C56"/>
    <mergeCell ref="D56:F56"/>
    <mergeCell ref="H56:I56"/>
    <mergeCell ref="J56:M56"/>
    <mergeCell ref="N56:O56"/>
    <mergeCell ref="P56:R56"/>
    <mergeCell ref="A59:C59"/>
    <mergeCell ref="D59:F59"/>
    <mergeCell ref="H59:I59"/>
    <mergeCell ref="J59:M59"/>
    <mergeCell ref="N59:O59"/>
    <mergeCell ref="P59:R59"/>
    <mergeCell ref="A58:C58"/>
    <mergeCell ref="D58:F58"/>
    <mergeCell ref="H58:I58"/>
    <mergeCell ref="J58:M58"/>
    <mergeCell ref="N58:O58"/>
    <mergeCell ref="P58:R58"/>
    <mergeCell ref="A61:C61"/>
    <mergeCell ref="D61:F61"/>
    <mergeCell ref="H61:I61"/>
    <mergeCell ref="J61:M61"/>
    <mergeCell ref="N61:O61"/>
    <mergeCell ref="P61:R61"/>
    <mergeCell ref="A60:C60"/>
    <mergeCell ref="D60:F60"/>
    <mergeCell ref="H60:I60"/>
    <mergeCell ref="J60:M60"/>
    <mergeCell ref="N60:O60"/>
    <mergeCell ref="P60:R60"/>
    <mergeCell ref="A63:C63"/>
    <mergeCell ref="D63:F63"/>
    <mergeCell ref="H63:I63"/>
    <mergeCell ref="J63:M63"/>
    <mergeCell ref="N63:O63"/>
    <mergeCell ref="P63:R63"/>
    <mergeCell ref="A62:C62"/>
    <mergeCell ref="D62:F62"/>
    <mergeCell ref="H62:I62"/>
    <mergeCell ref="J62:M62"/>
    <mergeCell ref="N62:O62"/>
    <mergeCell ref="P62:R62"/>
    <mergeCell ref="A65:C65"/>
    <mergeCell ref="D65:F65"/>
    <mergeCell ref="H65:I65"/>
    <mergeCell ref="J65:M65"/>
    <mergeCell ref="N65:O65"/>
    <mergeCell ref="P65:R65"/>
    <mergeCell ref="A64:C64"/>
    <mergeCell ref="D64:F64"/>
    <mergeCell ref="H64:I64"/>
    <mergeCell ref="J64:M64"/>
    <mergeCell ref="N64:O64"/>
    <mergeCell ref="P64:R64"/>
    <mergeCell ref="P68:R68"/>
    <mergeCell ref="A70:H70"/>
    <mergeCell ref="J70:M70"/>
    <mergeCell ref="N70:O70"/>
    <mergeCell ref="A66:C66"/>
    <mergeCell ref="D66:F66"/>
    <mergeCell ref="H66:I66"/>
    <mergeCell ref="J66:M66"/>
    <mergeCell ref="N66:O66"/>
    <mergeCell ref="P66:R66"/>
    <mergeCell ref="P70:R70"/>
    <mergeCell ref="A71:B72"/>
    <mergeCell ref="C71:K71"/>
    <mergeCell ref="B73:C73"/>
    <mergeCell ref="D73:M73"/>
    <mergeCell ref="A74:B74"/>
    <mergeCell ref="E74:I75"/>
    <mergeCell ref="J74:M74"/>
    <mergeCell ref="J68:M68"/>
    <mergeCell ref="N68:O68"/>
    <mergeCell ref="A76:C76"/>
    <mergeCell ref="D76:F76"/>
    <mergeCell ref="H76:I76"/>
    <mergeCell ref="J76:M76"/>
    <mergeCell ref="N76:O76"/>
    <mergeCell ref="P76:R76"/>
    <mergeCell ref="N74:O74"/>
    <mergeCell ref="P74:Q74"/>
    <mergeCell ref="A75:B75"/>
    <mergeCell ref="J75:M75"/>
    <mergeCell ref="N75:O75"/>
    <mergeCell ref="P75:Q75"/>
    <mergeCell ref="A78:C78"/>
    <mergeCell ref="D78:F78"/>
    <mergeCell ref="H78:I78"/>
    <mergeCell ref="J78:M78"/>
    <mergeCell ref="N78:O78"/>
    <mergeCell ref="P78:R78"/>
    <mergeCell ref="A77:C77"/>
    <mergeCell ref="D77:F77"/>
    <mergeCell ref="H77:I77"/>
    <mergeCell ref="J77:M77"/>
    <mergeCell ref="N77:O77"/>
    <mergeCell ref="P77:R77"/>
    <mergeCell ref="A80:C80"/>
    <mergeCell ref="D80:F80"/>
    <mergeCell ref="H80:I80"/>
    <mergeCell ref="J80:M80"/>
    <mergeCell ref="N80:O80"/>
    <mergeCell ref="P80:R80"/>
    <mergeCell ref="A79:C79"/>
    <mergeCell ref="D79:F79"/>
    <mergeCell ref="H79:I79"/>
    <mergeCell ref="J79:M79"/>
    <mergeCell ref="N79:O79"/>
    <mergeCell ref="P79:R79"/>
    <mergeCell ref="J82:M82"/>
    <mergeCell ref="N82:O82"/>
    <mergeCell ref="P82:R82"/>
    <mergeCell ref="B83:C83"/>
    <mergeCell ref="D83:M83"/>
    <mergeCell ref="A84:B84"/>
    <mergeCell ref="E84:I85"/>
    <mergeCell ref="J84:M84"/>
    <mergeCell ref="N84:O84"/>
    <mergeCell ref="P84:Q84"/>
    <mergeCell ref="A85:B85"/>
    <mergeCell ref="J85:M85"/>
    <mergeCell ref="N85:O85"/>
    <mergeCell ref="P85:Q85"/>
    <mergeCell ref="A86:C86"/>
    <mergeCell ref="D86:F86"/>
    <mergeCell ref="H86:I86"/>
    <mergeCell ref="J86:M86"/>
    <mergeCell ref="N86:O86"/>
    <mergeCell ref="P86:R86"/>
    <mergeCell ref="A88:C88"/>
    <mergeCell ref="D88:F88"/>
    <mergeCell ref="H88:I88"/>
    <mergeCell ref="J88:M88"/>
    <mergeCell ref="N88:O88"/>
    <mergeCell ref="P88:R88"/>
    <mergeCell ref="A87:C87"/>
    <mergeCell ref="D87:F87"/>
    <mergeCell ref="H87:I87"/>
    <mergeCell ref="J87:M87"/>
    <mergeCell ref="N87:O87"/>
    <mergeCell ref="P87:R87"/>
    <mergeCell ref="A90:C90"/>
    <mergeCell ref="D90:F90"/>
    <mergeCell ref="H90:I90"/>
    <mergeCell ref="J90:M90"/>
    <mergeCell ref="N90:O90"/>
    <mergeCell ref="P90:R90"/>
    <mergeCell ref="A89:C89"/>
    <mergeCell ref="D89:F89"/>
    <mergeCell ref="H89:I89"/>
    <mergeCell ref="J89:M89"/>
    <mergeCell ref="N89:O89"/>
    <mergeCell ref="P89:R89"/>
    <mergeCell ref="J96:M96"/>
    <mergeCell ref="N96:O96"/>
    <mergeCell ref="A96:C96"/>
    <mergeCell ref="D96:F96"/>
    <mergeCell ref="H96:I96"/>
    <mergeCell ref="P96:R96"/>
    <mergeCell ref="J92:M92"/>
    <mergeCell ref="N92:O92"/>
    <mergeCell ref="P92:R92"/>
    <mergeCell ref="B93:C93"/>
    <mergeCell ref="D93:M93"/>
    <mergeCell ref="A94:B94"/>
    <mergeCell ref="E94:I95"/>
    <mergeCell ref="P94:Q94"/>
    <mergeCell ref="A95:B95"/>
    <mergeCell ref="J95:M95"/>
    <mergeCell ref="N95:O95"/>
    <mergeCell ref="P95:Q95"/>
    <mergeCell ref="J94:M94"/>
    <mergeCell ref="N94:O94"/>
    <mergeCell ref="J97:M97"/>
    <mergeCell ref="N97:O97"/>
    <mergeCell ref="A98:C98"/>
    <mergeCell ref="D98:F98"/>
    <mergeCell ref="H98:I98"/>
    <mergeCell ref="J98:M98"/>
    <mergeCell ref="N98:O98"/>
    <mergeCell ref="P98:R98"/>
    <mergeCell ref="A97:C97"/>
    <mergeCell ref="D97:F97"/>
    <mergeCell ref="H97:I97"/>
    <mergeCell ref="P97:R97"/>
    <mergeCell ref="A100:C100"/>
    <mergeCell ref="D100:F100"/>
    <mergeCell ref="H100:I100"/>
    <mergeCell ref="J100:M100"/>
    <mergeCell ref="N100:O100"/>
    <mergeCell ref="P100:R100"/>
    <mergeCell ref="A99:C99"/>
    <mergeCell ref="D99:F99"/>
    <mergeCell ref="H99:I99"/>
    <mergeCell ref="J99:M99"/>
    <mergeCell ref="N99:O99"/>
    <mergeCell ref="P99:R99"/>
    <mergeCell ref="J104:M104"/>
    <mergeCell ref="N104:O104"/>
    <mergeCell ref="P104:R104"/>
    <mergeCell ref="J102:M102"/>
    <mergeCell ref="N102:O102"/>
    <mergeCell ref="P102:R102"/>
    <mergeCell ref="A104:H104"/>
    <mergeCell ref="A105:B106"/>
    <mergeCell ref="C105:K105"/>
    <mergeCell ref="B107:C107"/>
    <mergeCell ref="D107:M107"/>
    <mergeCell ref="A108:B108"/>
    <mergeCell ref="E108:I109"/>
    <mergeCell ref="J108:M108"/>
    <mergeCell ref="N108:O108"/>
    <mergeCell ref="P108:Q108"/>
    <mergeCell ref="A109:B109"/>
    <mergeCell ref="J109:M109"/>
    <mergeCell ref="N109:O109"/>
    <mergeCell ref="P109:Q109"/>
    <mergeCell ref="N120:O120"/>
    <mergeCell ref="J121:M121"/>
    <mergeCell ref="N121:O121"/>
    <mergeCell ref="J120:M120"/>
    <mergeCell ref="A119:B119"/>
    <mergeCell ref="J119:M119"/>
    <mergeCell ref="N119:O119"/>
    <mergeCell ref="P119:Q119"/>
    <mergeCell ref="A121:C121"/>
    <mergeCell ref="D121:F121"/>
    <mergeCell ref="H121:I121"/>
    <mergeCell ref="P121:R121"/>
    <mergeCell ref="E119:I120"/>
    <mergeCell ref="A120:B120"/>
    <mergeCell ref="P120:Q120"/>
    <mergeCell ref="A123:C123"/>
    <mergeCell ref="D123:F123"/>
    <mergeCell ref="H123:I123"/>
    <mergeCell ref="J123:M123"/>
    <mergeCell ref="N123:O123"/>
    <mergeCell ref="P123:R123"/>
    <mergeCell ref="A122:C122"/>
    <mergeCell ref="D122:F122"/>
    <mergeCell ref="H122:I122"/>
    <mergeCell ref="J122:M122"/>
    <mergeCell ref="N122:O122"/>
    <mergeCell ref="P122:R122"/>
    <mergeCell ref="A125:C125"/>
    <mergeCell ref="D125:F125"/>
    <mergeCell ref="H125:I125"/>
    <mergeCell ref="J125:M125"/>
    <mergeCell ref="N125:O125"/>
    <mergeCell ref="P125:R125"/>
    <mergeCell ref="A124:C124"/>
    <mergeCell ref="D124:F124"/>
    <mergeCell ref="H124:I124"/>
    <mergeCell ref="J124:M124"/>
    <mergeCell ref="N124:O124"/>
    <mergeCell ref="P124:R124"/>
    <mergeCell ref="A127:C127"/>
    <mergeCell ref="D127:F127"/>
    <mergeCell ref="H127:I127"/>
    <mergeCell ref="J127:M127"/>
    <mergeCell ref="N127:O127"/>
    <mergeCell ref="P127:R127"/>
    <mergeCell ref="A126:C126"/>
    <mergeCell ref="D126:F126"/>
    <mergeCell ref="H126:I126"/>
    <mergeCell ref="J126:M126"/>
    <mergeCell ref="N126:O126"/>
    <mergeCell ref="P126:R126"/>
    <mergeCell ref="A128:C128"/>
    <mergeCell ref="D128:F128"/>
    <mergeCell ref="H128:I128"/>
    <mergeCell ref="J128:M128"/>
    <mergeCell ref="N128:O128"/>
    <mergeCell ref="P128:R128"/>
    <mergeCell ref="A131:C131"/>
    <mergeCell ref="D131:F131"/>
    <mergeCell ref="H131:I131"/>
    <mergeCell ref="J131:M131"/>
    <mergeCell ref="N131:O131"/>
    <mergeCell ref="P131:R131"/>
    <mergeCell ref="A130:C130"/>
    <mergeCell ref="D130:F130"/>
    <mergeCell ref="H130:I130"/>
    <mergeCell ref="J130:M130"/>
    <mergeCell ref="N130:O130"/>
    <mergeCell ref="P130:R130"/>
    <mergeCell ref="J135:M135"/>
    <mergeCell ref="N135:O135"/>
    <mergeCell ref="P135:R135"/>
    <mergeCell ref="B136:C136"/>
    <mergeCell ref="D136:M136"/>
    <mergeCell ref="E137:I138"/>
    <mergeCell ref="A138:B138"/>
    <mergeCell ref="P138:Q138"/>
    <mergeCell ref="A129:C129"/>
    <mergeCell ref="D129:F129"/>
    <mergeCell ref="H129:I129"/>
    <mergeCell ref="J129:M129"/>
    <mergeCell ref="N129:O129"/>
    <mergeCell ref="P129:R129"/>
    <mergeCell ref="A139:C139"/>
    <mergeCell ref="D139:F139"/>
    <mergeCell ref="H139:I139"/>
    <mergeCell ref="P139:R139"/>
    <mergeCell ref="D132:F132"/>
    <mergeCell ref="H132:I132"/>
    <mergeCell ref="J132:M132"/>
    <mergeCell ref="N132:O132"/>
    <mergeCell ref="P132:R132"/>
    <mergeCell ref="J138:M138"/>
    <mergeCell ref="N138:O138"/>
    <mergeCell ref="J139:M139"/>
    <mergeCell ref="N139:O139"/>
    <mergeCell ref="A137:B137"/>
    <mergeCell ref="J137:M137"/>
    <mergeCell ref="N137:O137"/>
    <mergeCell ref="P137:Q137"/>
    <mergeCell ref="A132:C132"/>
    <mergeCell ref="A133:C133"/>
    <mergeCell ref="D133:F133"/>
    <mergeCell ref="H133:I133"/>
    <mergeCell ref="J133:M133"/>
    <mergeCell ref="N133:O133"/>
    <mergeCell ref="P133:R133"/>
    <mergeCell ref="A141:C141"/>
    <mergeCell ref="D141:F141"/>
    <mergeCell ref="H141:I141"/>
    <mergeCell ref="J141:M141"/>
    <mergeCell ref="N141:O141"/>
    <mergeCell ref="P141:R141"/>
    <mergeCell ref="A140:C140"/>
    <mergeCell ref="D140:F140"/>
    <mergeCell ref="H140:I140"/>
    <mergeCell ref="J140:M140"/>
    <mergeCell ref="N140:O140"/>
    <mergeCell ref="P140:R140"/>
    <mergeCell ref="A143:C143"/>
    <mergeCell ref="D143:F143"/>
    <mergeCell ref="H143:I143"/>
    <mergeCell ref="J143:M143"/>
    <mergeCell ref="N143:O143"/>
    <mergeCell ref="P143:R143"/>
    <mergeCell ref="A142:C142"/>
    <mergeCell ref="D142:F142"/>
    <mergeCell ref="H142:I142"/>
    <mergeCell ref="J142:M142"/>
    <mergeCell ref="N142:O142"/>
    <mergeCell ref="P142:R142"/>
    <mergeCell ref="A145:C145"/>
    <mergeCell ref="D145:F145"/>
    <mergeCell ref="H145:I145"/>
    <mergeCell ref="J145:M145"/>
    <mergeCell ref="N145:O145"/>
    <mergeCell ref="P145:R145"/>
    <mergeCell ref="A144:C144"/>
    <mergeCell ref="D144:F144"/>
    <mergeCell ref="H144:I144"/>
    <mergeCell ref="J144:M144"/>
    <mergeCell ref="N144:O144"/>
    <mergeCell ref="P144:R144"/>
    <mergeCell ref="A147:C147"/>
    <mergeCell ref="D147:F147"/>
    <mergeCell ref="H147:I147"/>
    <mergeCell ref="J147:M147"/>
    <mergeCell ref="N147:O147"/>
    <mergeCell ref="P147:R147"/>
    <mergeCell ref="A146:C146"/>
    <mergeCell ref="D146:F146"/>
    <mergeCell ref="H146:I146"/>
    <mergeCell ref="J146:M146"/>
    <mergeCell ref="N146:O146"/>
    <mergeCell ref="P146:R146"/>
    <mergeCell ref="A149:C149"/>
    <mergeCell ref="D149:F149"/>
    <mergeCell ref="H149:I149"/>
    <mergeCell ref="J149:M149"/>
    <mergeCell ref="N149:O149"/>
    <mergeCell ref="P149:R149"/>
    <mergeCell ref="A148:C148"/>
    <mergeCell ref="D148:F148"/>
    <mergeCell ref="H148:I148"/>
    <mergeCell ref="J148:M148"/>
    <mergeCell ref="N148:O148"/>
    <mergeCell ref="P148:R148"/>
    <mergeCell ref="P150:R150"/>
    <mergeCell ref="A150:C150"/>
    <mergeCell ref="D150:F150"/>
    <mergeCell ref="H150:I150"/>
    <mergeCell ref="J150:M150"/>
    <mergeCell ref="N150:O150"/>
    <mergeCell ref="A155:B155"/>
    <mergeCell ref="J155:M155"/>
    <mergeCell ref="N155:O155"/>
    <mergeCell ref="A151:C151"/>
    <mergeCell ref="D151:F151"/>
    <mergeCell ref="H151:I151"/>
    <mergeCell ref="J151:M151"/>
    <mergeCell ref="N151:O151"/>
    <mergeCell ref="P151:R151"/>
    <mergeCell ref="J153:M153"/>
    <mergeCell ref="N153:O153"/>
    <mergeCell ref="P153:R153"/>
    <mergeCell ref="D154:M154"/>
    <mergeCell ref="E155:I156"/>
    <mergeCell ref="A156:B156"/>
    <mergeCell ref="P156:Q156"/>
    <mergeCell ref="J161:M161"/>
    <mergeCell ref="N161:O161"/>
    <mergeCell ref="P161:R161"/>
    <mergeCell ref="A160:C160"/>
    <mergeCell ref="D160:F160"/>
    <mergeCell ref="H160:I160"/>
    <mergeCell ref="J160:M160"/>
    <mergeCell ref="N160:O160"/>
    <mergeCell ref="P160:R160"/>
    <mergeCell ref="A163:C163"/>
    <mergeCell ref="D163:F163"/>
    <mergeCell ref="H163:I163"/>
    <mergeCell ref="J163:M163"/>
    <mergeCell ref="N163:O163"/>
    <mergeCell ref="P163:R163"/>
    <mergeCell ref="A162:C162"/>
    <mergeCell ref="D162:F162"/>
    <mergeCell ref="H162:I162"/>
    <mergeCell ref="J162:M162"/>
    <mergeCell ref="N162:O162"/>
    <mergeCell ref="P162:R162"/>
    <mergeCell ref="P168:R168"/>
    <mergeCell ref="A164:C164"/>
    <mergeCell ref="D164:F164"/>
    <mergeCell ref="H164:I164"/>
    <mergeCell ref="J164:M164"/>
    <mergeCell ref="N164:O164"/>
    <mergeCell ref="P164:R164"/>
    <mergeCell ref="N166:O166"/>
    <mergeCell ref="P166:R166"/>
    <mergeCell ref="A165:C165"/>
    <mergeCell ref="D165:F165"/>
    <mergeCell ref="H165:I165"/>
    <mergeCell ref="J165:M165"/>
    <mergeCell ref="N165:O165"/>
    <mergeCell ref="P165:R165"/>
    <mergeCell ref="A167:C167"/>
    <mergeCell ref="D167:F167"/>
    <mergeCell ref="H167:I167"/>
    <mergeCell ref="J167:M167"/>
    <mergeCell ref="N167:O167"/>
    <mergeCell ref="P167:R167"/>
    <mergeCell ref="A168:C168"/>
    <mergeCell ref="D168:F168"/>
    <mergeCell ref="H168:I168"/>
    <mergeCell ref="J168:M168"/>
    <mergeCell ref="A187:B187"/>
    <mergeCell ref="J187:M187"/>
    <mergeCell ref="A181:C181"/>
    <mergeCell ref="D181:F181"/>
    <mergeCell ref="H181:I181"/>
    <mergeCell ref="J181:M181"/>
    <mergeCell ref="N181:O181"/>
    <mergeCell ref="A182:C182"/>
    <mergeCell ref="D182:F182"/>
    <mergeCell ref="H182:I182"/>
    <mergeCell ref="J182:M182"/>
    <mergeCell ref="N182:O182"/>
    <mergeCell ref="N177:O177"/>
    <mergeCell ref="N168:O168"/>
    <mergeCell ref="A169:C169"/>
    <mergeCell ref="D169:F169"/>
    <mergeCell ref="H169:I169"/>
    <mergeCell ref="J169:M169"/>
    <mergeCell ref="N169:O169"/>
    <mergeCell ref="J171:M171"/>
    <mergeCell ref="N171:O171"/>
    <mergeCell ref="E177:I178"/>
    <mergeCell ref="A178:B178"/>
    <mergeCell ref="A199:B199"/>
    <mergeCell ref="J199:M199"/>
    <mergeCell ref="N199:O199"/>
    <mergeCell ref="P199:Q199"/>
    <mergeCell ref="J197:M197"/>
    <mergeCell ref="N197:O197"/>
    <mergeCell ref="P197:R197"/>
    <mergeCell ref="B198:C198"/>
    <mergeCell ref="D198:M198"/>
    <mergeCell ref="E199:I200"/>
    <mergeCell ref="A200:B200"/>
    <mergeCell ref="P200:Q200"/>
    <mergeCell ref="A202:C202"/>
    <mergeCell ref="D202:F202"/>
    <mergeCell ref="H202:I202"/>
    <mergeCell ref="J202:M202"/>
    <mergeCell ref="N202:O202"/>
    <mergeCell ref="P202:R202"/>
    <mergeCell ref="J201:M201"/>
    <mergeCell ref="N201:O201"/>
    <mergeCell ref="J200:M200"/>
    <mergeCell ref="N200:O200"/>
    <mergeCell ref="A201:C201"/>
    <mergeCell ref="D201:F201"/>
    <mergeCell ref="H201:I201"/>
    <mergeCell ref="P201:R201"/>
    <mergeCell ref="A203:C203"/>
    <mergeCell ref="D203:F203"/>
    <mergeCell ref="H203:I203"/>
    <mergeCell ref="J203:M203"/>
    <mergeCell ref="N203:O203"/>
    <mergeCell ref="P203:R203"/>
    <mergeCell ref="A204:C204"/>
    <mergeCell ref="D204:F204"/>
    <mergeCell ref="H204:I204"/>
    <mergeCell ref="J204:M204"/>
    <mergeCell ref="N204:O204"/>
    <mergeCell ref="P204:R204"/>
    <mergeCell ref="N190:O190"/>
    <mergeCell ref="P190:R190"/>
    <mergeCell ref="A191:C191"/>
    <mergeCell ref="D191:F191"/>
    <mergeCell ref="A193:C193"/>
    <mergeCell ref="D193:F193"/>
    <mergeCell ref="H193:I193"/>
    <mergeCell ref="J193:M193"/>
    <mergeCell ref="N193:O193"/>
    <mergeCell ref="P193:R193"/>
    <mergeCell ref="A192:C192"/>
    <mergeCell ref="D192:F192"/>
    <mergeCell ref="H192:I192"/>
    <mergeCell ref="J192:M192"/>
    <mergeCell ref="N192:O192"/>
    <mergeCell ref="P192:R192"/>
    <mergeCell ref="J190:M190"/>
    <mergeCell ref="A210:H210"/>
    <mergeCell ref="J210:M210"/>
    <mergeCell ref="N210:O210"/>
    <mergeCell ref="A209:H209"/>
    <mergeCell ref="J209:M209"/>
    <mergeCell ref="N209:O209"/>
    <mergeCell ref="P209:R209"/>
    <mergeCell ref="A110:C110"/>
    <mergeCell ref="D110:F110"/>
    <mergeCell ref="H110:I110"/>
    <mergeCell ref="P110:R110"/>
    <mergeCell ref="N110:O110"/>
    <mergeCell ref="J110:M110"/>
    <mergeCell ref="A111:C111"/>
    <mergeCell ref="D111:F111"/>
    <mergeCell ref="H111:I111"/>
    <mergeCell ref="J111:M111"/>
    <mergeCell ref="N111:O111"/>
    <mergeCell ref="P111:R111"/>
    <mergeCell ref="J113:M113"/>
    <mergeCell ref="J156:M156"/>
    <mergeCell ref="N156:O156"/>
    <mergeCell ref="A177:B177"/>
    <mergeCell ref="J177:M177"/>
    <mergeCell ref="A166:C166"/>
    <mergeCell ref="D166:F166"/>
    <mergeCell ref="H166:I166"/>
    <mergeCell ref="J166:M166"/>
    <mergeCell ref="A189:C189"/>
    <mergeCell ref="D189:F189"/>
    <mergeCell ref="H189:I189"/>
    <mergeCell ref="P189:R189"/>
    <mergeCell ref="A180:C180"/>
    <mergeCell ref="D180:F180"/>
    <mergeCell ref="H180:I180"/>
    <mergeCell ref="J180:M180"/>
    <mergeCell ref="N180:O180"/>
    <mergeCell ref="P180:R180"/>
    <mergeCell ref="N187:O187"/>
    <mergeCell ref="P187:Q187"/>
    <mergeCell ref="J189:M189"/>
    <mergeCell ref="N189:O189"/>
    <mergeCell ref="J188:M188"/>
    <mergeCell ref="N188:O188"/>
    <mergeCell ref="J185:M185"/>
    <mergeCell ref="N185:O185"/>
    <mergeCell ref="P185:R185"/>
    <mergeCell ref="B186:C186"/>
  </mergeCells>
  <printOptions/>
  <pageMargins left="0.7" right="0.7" top="0.75" bottom="0.75" header="0.3" footer="0.3"/>
  <pageSetup horizontalDpi="600" verticalDpi="600" orientation="portrait" r:id="rId1"/>
  <ignoredErrors>
    <ignoredError sqref="U7:U9 U36:U48 U11:U17 T10:U10 T31:U32 T11:T17 U76 U77:U82 T82 U54:U58 U101:U102 T102 U60 U59 T45:T47 T59 T91:U92 T68:U68 T49:T53 T67:U67 U66 T29 T65:U65 U64 U63 U62 T57 U61 T86:U86 T170:T178 T43 T184:T188 T78:T80 T89:T90 T87:U88 U90 U89 U96:U100 U134:U138 T96:T98 T99:T100 U24:U30 U21:U23 T21 U18:U19 T20:U20 T18:T19 T22:T23 T192 T190 P213 U196:U200 U184:U188 U170:U178 U162:U169 U179:U183 U189:U195 U201:U205 U152:U156 U139:U151 U157:U161 U110:U133" unlockedFormula="1"/>
  </ignoredErrors>
</worksheet>
</file>

<file path=xl/worksheets/sheet5.xml><?xml version="1.0" encoding="utf-8"?>
<worksheet xmlns="http://schemas.openxmlformats.org/spreadsheetml/2006/main" xmlns:r="http://schemas.openxmlformats.org/officeDocument/2006/relationships">
  <dimension ref="A1:AP139"/>
  <sheetViews>
    <sheetView zoomScale="75" zoomScaleNormal="75" zoomScalePageLayoutView="0" workbookViewId="0" topLeftCell="A1">
      <pane xSplit="8" ySplit="26" topLeftCell="I108" activePane="bottomRight" state="frozen"/>
      <selection pane="topLeft" activeCell="A1" sqref="A1"/>
      <selection pane="topRight" activeCell="H1" sqref="H1"/>
      <selection pane="bottomLeft" activeCell="A27" sqref="A27"/>
      <selection pane="bottomRight" activeCell="H33" sqref="H33"/>
    </sheetView>
  </sheetViews>
  <sheetFormatPr defaultColWidth="9.33203125" defaultRowHeight="10.5"/>
  <cols>
    <col min="1" max="1" width="10.33203125" style="0" customWidth="1"/>
    <col min="2" max="2" width="43" style="0" customWidth="1"/>
    <col min="3" max="3" width="28.16015625" style="99" customWidth="1"/>
    <col min="4" max="4" width="14" style="0" bestFit="1" customWidth="1"/>
    <col min="5" max="5" width="23.5" style="0" bestFit="1" customWidth="1"/>
    <col min="6" max="6" width="18.66015625" style="0" bestFit="1" customWidth="1"/>
    <col min="7" max="8" width="18.83203125" style="0" bestFit="1" customWidth="1"/>
    <col min="9" max="11" width="18.66015625" style="0" bestFit="1" customWidth="1"/>
    <col min="12" max="12" width="19.66015625" style="0" bestFit="1" customWidth="1"/>
    <col min="13" max="13" width="18.66015625" style="0" bestFit="1" customWidth="1"/>
    <col min="14" max="14" width="19.66015625" style="0" bestFit="1" customWidth="1"/>
    <col min="15" max="15" width="18.66015625" style="0" bestFit="1" customWidth="1"/>
    <col min="16" max="28" width="19.83203125" style="0" bestFit="1" customWidth="1"/>
    <col min="30" max="31" width="16.33203125" style="0" bestFit="1" customWidth="1"/>
    <col min="32" max="32" width="13" style="0" bestFit="1" customWidth="1"/>
  </cols>
  <sheetData>
    <row r="1" spans="1:39" ht="12.75">
      <c r="A1" s="121" t="s">
        <v>9</v>
      </c>
      <c r="B1" s="122"/>
      <c r="C1" s="122"/>
      <c r="D1" s="122"/>
      <c r="E1" s="140"/>
      <c r="F1" s="140"/>
      <c r="G1" s="140"/>
      <c r="H1" s="140"/>
      <c r="I1" s="140"/>
      <c r="J1" s="140"/>
      <c r="K1" s="140"/>
      <c r="L1" s="140"/>
      <c r="M1" s="140"/>
      <c r="N1" s="140"/>
      <c r="O1" s="140"/>
      <c r="P1" s="140"/>
      <c r="Q1" s="140"/>
      <c r="R1" s="140"/>
      <c r="S1" s="140"/>
      <c r="T1" s="140"/>
      <c r="U1" s="140"/>
      <c r="V1" s="140"/>
      <c r="W1" s="140"/>
      <c r="X1" s="140"/>
      <c r="Y1" s="140"/>
      <c r="Z1" s="140"/>
      <c r="AA1" s="140"/>
      <c r="AB1" s="140"/>
      <c r="AC1" s="122"/>
      <c r="AD1" s="123"/>
      <c r="AE1" s="123"/>
      <c r="AF1" s="123"/>
      <c r="AG1" s="123"/>
      <c r="AH1" s="123"/>
      <c r="AI1" s="123"/>
      <c r="AJ1" s="123"/>
      <c r="AK1" s="123"/>
      <c r="AL1" s="123"/>
      <c r="AM1" s="123"/>
    </row>
    <row r="2" spans="1:39" ht="12.75">
      <c r="A2" s="121" t="s">
        <v>273</v>
      </c>
      <c r="B2" s="122"/>
      <c r="C2" s="122"/>
      <c r="D2" s="122"/>
      <c r="E2" s="156">
        <v>1</v>
      </c>
      <c r="F2" s="156">
        <v>2</v>
      </c>
      <c r="G2" s="156">
        <v>3</v>
      </c>
      <c r="H2" s="156">
        <v>4</v>
      </c>
      <c r="I2" s="156">
        <v>5</v>
      </c>
      <c r="J2" s="156">
        <v>6</v>
      </c>
      <c r="K2" s="156">
        <v>7</v>
      </c>
      <c r="L2" s="156">
        <v>8</v>
      </c>
      <c r="M2" s="156">
        <v>9</v>
      </c>
      <c r="N2" s="156">
        <v>10</v>
      </c>
      <c r="O2" s="156">
        <v>11</v>
      </c>
      <c r="P2" s="156">
        <v>12</v>
      </c>
      <c r="Q2" s="156">
        <v>1</v>
      </c>
      <c r="R2" s="156">
        <v>2</v>
      </c>
      <c r="S2" s="156">
        <v>3</v>
      </c>
      <c r="T2" s="156">
        <v>4</v>
      </c>
      <c r="U2" s="156">
        <v>5</v>
      </c>
      <c r="V2" s="156">
        <v>6</v>
      </c>
      <c r="W2" s="156">
        <v>7</v>
      </c>
      <c r="X2" s="156">
        <v>8</v>
      </c>
      <c r="Y2" s="156">
        <v>9</v>
      </c>
      <c r="Z2" s="156">
        <v>10</v>
      </c>
      <c r="AA2" s="156">
        <v>11</v>
      </c>
      <c r="AB2" s="156">
        <v>12</v>
      </c>
      <c r="AC2" s="122"/>
      <c r="AD2" s="123"/>
      <c r="AE2" s="123"/>
      <c r="AF2" s="123"/>
      <c r="AG2" s="123"/>
      <c r="AH2" s="123"/>
      <c r="AI2" s="123"/>
      <c r="AJ2" s="123"/>
      <c r="AK2" s="123"/>
      <c r="AL2" s="123"/>
      <c r="AM2" s="123"/>
    </row>
    <row r="3" spans="1:39" ht="12.75">
      <c r="A3" s="121" t="s">
        <v>161</v>
      </c>
      <c r="B3" s="122"/>
      <c r="C3" s="122"/>
      <c r="D3" s="122"/>
      <c r="E3" s="156"/>
      <c r="F3" s="404"/>
      <c r="G3" s="404"/>
      <c r="H3" s="404"/>
      <c r="I3" s="404"/>
      <c r="J3" s="404"/>
      <c r="K3" s="404"/>
      <c r="L3" s="404"/>
      <c r="M3" s="404"/>
      <c r="N3" s="140"/>
      <c r="O3" s="140"/>
      <c r="P3" s="140"/>
      <c r="Q3" s="140"/>
      <c r="R3" s="140"/>
      <c r="S3" s="140"/>
      <c r="T3" s="140"/>
      <c r="U3" s="140"/>
      <c r="V3" s="140"/>
      <c r="W3" s="140"/>
      <c r="X3" s="140"/>
      <c r="Y3" s="140"/>
      <c r="Z3" s="140"/>
      <c r="AA3" s="140"/>
      <c r="AB3" s="140"/>
      <c r="AC3" s="122"/>
      <c r="AD3" s="132" t="s">
        <v>3</v>
      </c>
      <c r="AE3" s="133" t="s">
        <v>1</v>
      </c>
      <c r="AF3" s="134" t="s">
        <v>2</v>
      </c>
      <c r="AG3" s="123"/>
      <c r="AH3" s="123"/>
      <c r="AI3" s="123"/>
      <c r="AJ3" s="123"/>
      <c r="AK3" s="123"/>
      <c r="AL3" s="123"/>
      <c r="AM3" s="123"/>
    </row>
    <row r="4" spans="1:39" ht="12.75">
      <c r="A4" s="123"/>
      <c r="B4" s="123"/>
      <c r="C4" s="123"/>
      <c r="D4" s="121"/>
      <c r="E4" s="143" t="s">
        <v>1</v>
      </c>
      <c r="F4" s="143" t="s">
        <v>1</v>
      </c>
      <c r="G4" s="143" t="s">
        <v>1</v>
      </c>
      <c r="H4" s="143" t="s">
        <v>1</v>
      </c>
      <c r="I4" s="143" t="s">
        <v>1</v>
      </c>
      <c r="J4" s="143" t="s">
        <v>1</v>
      </c>
      <c r="K4" s="143" t="s">
        <v>1</v>
      </c>
      <c r="L4" s="143" t="s">
        <v>1</v>
      </c>
      <c r="M4" s="143" t="s">
        <v>1</v>
      </c>
      <c r="N4" s="394" t="s">
        <v>2</v>
      </c>
      <c r="O4" s="394" t="s">
        <v>2</v>
      </c>
      <c r="P4" s="394" t="s">
        <v>2</v>
      </c>
      <c r="Q4" s="394" t="s">
        <v>2</v>
      </c>
      <c r="R4" s="394" t="s">
        <v>2</v>
      </c>
      <c r="S4" s="394" t="s">
        <v>2</v>
      </c>
      <c r="T4" s="394" t="s">
        <v>2</v>
      </c>
      <c r="U4" s="394" t="s">
        <v>2</v>
      </c>
      <c r="V4" s="394" t="s">
        <v>2</v>
      </c>
      <c r="W4" s="394" t="s">
        <v>2</v>
      </c>
      <c r="X4" s="394" t="s">
        <v>2</v>
      </c>
      <c r="Y4" s="394" t="s">
        <v>2</v>
      </c>
      <c r="Z4" s="394" t="s">
        <v>2</v>
      </c>
      <c r="AA4" s="394" t="s">
        <v>2</v>
      </c>
      <c r="AB4" s="394" t="s">
        <v>2</v>
      </c>
      <c r="AC4" s="124"/>
      <c r="AD4" s="135" t="s">
        <v>498</v>
      </c>
      <c r="AE4" s="136" t="s">
        <v>499</v>
      </c>
      <c r="AF4" s="136" t="s">
        <v>549</v>
      </c>
      <c r="AG4" s="123"/>
      <c r="AH4" s="123"/>
      <c r="AI4" s="123"/>
      <c r="AJ4" s="123"/>
      <c r="AK4" s="123"/>
      <c r="AL4" s="123"/>
      <c r="AM4" s="123"/>
    </row>
    <row r="5" spans="1:39" ht="12.75">
      <c r="A5" s="124"/>
      <c r="B5" s="124"/>
      <c r="C5" s="124"/>
      <c r="D5" s="125"/>
      <c r="E5" s="144">
        <v>42917</v>
      </c>
      <c r="F5" s="144">
        <v>42948</v>
      </c>
      <c r="G5" s="144">
        <v>42979</v>
      </c>
      <c r="H5" s="144">
        <v>43009</v>
      </c>
      <c r="I5" s="144">
        <v>43040</v>
      </c>
      <c r="J5" s="144">
        <v>43070</v>
      </c>
      <c r="K5" s="144">
        <v>43101</v>
      </c>
      <c r="L5" s="144">
        <v>43132</v>
      </c>
      <c r="M5" s="144">
        <v>43160</v>
      </c>
      <c r="N5" s="395">
        <v>43191</v>
      </c>
      <c r="O5" s="395">
        <v>43221</v>
      </c>
      <c r="P5" s="395">
        <v>43252</v>
      </c>
      <c r="Q5" s="395">
        <v>43282</v>
      </c>
      <c r="R5" s="395">
        <v>43313</v>
      </c>
      <c r="S5" s="395">
        <v>43344</v>
      </c>
      <c r="T5" s="395">
        <v>43374</v>
      </c>
      <c r="U5" s="395">
        <v>43405</v>
      </c>
      <c r="V5" s="395">
        <v>43435</v>
      </c>
      <c r="W5" s="395">
        <v>43466</v>
      </c>
      <c r="X5" s="395">
        <v>43497</v>
      </c>
      <c r="Y5" s="395">
        <v>43525</v>
      </c>
      <c r="Z5" s="395">
        <v>43556</v>
      </c>
      <c r="AA5" s="395">
        <v>43586</v>
      </c>
      <c r="AB5" s="395">
        <v>43617</v>
      </c>
      <c r="AC5" s="124"/>
      <c r="AD5" s="137" t="s">
        <v>0</v>
      </c>
      <c r="AE5" s="138" t="s">
        <v>548</v>
      </c>
      <c r="AF5" s="138" t="s">
        <v>500</v>
      </c>
      <c r="AG5" s="123"/>
      <c r="AH5" s="123"/>
      <c r="AI5" s="123"/>
      <c r="AJ5" s="123"/>
      <c r="AK5" s="123"/>
      <c r="AL5" s="123"/>
      <c r="AM5" s="123"/>
    </row>
    <row r="6" spans="1:39" ht="15.75">
      <c r="A6" s="128"/>
      <c r="B6" s="102" t="s">
        <v>161</v>
      </c>
      <c r="C6" s="102"/>
      <c r="D6" s="118"/>
      <c r="E6" s="145"/>
      <c r="F6" s="145"/>
      <c r="G6" s="145"/>
      <c r="H6" s="145"/>
      <c r="I6" s="145"/>
      <c r="J6" s="145"/>
      <c r="K6" s="145"/>
      <c r="L6" s="145"/>
      <c r="M6" s="145"/>
      <c r="N6" s="396"/>
      <c r="O6" s="396"/>
      <c r="P6" s="396"/>
      <c r="Q6" s="396"/>
      <c r="R6" s="396"/>
      <c r="S6" s="396"/>
      <c r="T6" s="396"/>
      <c r="U6" s="396"/>
      <c r="V6" s="396"/>
      <c r="W6" s="396"/>
      <c r="X6" s="396"/>
      <c r="Y6" s="396"/>
      <c r="Z6" s="396"/>
      <c r="AA6" s="396"/>
      <c r="AB6" s="396"/>
      <c r="AC6" s="103"/>
      <c r="AD6" s="104"/>
      <c r="AE6" s="104"/>
      <c r="AF6" s="104"/>
      <c r="AG6" s="99"/>
      <c r="AH6" s="99"/>
      <c r="AI6" s="99"/>
      <c r="AJ6" s="99"/>
      <c r="AK6" s="99"/>
      <c r="AL6" s="99"/>
      <c r="AM6" s="99"/>
    </row>
    <row r="7" spans="1:39" ht="15">
      <c r="A7" s="128"/>
      <c r="B7" s="100"/>
      <c r="C7" s="100"/>
      <c r="D7" s="118"/>
      <c r="E7" s="151"/>
      <c r="F7" s="146"/>
      <c r="G7" s="146"/>
      <c r="H7" s="146"/>
      <c r="I7" s="146"/>
      <c r="J7" s="146"/>
      <c r="K7" s="146"/>
      <c r="L7" s="146"/>
      <c r="M7" s="146"/>
      <c r="N7" s="397"/>
      <c r="O7" s="397"/>
      <c r="P7" s="397"/>
      <c r="Q7" s="398"/>
      <c r="R7" s="397"/>
      <c r="S7" s="397"/>
      <c r="T7" s="397"/>
      <c r="U7" s="397"/>
      <c r="V7" s="397"/>
      <c r="W7" s="397"/>
      <c r="X7" s="397"/>
      <c r="Y7" s="397"/>
      <c r="Z7" s="397"/>
      <c r="AA7" s="397"/>
      <c r="AB7" s="397"/>
      <c r="AC7" s="105"/>
      <c r="AD7" s="104">
        <f>D20</f>
        <v>6201571.01</v>
      </c>
      <c r="AE7" s="104">
        <f>D20</f>
        <v>6201571.01</v>
      </c>
      <c r="AF7" s="104"/>
      <c r="AG7" s="99"/>
      <c r="AH7" s="99"/>
      <c r="AI7" s="99"/>
      <c r="AJ7" s="99"/>
      <c r="AK7" s="99"/>
      <c r="AL7" s="99"/>
      <c r="AM7" s="99"/>
    </row>
    <row r="8" spans="1:39" ht="15">
      <c r="A8" s="129" t="s">
        <v>162</v>
      </c>
      <c r="B8" s="106" t="s">
        <v>163</v>
      </c>
      <c r="C8" s="106"/>
      <c r="D8" s="119"/>
      <c r="E8" s="147">
        <v>1669479.52</v>
      </c>
      <c r="F8" s="147">
        <v>1712984.14</v>
      </c>
      <c r="G8" s="147">
        <v>1730838.39</v>
      </c>
      <c r="H8" s="147">
        <v>1729115.94</v>
      </c>
      <c r="I8" s="147">
        <v>1639141.17</v>
      </c>
      <c r="J8" s="147">
        <v>1644898.77</v>
      </c>
      <c r="K8" s="147">
        <v>1700529.2</v>
      </c>
      <c r="L8" s="147">
        <v>1709815.45</v>
      </c>
      <c r="M8" s="147">
        <v>1686882.92</v>
      </c>
      <c r="N8" s="141">
        <v>0</v>
      </c>
      <c r="O8" s="141">
        <v>0</v>
      </c>
      <c r="P8" s="141">
        <v>0</v>
      </c>
      <c r="Q8" s="141">
        <v>0</v>
      </c>
      <c r="R8" s="141">
        <v>0</v>
      </c>
      <c r="S8" s="141">
        <v>0</v>
      </c>
      <c r="T8" s="141">
        <v>0</v>
      </c>
      <c r="U8" s="141">
        <v>0</v>
      </c>
      <c r="V8" s="141">
        <v>0</v>
      </c>
      <c r="W8" s="141">
        <v>0</v>
      </c>
      <c r="X8" s="141">
        <v>0</v>
      </c>
      <c r="Y8" s="141">
        <v>0</v>
      </c>
      <c r="Z8" s="141">
        <v>0</v>
      </c>
      <c r="AA8" s="141">
        <v>0</v>
      </c>
      <c r="AB8" s="141">
        <v>0</v>
      </c>
      <c r="AC8" s="107"/>
      <c r="AD8" s="108">
        <f>SUM(E8:AB8)</f>
        <v>15223685.499999998</v>
      </c>
      <c r="AE8" s="108">
        <f>SUM(E8:AB8)</f>
        <v>15223685.499999998</v>
      </c>
      <c r="AF8" s="108">
        <f>AD8-AE8</f>
        <v>0</v>
      </c>
      <c r="AG8" s="107"/>
      <c r="AH8" s="101"/>
      <c r="AI8" s="109"/>
      <c r="AJ8" s="109"/>
      <c r="AK8" s="109"/>
      <c r="AL8" s="109"/>
      <c r="AM8" s="109"/>
    </row>
    <row r="9" spans="1:39" ht="15">
      <c r="A9" s="129" t="s">
        <v>42</v>
      </c>
      <c r="B9" s="106" t="s">
        <v>43</v>
      </c>
      <c r="C9" s="106"/>
      <c r="D9" s="119"/>
      <c r="E9" s="147"/>
      <c r="F9" s="147"/>
      <c r="G9" s="147"/>
      <c r="H9" s="147"/>
      <c r="I9" s="147"/>
      <c r="J9" s="147"/>
      <c r="K9" s="147"/>
      <c r="L9" s="147"/>
      <c r="M9" s="147"/>
      <c r="N9" s="141"/>
      <c r="O9" s="141"/>
      <c r="P9" s="141"/>
      <c r="Q9" s="141"/>
      <c r="R9" s="141"/>
      <c r="S9" s="141"/>
      <c r="T9" s="141"/>
      <c r="U9" s="141"/>
      <c r="V9" s="141"/>
      <c r="W9" s="141"/>
      <c r="X9" s="141"/>
      <c r="Y9" s="141"/>
      <c r="Z9" s="141"/>
      <c r="AA9" s="141">
        <v>0</v>
      </c>
      <c r="AB9" s="141"/>
      <c r="AC9" s="107"/>
      <c r="AD9" s="108">
        <f>SUM(E9:AB9)</f>
        <v>0</v>
      </c>
      <c r="AE9" s="108">
        <f>SUM(E9:AB9)</f>
        <v>0</v>
      </c>
      <c r="AF9" s="108">
        <f>AD9-AE9</f>
        <v>0</v>
      </c>
      <c r="AG9" s="107"/>
      <c r="AH9" s="101"/>
      <c r="AI9" s="109"/>
      <c r="AJ9" s="109"/>
      <c r="AK9" s="109"/>
      <c r="AL9" s="109"/>
      <c r="AM9" s="109"/>
    </row>
    <row r="10" spans="1:39" ht="15">
      <c r="A10" s="130" t="s">
        <v>15</v>
      </c>
      <c r="B10" s="106" t="s">
        <v>16</v>
      </c>
      <c r="C10" s="106"/>
      <c r="D10" s="119"/>
      <c r="E10" s="147"/>
      <c r="F10" s="147">
        <v>0</v>
      </c>
      <c r="G10" s="147"/>
      <c r="H10" s="147"/>
      <c r="I10" s="147"/>
      <c r="J10" s="147"/>
      <c r="K10" s="147"/>
      <c r="L10" s="147"/>
      <c r="M10" s="147"/>
      <c r="N10" s="141">
        <v>0</v>
      </c>
      <c r="O10" s="141"/>
      <c r="P10" s="141">
        <v>0</v>
      </c>
      <c r="Q10" s="141">
        <v>0</v>
      </c>
      <c r="R10" s="141"/>
      <c r="S10" s="141"/>
      <c r="T10" s="141"/>
      <c r="U10" s="141"/>
      <c r="V10" s="141"/>
      <c r="W10" s="141"/>
      <c r="X10" s="141">
        <v>0</v>
      </c>
      <c r="Y10" s="141"/>
      <c r="Z10" s="141"/>
      <c r="AA10" s="141"/>
      <c r="AB10" s="141">
        <v>0</v>
      </c>
      <c r="AC10" s="110"/>
      <c r="AD10" s="108">
        <f>SUM(E10:AB10)</f>
        <v>0</v>
      </c>
      <c r="AE10" s="108">
        <f>SUM(E10:AB10)</f>
        <v>0</v>
      </c>
      <c r="AF10" s="108">
        <f>AD10-AE10</f>
        <v>0</v>
      </c>
      <c r="AG10" s="110"/>
      <c r="AH10" s="101"/>
      <c r="AI10" s="111"/>
      <c r="AJ10" s="111"/>
      <c r="AK10" s="111"/>
      <c r="AL10" s="111"/>
      <c r="AM10" s="111"/>
    </row>
    <row r="11" spans="1:39" ht="15">
      <c r="A11" s="130" t="s">
        <v>17</v>
      </c>
      <c r="B11" s="106" t="s">
        <v>18</v>
      </c>
      <c r="C11" s="106"/>
      <c r="D11" s="119"/>
      <c r="E11" s="148">
        <v>8046.84</v>
      </c>
      <c r="F11" s="148">
        <v>8537.21</v>
      </c>
      <c r="G11" s="148">
        <v>8687.22</v>
      </c>
      <c r="H11" s="148">
        <v>9411.32</v>
      </c>
      <c r="I11" s="148">
        <v>9337.25</v>
      </c>
      <c r="J11" s="148">
        <v>10291.88</v>
      </c>
      <c r="K11" s="148">
        <v>11373.45</v>
      </c>
      <c r="L11" s="148">
        <v>10417.97</v>
      </c>
      <c r="M11" s="148">
        <v>12202.11</v>
      </c>
      <c r="N11" s="399">
        <v>0</v>
      </c>
      <c r="O11" s="399">
        <v>0</v>
      </c>
      <c r="P11" s="399">
        <v>0</v>
      </c>
      <c r="Q11" s="399">
        <v>0</v>
      </c>
      <c r="R11" s="399">
        <v>0</v>
      </c>
      <c r="S11" s="399">
        <v>0</v>
      </c>
      <c r="T11" s="399">
        <v>0</v>
      </c>
      <c r="U11" s="399">
        <v>0</v>
      </c>
      <c r="V11" s="399">
        <v>0</v>
      </c>
      <c r="W11" s="399">
        <v>0</v>
      </c>
      <c r="X11" s="399">
        <v>0</v>
      </c>
      <c r="Y11" s="399">
        <v>0</v>
      </c>
      <c r="Z11" s="399">
        <v>0</v>
      </c>
      <c r="AA11" s="399">
        <v>0</v>
      </c>
      <c r="AB11" s="399">
        <v>0</v>
      </c>
      <c r="AC11" s="110"/>
      <c r="AD11" s="108">
        <f>SUM(E11:AB11)</f>
        <v>88305.25</v>
      </c>
      <c r="AE11" s="108">
        <f>SUM(E11:AB11)</f>
        <v>88305.25</v>
      </c>
      <c r="AF11" s="108">
        <f>AD11-AE11</f>
        <v>0</v>
      </c>
      <c r="AG11" s="110"/>
      <c r="AH11" s="101"/>
      <c r="AI11" s="111"/>
      <c r="AJ11" s="111"/>
      <c r="AK11" s="111"/>
      <c r="AL11" s="111"/>
      <c r="AM11" s="111"/>
    </row>
    <row r="12" spans="1:39" ht="15.75">
      <c r="A12" s="131" t="s">
        <v>5</v>
      </c>
      <c r="B12" s="106"/>
      <c r="C12" s="106"/>
      <c r="D12" s="119"/>
      <c r="E12" s="147">
        <f>SUM(E8:E11)</f>
        <v>1677526.36</v>
      </c>
      <c r="F12" s="147">
        <f aca="true" t="shared" si="0" ref="F12:AB12">SUM(F8:F11)</f>
        <v>1721521.3499999999</v>
      </c>
      <c r="G12" s="147">
        <f t="shared" si="0"/>
        <v>1739525.6099999999</v>
      </c>
      <c r="H12" s="147">
        <f t="shared" si="0"/>
        <v>1738527.26</v>
      </c>
      <c r="I12" s="147">
        <f t="shared" si="0"/>
        <v>1648478.42</v>
      </c>
      <c r="J12" s="147">
        <f t="shared" si="0"/>
        <v>1655190.65</v>
      </c>
      <c r="K12" s="147">
        <f t="shared" si="0"/>
        <v>1711902.65</v>
      </c>
      <c r="L12" s="147">
        <f t="shared" si="0"/>
        <v>1720233.42</v>
      </c>
      <c r="M12" s="147">
        <f t="shared" si="0"/>
        <v>1699085.03</v>
      </c>
      <c r="N12" s="141">
        <f t="shared" si="0"/>
        <v>0</v>
      </c>
      <c r="O12" s="141">
        <f t="shared" si="0"/>
        <v>0</v>
      </c>
      <c r="P12" s="141">
        <f t="shared" si="0"/>
        <v>0</v>
      </c>
      <c r="Q12" s="141">
        <f t="shared" si="0"/>
        <v>0</v>
      </c>
      <c r="R12" s="141">
        <f t="shared" si="0"/>
        <v>0</v>
      </c>
      <c r="S12" s="141">
        <f t="shared" si="0"/>
        <v>0</v>
      </c>
      <c r="T12" s="141">
        <f t="shared" si="0"/>
        <v>0</v>
      </c>
      <c r="U12" s="141">
        <f t="shared" si="0"/>
        <v>0</v>
      </c>
      <c r="V12" s="141">
        <f t="shared" si="0"/>
        <v>0</v>
      </c>
      <c r="W12" s="141">
        <f t="shared" si="0"/>
        <v>0</v>
      </c>
      <c r="X12" s="141">
        <f t="shared" si="0"/>
        <v>0</v>
      </c>
      <c r="Y12" s="141">
        <f t="shared" si="0"/>
        <v>0</v>
      </c>
      <c r="Z12" s="141">
        <f t="shared" si="0"/>
        <v>0</v>
      </c>
      <c r="AA12" s="141">
        <f t="shared" si="0"/>
        <v>0</v>
      </c>
      <c r="AB12" s="141">
        <f t="shared" si="0"/>
        <v>0</v>
      </c>
      <c r="AC12" s="110"/>
      <c r="AD12" s="113">
        <f>SUM(AD7:AD11)</f>
        <v>21513561.759999998</v>
      </c>
      <c r="AE12" s="113">
        <f>SUM(AE7:AE11)</f>
        <v>21513561.759999998</v>
      </c>
      <c r="AF12" s="113">
        <v>0</v>
      </c>
      <c r="AG12" s="110"/>
      <c r="AH12" s="101"/>
      <c r="AI12" s="111"/>
      <c r="AJ12" s="111"/>
      <c r="AK12" s="111"/>
      <c r="AL12" s="111"/>
      <c r="AM12" s="111"/>
    </row>
    <row r="13" spans="1:39" ht="15">
      <c r="A13" s="129"/>
      <c r="B13" s="106"/>
      <c r="C13" s="106"/>
      <c r="D13" s="119"/>
      <c r="E13" s="149"/>
      <c r="F13" s="149"/>
      <c r="G13" s="149"/>
      <c r="H13" s="149"/>
      <c r="I13" s="149"/>
      <c r="J13" s="149"/>
      <c r="K13" s="149"/>
      <c r="L13" s="149"/>
      <c r="M13" s="149"/>
      <c r="N13" s="400"/>
      <c r="O13" s="400"/>
      <c r="P13" s="400"/>
      <c r="Q13" s="400"/>
      <c r="R13" s="400"/>
      <c r="S13" s="400"/>
      <c r="T13" s="400"/>
      <c r="U13" s="400"/>
      <c r="V13" s="400"/>
      <c r="W13" s="400"/>
      <c r="X13" s="400"/>
      <c r="Y13" s="400"/>
      <c r="Z13" s="400"/>
      <c r="AA13" s="400"/>
      <c r="AB13" s="400"/>
      <c r="AC13" s="110"/>
      <c r="AD13" s="114"/>
      <c r="AE13" s="114"/>
      <c r="AF13" s="114"/>
      <c r="AG13" s="110"/>
      <c r="AH13" s="101"/>
      <c r="AI13" s="111"/>
      <c r="AJ13" s="111"/>
      <c r="AK13" s="111"/>
      <c r="AL13" s="111"/>
      <c r="AM13" s="111"/>
    </row>
    <row r="14" spans="1:39" ht="15">
      <c r="A14" s="129" t="s">
        <v>19</v>
      </c>
      <c r="B14" s="106" t="s">
        <v>20</v>
      </c>
      <c r="C14" s="106"/>
      <c r="D14" s="119"/>
      <c r="E14" s="149">
        <v>1146.91</v>
      </c>
      <c r="F14" s="149">
        <v>-493.21</v>
      </c>
      <c r="G14" s="149">
        <v>1899.05</v>
      </c>
      <c r="H14" s="149">
        <v>-1193.44</v>
      </c>
      <c r="I14" s="149">
        <v>340.17</v>
      </c>
      <c r="J14" s="149">
        <v>2205.52</v>
      </c>
      <c r="K14" s="149">
        <v>-750.6</v>
      </c>
      <c r="L14" s="149">
        <v>1895.13</v>
      </c>
      <c r="M14" s="149">
        <v>-8581.63</v>
      </c>
      <c r="N14" s="400">
        <v>0</v>
      </c>
      <c r="O14" s="400">
        <v>0</v>
      </c>
      <c r="P14" s="400">
        <v>0</v>
      </c>
      <c r="Q14" s="400">
        <v>0</v>
      </c>
      <c r="R14" s="400">
        <v>0</v>
      </c>
      <c r="S14" s="400">
        <v>0</v>
      </c>
      <c r="T14" s="400">
        <v>0</v>
      </c>
      <c r="U14" s="400">
        <v>0</v>
      </c>
      <c r="V14" s="400">
        <v>0</v>
      </c>
      <c r="W14" s="400">
        <v>0</v>
      </c>
      <c r="X14" s="400">
        <v>0</v>
      </c>
      <c r="Y14" s="400">
        <v>0</v>
      </c>
      <c r="Z14" s="400">
        <v>0</v>
      </c>
      <c r="AA14" s="400">
        <v>0</v>
      </c>
      <c r="AB14" s="400">
        <v>0</v>
      </c>
      <c r="AC14" s="110"/>
      <c r="AD14" s="108">
        <f>SUM(E14:AB14)</f>
        <v>-3532.0999999999985</v>
      </c>
      <c r="AE14" s="108">
        <f>SUM(E14:AB14)</f>
        <v>-3532.0999999999985</v>
      </c>
      <c r="AF14" s="108">
        <f>AD14-AE14</f>
        <v>0</v>
      </c>
      <c r="AG14" s="110"/>
      <c r="AH14" s="101"/>
      <c r="AI14" s="111"/>
      <c r="AJ14" s="111"/>
      <c r="AK14" s="111"/>
      <c r="AL14" s="111"/>
      <c r="AM14" s="111"/>
    </row>
    <row r="15" spans="1:39" ht="15">
      <c r="A15" s="129" t="s">
        <v>40</v>
      </c>
      <c r="B15" s="106" t="s">
        <v>21</v>
      </c>
      <c r="C15" s="106"/>
      <c r="D15" s="119"/>
      <c r="E15" s="149">
        <v>21435.28</v>
      </c>
      <c r="F15" s="149">
        <v>22602.7</v>
      </c>
      <c r="G15" s="149">
        <v>22330.79</v>
      </c>
      <c r="H15" s="149">
        <v>23810</v>
      </c>
      <c r="I15" s="149">
        <v>22598.98</v>
      </c>
      <c r="J15" s="149">
        <v>22931.65</v>
      </c>
      <c r="K15" s="149">
        <v>25486.47</v>
      </c>
      <c r="L15" s="149">
        <v>24396.94</v>
      </c>
      <c r="M15" s="149">
        <v>26381</v>
      </c>
      <c r="N15" s="400">
        <v>0</v>
      </c>
      <c r="O15" s="400">
        <v>0</v>
      </c>
      <c r="P15" s="400">
        <v>0</v>
      </c>
      <c r="Q15" s="400">
        <v>0</v>
      </c>
      <c r="R15" s="400">
        <v>0</v>
      </c>
      <c r="S15" s="400">
        <v>0</v>
      </c>
      <c r="T15" s="400">
        <v>0</v>
      </c>
      <c r="U15" s="400">
        <v>0</v>
      </c>
      <c r="V15" s="400">
        <v>0</v>
      </c>
      <c r="W15" s="400">
        <v>0</v>
      </c>
      <c r="X15" s="400">
        <v>0</v>
      </c>
      <c r="Y15" s="400">
        <v>0</v>
      </c>
      <c r="Z15" s="400">
        <v>0</v>
      </c>
      <c r="AA15" s="400">
        <v>0</v>
      </c>
      <c r="AB15" s="400">
        <v>0</v>
      </c>
      <c r="AC15" s="110"/>
      <c r="AD15" s="108">
        <f>SUM(E15:AB15)</f>
        <v>211973.81</v>
      </c>
      <c r="AE15" s="108">
        <f>SUM(E15:AB15)</f>
        <v>211973.81</v>
      </c>
      <c r="AF15" s="108">
        <f>AD15-AE15</f>
        <v>0</v>
      </c>
      <c r="AG15" s="110"/>
      <c r="AH15" s="101"/>
      <c r="AI15" s="111"/>
      <c r="AJ15" s="111"/>
      <c r="AK15" s="111"/>
      <c r="AL15" s="111"/>
      <c r="AM15" s="111"/>
    </row>
    <row r="16" spans="1:39" ht="15">
      <c r="A16" s="129" t="s">
        <v>39</v>
      </c>
      <c r="B16" s="106" t="s">
        <v>22</v>
      </c>
      <c r="C16" s="106"/>
      <c r="D16" s="119"/>
      <c r="E16" s="149">
        <v>7404.8</v>
      </c>
      <c r="F16" s="149">
        <v>4535.35</v>
      </c>
      <c r="G16" s="149">
        <v>1636.01</v>
      </c>
      <c r="H16" s="149">
        <v>8651.7</v>
      </c>
      <c r="I16" s="149">
        <v>7859.33</v>
      </c>
      <c r="J16" s="149">
        <v>1007.13</v>
      </c>
      <c r="K16" s="149">
        <v>6999.28</v>
      </c>
      <c r="L16" s="149">
        <v>3509.91</v>
      </c>
      <c r="M16" s="149">
        <v>4883.76</v>
      </c>
      <c r="N16" s="400">
        <v>0</v>
      </c>
      <c r="O16" s="400">
        <v>0</v>
      </c>
      <c r="P16" s="400">
        <v>0</v>
      </c>
      <c r="Q16" s="400">
        <v>0</v>
      </c>
      <c r="R16" s="400">
        <v>0</v>
      </c>
      <c r="S16" s="400">
        <v>0</v>
      </c>
      <c r="T16" s="400">
        <v>0</v>
      </c>
      <c r="U16" s="400">
        <v>0</v>
      </c>
      <c r="V16" s="400">
        <v>0</v>
      </c>
      <c r="W16" s="400">
        <v>0</v>
      </c>
      <c r="X16" s="400">
        <v>0</v>
      </c>
      <c r="Y16" s="400">
        <v>0</v>
      </c>
      <c r="Z16" s="400">
        <v>0</v>
      </c>
      <c r="AA16" s="400">
        <v>0</v>
      </c>
      <c r="AB16" s="400">
        <v>0</v>
      </c>
      <c r="AC16" s="110"/>
      <c r="AD16" s="108">
        <f>SUM(E16:AB16)</f>
        <v>46487.27000000001</v>
      </c>
      <c r="AE16" s="108">
        <f>SUM(E16:AB16)</f>
        <v>46487.27000000001</v>
      </c>
      <c r="AF16" s="108">
        <f>AD16-AE16</f>
        <v>0</v>
      </c>
      <c r="AG16" s="110"/>
      <c r="AH16" s="101"/>
      <c r="AI16" s="111"/>
      <c r="AJ16" s="111"/>
      <c r="AK16" s="111"/>
      <c r="AL16" s="111"/>
      <c r="AM16" s="111"/>
    </row>
    <row r="17" spans="1:39" ht="15">
      <c r="A17" s="129" t="s">
        <v>38</v>
      </c>
      <c r="B17" s="106" t="s">
        <v>41</v>
      </c>
      <c r="C17" s="106"/>
      <c r="D17" s="119"/>
      <c r="E17" s="149">
        <v>623428.11</v>
      </c>
      <c r="F17" s="149">
        <v>1630546.15</v>
      </c>
      <c r="G17" s="149">
        <v>1144155.88</v>
      </c>
      <c r="H17" s="149">
        <v>1206289.63</v>
      </c>
      <c r="I17" s="149">
        <v>2717545.67</v>
      </c>
      <c r="J17" s="149">
        <v>1042572.88</v>
      </c>
      <c r="K17" s="149">
        <v>1411193.64</v>
      </c>
      <c r="L17" s="149">
        <v>1723450.77</v>
      </c>
      <c r="M17" s="149">
        <v>2566253.07</v>
      </c>
      <c r="N17" s="400">
        <v>0</v>
      </c>
      <c r="O17" s="400">
        <v>0</v>
      </c>
      <c r="P17" s="400">
        <v>0</v>
      </c>
      <c r="Q17" s="400">
        <v>0</v>
      </c>
      <c r="R17" s="400">
        <v>0</v>
      </c>
      <c r="S17" s="400">
        <v>0</v>
      </c>
      <c r="T17" s="400">
        <v>0</v>
      </c>
      <c r="U17" s="400">
        <v>0</v>
      </c>
      <c r="V17" s="400">
        <v>0</v>
      </c>
      <c r="W17" s="400">
        <v>0</v>
      </c>
      <c r="X17" s="400">
        <v>0</v>
      </c>
      <c r="Y17" s="400">
        <v>0</v>
      </c>
      <c r="Z17" s="400">
        <v>0</v>
      </c>
      <c r="AA17" s="400">
        <v>0</v>
      </c>
      <c r="AB17" s="400">
        <v>0</v>
      </c>
      <c r="AC17" s="110"/>
      <c r="AD17" s="108">
        <f>SUM(E17:AB17)</f>
        <v>14065435.799999999</v>
      </c>
      <c r="AE17" s="108">
        <f>SUM(E17:AB17)</f>
        <v>14065435.799999999</v>
      </c>
      <c r="AF17" s="108">
        <f>AD17-AE17</f>
        <v>0</v>
      </c>
      <c r="AG17" s="110"/>
      <c r="AH17" s="101"/>
      <c r="AI17" s="111"/>
      <c r="AJ17" s="111"/>
      <c r="AK17" s="111"/>
      <c r="AL17" s="111"/>
      <c r="AM17" s="111"/>
    </row>
    <row r="18" spans="1:39" ht="15.75">
      <c r="A18" s="112" t="s">
        <v>6</v>
      </c>
      <c r="B18" s="106"/>
      <c r="C18" s="106"/>
      <c r="D18" s="119"/>
      <c r="E18" s="152">
        <f>SUM(E14:E17)</f>
        <v>653415.1</v>
      </c>
      <c r="F18" s="152">
        <f aca="true" t="shared" si="1" ref="F18:AB18">SUM(F14:F17)</f>
        <v>1657190.99</v>
      </c>
      <c r="G18" s="152">
        <f t="shared" si="1"/>
        <v>1170021.73</v>
      </c>
      <c r="H18" s="152">
        <f t="shared" si="1"/>
        <v>1237557.89</v>
      </c>
      <c r="I18" s="152">
        <f t="shared" si="1"/>
        <v>2748344.15</v>
      </c>
      <c r="J18" s="152">
        <f t="shared" si="1"/>
        <v>1068717.18</v>
      </c>
      <c r="K18" s="152">
        <f t="shared" si="1"/>
        <v>1442928.7899999998</v>
      </c>
      <c r="L18" s="152">
        <f t="shared" si="1"/>
        <v>1753252.75</v>
      </c>
      <c r="M18" s="152">
        <f t="shared" si="1"/>
        <v>2588936.1999999997</v>
      </c>
      <c r="N18" s="401">
        <f t="shared" si="1"/>
        <v>0</v>
      </c>
      <c r="O18" s="401">
        <f t="shared" si="1"/>
        <v>0</v>
      </c>
      <c r="P18" s="401">
        <f t="shared" si="1"/>
        <v>0</v>
      </c>
      <c r="Q18" s="401">
        <f t="shared" si="1"/>
        <v>0</v>
      </c>
      <c r="R18" s="401">
        <f t="shared" si="1"/>
        <v>0</v>
      </c>
      <c r="S18" s="401">
        <f t="shared" si="1"/>
        <v>0</v>
      </c>
      <c r="T18" s="401">
        <f t="shared" si="1"/>
        <v>0</v>
      </c>
      <c r="U18" s="401">
        <f t="shared" si="1"/>
        <v>0</v>
      </c>
      <c r="V18" s="401">
        <f t="shared" si="1"/>
        <v>0</v>
      </c>
      <c r="W18" s="401">
        <f t="shared" si="1"/>
        <v>0</v>
      </c>
      <c r="X18" s="401">
        <f t="shared" si="1"/>
        <v>0</v>
      </c>
      <c r="Y18" s="401">
        <f t="shared" si="1"/>
        <v>0</v>
      </c>
      <c r="Z18" s="401">
        <f t="shared" si="1"/>
        <v>0</v>
      </c>
      <c r="AA18" s="401">
        <f t="shared" si="1"/>
        <v>0</v>
      </c>
      <c r="AB18" s="401">
        <f t="shared" si="1"/>
        <v>0</v>
      </c>
      <c r="AC18" s="110"/>
      <c r="AD18" s="113">
        <f>SUM(AD14:AD17)</f>
        <v>14320364.78</v>
      </c>
      <c r="AE18" s="113">
        <f>SUM(AE14:AE17)</f>
        <v>14320364.78</v>
      </c>
      <c r="AF18" s="113">
        <v>0</v>
      </c>
      <c r="AG18" s="110"/>
      <c r="AH18" s="101"/>
      <c r="AI18" s="111"/>
      <c r="AJ18" s="111"/>
      <c r="AK18" s="111"/>
      <c r="AL18" s="111"/>
      <c r="AM18" s="111"/>
    </row>
    <row r="19" spans="1:39" ht="15">
      <c r="A19" s="106"/>
      <c r="B19" s="172" t="s">
        <v>52</v>
      </c>
      <c r="C19" s="172"/>
      <c r="D19" s="119"/>
      <c r="E19" s="147"/>
      <c r="F19" s="147"/>
      <c r="G19" s="147"/>
      <c r="H19" s="147"/>
      <c r="I19" s="147"/>
      <c r="J19" s="147"/>
      <c r="K19" s="147"/>
      <c r="L19" s="147"/>
      <c r="M19" s="147"/>
      <c r="N19" s="141"/>
      <c r="O19" s="141"/>
      <c r="P19" s="141"/>
      <c r="Q19" s="141"/>
      <c r="R19" s="141"/>
      <c r="S19" s="141"/>
      <c r="T19" s="141"/>
      <c r="U19" s="141"/>
      <c r="V19" s="141"/>
      <c r="W19" s="141"/>
      <c r="X19" s="141"/>
      <c r="Y19" s="141"/>
      <c r="Z19" s="141"/>
      <c r="AA19" s="141"/>
      <c r="AB19" s="141"/>
      <c r="AC19" s="110"/>
      <c r="AD19" s="114"/>
      <c r="AE19" s="114"/>
      <c r="AF19" s="114"/>
      <c r="AG19" s="110"/>
      <c r="AH19" s="101"/>
      <c r="AI19" s="111"/>
      <c r="AJ19" s="111"/>
      <c r="AK19" s="111"/>
      <c r="AL19" s="111"/>
      <c r="AM19" s="111"/>
    </row>
    <row r="20" spans="1:39" ht="15.75">
      <c r="A20" s="112" t="s">
        <v>7</v>
      </c>
      <c r="B20" s="106"/>
      <c r="C20" s="106"/>
      <c r="D20" s="126">
        <f>6194506.29+7064.72</f>
        <v>6201571.01</v>
      </c>
      <c r="E20" s="150">
        <f>D20+E12-E18</f>
        <v>7225682.2700000005</v>
      </c>
      <c r="F20" s="150">
        <f aca="true" t="shared" si="2" ref="F20:N20">E20+F12-F18</f>
        <v>7290012.630000001</v>
      </c>
      <c r="G20" s="150">
        <f t="shared" si="2"/>
        <v>7859516.51</v>
      </c>
      <c r="H20" s="150">
        <f t="shared" si="2"/>
        <v>8360485.88</v>
      </c>
      <c r="I20" s="150">
        <f t="shared" si="2"/>
        <v>7260620.15</v>
      </c>
      <c r="J20" s="150">
        <f t="shared" si="2"/>
        <v>7847093.620000001</v>
      </c>
      <c r="K20" s="150">
        <f t="shared" si="2"/>
        <v>8116067.480000001</v>
      </c>
      <c r="L20" s="150">
        <f t="shared" si="2"/>
        <v>8083048.150000002</v>
      </c>
      <c r="M20" s="150">
        <f t="shared" si="2"/>
        <v>7193196.980000002</v>
      </c>
      <c r="N20" s="402">
        <f t="shared" si="2"/>
        <v>7193196.980000002</v>
      </c>
      <c r="O20" s="402">
        <f>N20+O12-O18</f>
        <v>7193196.980000002</v>
      </c>
      <c r="P20" s="402">
        <f>O20+P12-P18</f>
        <v>7193196.980000002</v>
      </c>
      <c r="Q20" s="402">
        <f>P20+Q12-Q18</f>
        <v>7193196.980000002</v>
      </c>
      <c r="R20" s="402">
        <f>Q20+R12-R18</f>
        <v>7193196.980000002</v>
      </c>
      <c r="S20" s="402">
        <f>R20+S12-S18</f>
        <v>7193196.980000002</v>
      </c>
      <c r="T20" s="402">
        <f>S20+T12-T18</f>
        <v>7193196.980000002</v>
      </c>
      <c r="U20" s="402">
        <f>T20+U12-U18</f>
        <v>7193196.980000002</v>
      </c>
      <c r="V20" s="402">
        <f>U20+V12-V18</f>
        <v>7193196.980000002</v>
      </c>
      <c r="W20" s="402">
        <f>V20+W12-W18</f>
        <v>7193196.980000002</v>
      </c>
      <c r="X20" s="402">
        <f>W20+X12-X18</f>
        <v>7193196.980000002</v>
      </c>
      <c r="Y20" s="402">
        <f>X20+Y12-Y18</f>
        <v>7193196.980000002</v>
      </c>
      <c r="Z20" s="402">
        <f>Y20+Z12-Z18</f>
        <v>7193196.980000002</v>
      </c>
      <c r="AA20" s="402">
        <f>Z20+AA12-AA18</f>
        <v>7193196.980000002</v>
      </c>
      <c r="AB20" s="402">
        <f>AA20+AB12-AB18</f>
        <v>7193196.980000002</v>
      </c>
      <c r="AC20" s="110"/>
      <c r="AD20" s="114"/>
      <c r="AE20" s="114">
        <f>AE12-AE18</f>
        <v>7193196.979999999</v>
      </c>
      <c r="AF20" s="114">
        <v>0</v>
      </c>
      <c r="AG20" s="110"/>
      <c r="AH20" s="101"/>
      <c r="AI20" s="111"/>
      <c r="AJ20" s="111"/>
      <c r="AK20" s="111"/>
      <c r="AL20" s="111"/>
      <c r="AM20" s="111"/>
    </row>
    <row r="21" spans="1:39" ht="15">
      <c r="A21" s="106"/>
      <c r="B21" s="106"/>
      <c r="C21" s="106"/>
      <c r="D21" s="127"/>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10"/>
      <c r="AD21" s="114"/>
      <c r="AE21" s="114"/>
      <c r="AF21" s="114"/>
      <c r="AG21" s="110"/>
      <c r="AH21" s="101"/>
      <c r="AI21" s="111"/>
      <c r="AJ21" s="111"/>
      <c r="AK21" s="111"/>
      <c r="AL21" s="111"/>
      <c r="AM21" s="111"/>
    </row>
    <row r="22" spans="1:39" ht="15.75">
      <c r="A22" s="106"/>
      <c r="B22" s="189" t="s">
        <v>161</v>
      </c>
      <c r="D22" s="120"/>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15"/>
      <c r="AD22" s="115"/>
      <c r="AE22" s="115"/>
      <c r="AF22" s="115"/>
      <c r="AG22" s="115"/>
      <c r="AH22" s="99"/>
      <c r="AI22" s="99"/>
      <c r="AJ22" s="99"/>
      <c r="AK22" s="99"/>
      <c r="AL22" s="99"/>
      <c r="AM22" s="99"/>
    </row>
    <row r="23" spans="1:39" ht="15">
      <c r="A23" s="153" t="s">
        <v>54</v>
      </c>
      <c r="B23" s="154"/>
      <c r="C23" s="186" t="s">
        <v>44</v>
      </c>
      <c r="D23" s="177"/>
      <c r="E23" s="178">
        <v>0</v>
      </c>
      <c r="F23" s="178">
        <v>0</v>
      </c>
      <c r="G23" s="178">
        <v>0</v>
      </c>
      <c r="H23" s="178">
        <v>0</v>
      </c>
      <c r="I23" s="178">
        <v>0</v>
      </c>
      <c r="J23" s="178">
        <v>0</v>
      </c>
      <c r="K23" s="178">
        <v>0</v>
      </c>
      <c r="L23" s="178">
        <v>0</v>
      </c>
      <c r="M23" s="178">
        <v>0</v>
      </c>
      <c r="N23" s="178">
        <v>0</v>
      </c>
      <c r="O23" s="178">
        <v>0</v>
      </c>
      <c r="P23" s="178">
        <v>0</v>
      </c>
      <c r="Q23" s="178">
        <v>0</v>
      </c>
      <c r="R23" s="178">
        <v>0</v>
      </c>
      <c r="S23" s="178">
        <v>0</v>
      </c>
      <c r="T23" s="178">
        <v>0</v>
      </c>
      <c r="U23" s="178">
        <v>0</v>
      </c>
      <c r="V23" s="178">
        <v>0</v>
      </c>
      <c r="W23" s="178">
        <v>0</v>
      </c>
      <c r="X23" s="178">
        <v>0</v>
      </c>
      <c r="Y23" s="178">
        <v>0</v>
      </c>
      <c r="Z23" s="178">
        <v>0</v>
      </c>
      <c r="AA23" s="178">
        <v>0</v>
      </c>
      <c r="AB23" s="178">
        <v>0</v>
      </c>
      <c r="AC23" s="115"/>
      <c r="AD23" s="115"/>
      <c r="AE23" s="115"/>
      <c r="AF23" s="115"/>
      <c r="AG23" s="115"/>
      <c r="AH23" s="99"/>
      <c r="AI23" s="99"/>
      <c r="AJ23" s="99"/>
      <c r="AK23" s="99"/>
      <c r="AL23" s="99"/>
      <c r="AM23" s="99"/>
    </row>
    <row r="24" spans="1:39" ht="15">
      <c r="A24" s="153" t="s">
        <v>55</v>
      </c>
      <c r="B24" s="154"/>
      <c r="C24" s="186"/>
      <c r="D24" s="177">
        <v>7064.72</v>
      </c>
      <c r="E24" s="178">
        <v>8035.79</v>
      </c>
      <c r="F24" s="178">
        <v>8526.01</v>
      </c>
      <c r="G24" s="178">
        <v>8676.32</v>
      </c>
      <c r="H24" s="178">
        <v>40384.44</v>
      </c>
      <c r="I24" s="178">
        <v>38983.25</v>
      </c>
      <c r="J24" s="178">
        <v>10281.68</v>
      </c>
      <c r="K24" s="178">
        <v>11363.25</v>
      </c>
      <c r="L24" s="178">
        <v>10407.77</v>
      </c>
      <c r="M24" s="178">
        <v>42582.14</v>
      </c>
      <c r="N24" s="178">
        <v>0</v>
      </c>
      <c r="O24" s="178">
        <v>0</v>
      </c>
      <c r="P24" s="178">
        <v>0</v>
      </c>
      <c r="Q24" s="178">
        <v>0</v>
      </c>
      <c r="R24" s="178">
        <v>0</v>
      </c>
      <c r="S24" s="178">
        <v>0</v>
      </c>
      <c r="T24" s="178">
        <v>0</v>
      </c>
      <c r="U24" s="178">
        <v>0</v>
      </c>
      <c r="V24" s="178">
        <v>0</v>
      </c>
      <c r="W24" s="178">
        <v>0</v>
      </c>
      <c r="X24" s="178">
        <v>0</v>
      </c>
      <c r="Y24" s="178">
        <v>0</v>
      </c>
      <c r="Z24" s="178">
        <v>0</v>
      </c>
      <c r="AA24" s="178">
        <v>0</v>
      </c>
      <c r="AB24" s="178">
        <v>0</v>
      </c>
      <c r="AC24" s="115"/>
      <c r="AD24" s="115"/>
      <c r="AE24" s="115"/>
      <c r="AF24" s="115"/>
      <c r="AG24" s="115"/>
      <c r="AH24" s="99"/>
      <c r="AI24" s="99"/>
      <c r="AJ24" s="99"/>
      <c r="AK24" s="99"/>
      <c r="AL24" s="99"/>
      <c r="AM24" s="99"/>
    </row>
    <row r="25" spans="1:39" ht="15">
      <c r="A25" s="153" t="s">
        <v>56</v>
      </c>
      <c r="B25" s="154"/>
      <c r="C25" s="186"/>
      <c r="D25" s="177">
        <v>267818.67</v>
      </c>
      <c r="E25" s="178">
        <v>290067.25</v>
      </c>
      <c r="F25" s="178">
        <v>322739.71</v>
      </c>
      <c r="G25" s="178">
        <v>343553.76</v>
      </c>
      <c r="H25" s="178">
        <v>332252.56</v>
      </c>
      <c r="I25" s="178">
        <v>351202.21</v>
      </c>
      <c r="J25" s="178">
        <v>411855.26</v>
      </c>
      <c r="K25" s="178">
        <v>441570.39</v>
      </c>
      <c r="L25" s="178">
        <v>474376.91</v>
      </c>
      <c r="M25" s="178">
        <v>482273.23</v>
      </c>
      <c r="N25" s="178">
        <v>0</v>
      </c>
      <c r="O25" s="178">
        <v>0</v>
      </c>
      <c r="P25" s="178">
        <v>0</v>
      </c>
      <c r="Q25" s="178">
        <v>0</v>
      </c>
      <c r="R25" s="178">
        <v>0</v>
      </c>
      <c r="S25" s="178">
        <v>0</v>
      </c>
      <c r="T25" s="178">
        <v>0</v>
      </c>
      <c r="U25" s="178">
        <v>0</v>
      </c>
      <c r="V25" s="178">
        <v>0</v>
      </c>
      <c r="W25" s="178">
        <v>0</v>
      </c>
      <c r="X25" s="178">
        <v>0</v>
      </c>
      <c r="Y25" s="178">
        <v>0</v>
      </c>
      <c r="Z25" s="178">
        <v>0</v>
      </c>
      <c r="AA25" s="178">
        <v>0</v>
      </c>
      <c r="AB25" s="178">
        <v>0</v>
      </c>
      <c r="AC25" s="115"/>
      <c r="AD25" s="115"/>
      <c r="AE25" s="115"/>
      <c r="AF25" s="115"/>
      <c r="AG25" s="115"/>
      <c r="AH25" s="99"/>
      <c r="AI25" s="99"/>
      <c r="AJ25" s="99"/>
      <c r="AK25" s="99"/>
      <c r="AL25" s="99"/>
      <c r="AM25" s="99"/>
    </row>
    <row r="26" spans="1:39" ht="15">
      <c r="A26" s="153" t="s">
        <v>57</v>
      </c>
      <c r="B26" s="154"/>
      <c r="C26" s="186" t="s">
        <v>52</v>
      </c>
      <c r="D26" s="177">
        <v>0</v>
      </c>
      <c r="E26" s="178">
        <v>0</v>
      </c>
      <c r="F26" s="178">
        <v>0</v>
      </c>
      <c r="G26" s="178">
        <v>0</v>
      </c>
      <c r="H26" s="178">
        <v>0</v>
      </c>
      <c r="I26" s="178">
        <v>0</v>
      </c>
      <c r="J26" s="178">
        <v>0</v>
      </c>
      <c r="K26" s="178">
        <v>0</v>
      </c>
      <c r="L26" s="178">
        <v>0</v>
      </c>
      <c r="M26" s="178">
        <v>0</v>
      </c>
      <c r="N26" s="178">
        <v>0</v>
      </c>
      <c r="O26" s="178">
        <v>0</v>
      </c>
      <c r="P26" s="178">
        <v>0</v>
      </c>
      <c r="Q26" s="178">
        <v>0</v>
      </c>
      <c r="R26" s="178">
        <v>0</v>
      </c>
      <c r="S26" s="178">
        <v>0</v>
      </c>
      <c r="T26" s="178">
        <v>0</v>
      </c>
      <c r="U26" s="178">
        <v>0</v>
      </c>
      <c r="V26" s="178">
        <v>0</v>
      </c>
      <c r="W26" s="178">
        <v>0</v>
      </c>
      <c r="X26" s="178">
        <v>0</v>
      </c>
      <c r="Y26" s="178">
        <v>0</v>
      </c>
      <c r="Z26" s="178">
        <v>0</v>
      </c>
      <c r="AA26" s="178">
        <v>0</v>
      </c>
      <c r="AB26" s="178">
        <v>0</v>
      </c>
      <c r="AC26" s="115"/>
      <c r="AD26" s="115"/>
      <c r="AE26" s="115"/>
      <c r="AF26" s="115"/>
      <c r="AG26" s="115"/>
      <c r="AH26" s="99"/>
      <c r="AI26" s="99"/>
      <c r="AJ26" s="99"/>
      <c r="AK26" s="99"/>
      <c r="AL26" s="99"/>
      <c r="AM26" s="99"/>
    </row>
    <row r="27" spans="1:39" ht="15">
      <c r="A27" s="153" t="s">
        <v>58</v>
      </c>
      <c r="B27" s="154"/>
      <c r="C27" s="186" t="s">
        <v>44</v>
      </c>
      <c r="D27" s="177"/>
      <c r="E27" s="178">
        <v>-119.24</v>
      </c>
      <c r="F27" s="178">
        <v>0</v>
      </c>
      <c r="G27" s="178">
        <v>-37.5</v>
      </c>
      <c r="H27" s="178">
        <v>0</v>
      </c>
      <c r="I27" s="178">
        <v>0</v>
      </c>
      <c r="J27" s="178">
        <v>0</v>
      </c>
      <c r="K27" s="178">
        <v>-142.54</v>
      </c>
      <c r="L27" s="178">
        <v>-83.14</v>
      </c>
      <c r="M27" s="178">
        <v>-28.35</v>
      </c>
      <c r="N27" s="178">
        <v>0</v>
      </c>
      <c r="O27" s="178">
        <v>0</v>
      </c>
      <c r="P27" s="178">
        <v>0</v>
      </c>
      <c r="Q27" s="178">
        <v>0</v>
      </c>
      <c r="R27" s="178">
        <v>0</v>
      </c>
      <c r="S27" s="178">
        <v>0</v>
      </c>
      <c r="T27" s="178">
        <v>0</v>
      </c>
      <c r="U27" s="178">
        <v>0</v>
      </c>
      <c r="V27" s="178">
        <v>0</v>
      </c>
      <c r="W27" s="178">
        <v>0</v>
      </c>
      <c r="X27" s="178">
        <v>0</v>
      </c>
      <c r="Y27" s="178">
        <v>0</v>
      </c>
      <c r="Z27" s="178">
        <v>0</v>
      </c>
      <c r="AA27" s="178">
        <v>0</v>
      </c>
      <c r="AB27" s="178">
        <v>0</v>
      </c>
      <c r="AC27" s="115"/>
      <c r="AD27" s="115"/>
      <c r="AE27" s="115"/>
      <c r="AF27" s="115"/>
      <c r="AG27" s="115"/>
      <c r="AH27" s="99"/>
      <c r="AI27" s="99"/>
      <c r="AJ27" s="99"/>
      <c r="AK27" s="99"/>
      <c r="AL27" s="99"/>
      <c r="AM27" s="99"/>
    </row>
    <row r="28" spans="1:39" ht="15">
      <c r="A28" s="106" t="s">
        <v>59</v>
      </c>
      <c r="B28" s="99"/>
      <c r="C28" s="190" t="s">
        <v>166</v>
      </c>
      <c r="D28" s="179"/>
      <c r="E28" s="180">
        <v>0</v>
      </c>
      <c r="F28" s="180">
        <v>0</v>
      </c>
      <c r="G28" s="180">
        <v>0</v>
      </c>
      <c r="H28" s="180">
        <v>0</v>
      </c>
      <c r="I28" s="180">
        <v>0</v>
      </c>
      <c r="J28" s="180">
        <v>0</v>
      </c>
      <c r="K28" s="180">
        <v>0</v>
      </c>
      <c r="L28" s="180">
        <v>0</v>
      </c>
      <c r="M28" s="180">
        <v>0</v>
      </c>
      <c r="N28" s="180">
        <v>0</v>
      </c>
      <c r="O28" s="180">
        <v>0</v>
      </c>
      <c r="P28" s="180">
        <v>0</v>
      </c>
      <c r="Q28" s="180">
        <v>0</v>
      </c>
      <c r="R28" s="180">
        <v>0</v>
      </c>
      <c r="S28" s="180">
        <v>0</v>
      </c>
      <c r="T28" s="180">
        <v>0</v>
      </c>
      <c r="U28" s="180">
        <v>0</v>
      </c>
      <c r="V28" s="180">
        <v>0</v>
      </c>
      <c r="W28" s="180">
        <v>0</v>
      </c>
      <c r="X28" s="180">
        <v>0</v>
      </c>
      <c r="Y28" s="180">
        <v>0</v>
      </c>
      <c r="Z28" s="180">
        <v>0</v>
      </c>
      <c r="AA28" s="180">
        <v>0</v>
      </c>
      <c r="AB28" s="180">
        <v>0</v>
      </c>
      <c r="AC28" s="115"/>
      <c r="AD28" s="115"/>
      <c r="AE28" s="115"/>
      <c r="AF28" s="115"/>
      <c r="AG28" s="115"/>
      <c r="AH28" s="99"/>
      <c r="AI28" s="99"/>
      <c r="AJ28" s="99"/>
      <c r="AK28" s="99"/>
      <c r="AL28" s="99"/>
      <c r="AM28" s="99"/>
    </row>
    <row r="29" spans="1:39" ht="15">
      <c r="A29" s="106" t="s">
        <v>60</v>
      </c>
      <c r="B29" s="99"/>
      <c r="C29" s="191"/>
      <c r="D29" s="179"/>
      <c r="E29" s="180">
        <v>0</v>
      </c>
      <c r="F29" s="180">
        <v>0</v>
      </c>
      <c r="G29" s="180">
        <v>0</v>
      </c>
      <c r="H29" s="180">
        <v>199204.16</v>
      </c>
      <c r="I29" s="180">
        <v>188854.77</v>
      </c>
      <c r="J29" s="180">
        <v>0</v>
      </c>
      <c r="K29" s="180">
        <v>0</v>
      </c>
      <c r="L29" s="180">
        <v>0</v>
      </c>
      <c r="M29" s="180">
        <v>193130.24</v>
      </c>
      <c r="N29" s="180">
        <v>0</v>
      </c>
      <c r="O29" s="180">
        <v>0</v>
      </c>
      <c r="P29" s="180">
        <v>0</v>
      </c>
      <c r="Q29" s="180">
        <v>0</v>
      </c>
      <c r="R29" s="180">
        <v>0</v>
      </c>
      <c r="S29" s="180">
        <v>0</v>
      </c>
      <c r="T29" s="180">
        <v>0</v>
      </c>
      <c r="U29" s="180">
        <v>0</v>
      </c>
      <c r="V29" s="180">
        <v>0</v>
      </c>
      <c r="W29" s="180">
        <v>0</v>
      </c>
      <c r="X29" s="180">
        <v>0</v>
      </c>
      <c r="Y29" s="180">
        <v>0</v>
      </c>
      <c r="Z29" s="180">
        <v>0</v>
      </c>
      <c r="AA29" s="180">
        <v>0</v>
      </c>
      <c r="AB29" s="180">
        <v>0</v>
      </c>
      <c r="AC29" s="115"/>
      <c r="AD29" s="115"/>
      <c r="AE29" s="115"/>
      <c r="AF29" s="115"/>
      <c r="AG29" s="115"/>
      <c r="AH29" s="99"/>
      <c r="AI29" s="99"/>
      <c r="AJ29" s="99"/>
      <c r="AK29" s="99"/>
      <c r="AL29" s="99"/>
      <c r="AM29" s="99"/>
    </row>
    <row r="30" spans="1:42" ht="15">
      <c r="A30" s="106" t="s">
        <v>61</v>
      </c>
      <c r="B30" s="99"/>
      <c r="C30" s="191"/>
      <c r="D30" s="179">
        <v>1458765.78</v>
      </c>
      <c r="E30" s="180">
        <v>1545366.83</v>
      </c>
      <c r="F30" s="180">
        <v>1449223.99</v>
      </c>
      <c r="G30" s="180">
        <v>1189187.56</v>
      </c>
      <c r="H30" s="180">
        <v>1121800.59</v>
      </c>
      <c r="I30" s="180">
        <v>808225.47</v>
      </c>
      <c r="J30" s="180">
        <v>1184128.14</v>
      </c>
      <c r="K30" s="180">
        <v>1109449.91</v>
      </c>
      <c r="L30" s="180">
        <v>1226504.22</v>
      </c>
      <c r="M30" s="180">
        <v>734403.22</v>
      </c>
      <c r="N30" s="180">
        <v>0</v>
      </c>
      <c r="O30" s="180">
        <v>0</v>
      </c>
      <c r="P30" s="180">
        <v>0</v>
      </c>
      <c r="Q30" s="180">
        <v>0</v>
      </c>
      <c r="R30" s="180">
        <v>0</v>
      </c>
      <c r="S30" s="180">
        <v>0</v>
      </c>
      <c r="T30" s="180">
        <v>0</v>
      </c>
      <c r="U30" s="180">
        <v>0</v>
      </c>
      <c r="V30" s="180">
        <v>0</v>
      </c>
      <c r="W30" s="180">
        <v>0</v>
      </c>
      <c r="X30" s="180">
        <v>0</v>
      </c>
      <c r="Y30" s="180">
        <v>0</v>
      </c>
      <c r="Z30" s="180">
        <v>0</v>
      </c>
      <c r="AA30" s="180">
        <v>0</v>
      </c>
      <c r="AB30" s="180">
        <v>0</v>
      </c>
      <c r="AC30" s="115"/>
      <c r="AD30" s="115"/>
      <c r="AE30" s="115"/>
      <c r="AF30" s="115"/>
      <c r="AG30" s="115"/>
      <c r="AH30" s="99"/>
      <c r="AI30" s="99"/>
      <c r="AJ30" s="99"/>
      <c r="AK30" s="99"/>
      <c r="AL30" s="99"/>
      <c r="AM30" s="99"/>
      <c r="AN30" s="99"/>
      <c r="AO30" s="99"/>
      <c r="AP30" s="99"/>
    </row>
    <row r="31" spans="1:42" ht="15">
      <c r="A31" s="106" t="s">
        <v>62</v>
      </c>
      <c r="B31" s="99"/>
      <c r="C31" s="191"/>
      <c r="D31" s="179"/>
      <c r="E31" s="180">
        <v>0</v>
      </c>
      <c r="F31" s="180">
        <v>0</v>
      </c>
      <c r="G31" s="180">
        <v>0</v>
      </c>
      <c r="H31" s="180">
        <v>0</v>
      </c>
      <c r="I31" s="180">
        <v>0</v>
      </c>
      <c r="J31" s="180">
        <v>0</v>
      </c>
      <c r="K31" s="180">
        <v>0</v>
      </c>
      <c r="L31" s="180">
        <v>0</v>
      </c>
      <c r="M31" s="180">
        <v>0</v>
      </c>
      <c r="N31" s="180">
        <v>0</v>
      </c>
      <c r="O31" s="180">
        <v>0</v>
      </c>
      <c r="P31" s="180">
        <v>0</v>
      </c>
      <c r="Q31" s="180">
        <v>0</v>
      </c>
      <c r="R31" s="180">
        <v>0</v>
      </c>
      <c r="S31" s="180">
        <v>0</v>
      </c>
      <c r="T31" s="180">
        <v>0</v>
      </c>
      <c r="U31" s="180">
        <v>0</v>
      </c>
      <c r="V31" s="180">
        <v>0</v>
      </c>
      <c r="W31" s="180">
        <v>0</v>
      </c>
      <c r="X31" s="180">
        <v>0</v>
      </c>
      <c r="Y31" s="180">
        <v>0</v>
      </c>
      <c r="Z31" s="180">
        <v>0</v>
      </c>
      <c r="AA31" s="180">
        <v>0</v>
      </c>
      <c r="AB31" s="180">
        <v>0</v>
      </c>
      <c r="AC31" s="115"/>
      <c r="AD31" s="115"/>
      <c r="AE31" s="115"/>
      <c r="AF31" s="115"/>
      <c r="AG31" s="115"/>
      <c r="AH31" s="99"/>
      <c r="AI31" s="99"/>
      <c r="AJ31" s="99"/>
      <c r="AK31" s="99"/>
      <c r="AL31" s="99"/>
      <c r="AM31" s="99"/>
      <c r="AN31" s="99"/>
      <c r="AO31" s="99"/>
      <c r="AP31" s="99"/>
    </row>
    <row r="32" spans="1:42" ht="15">
      <c r="A32" s="106" t="s">
        <v>63</v>
      </c>
      <c r="B32" s="99"/>
      <c r="C32" s="190" t="s">
        <v>35</v>
      </c>
      <c r="D32" s="179"/>
      <c r="E32" s="180">
        <v>0</v>
      </c>
      <c r="F32" s="180">
        <v>0</v>
      </c>
      <c r="G32" s="180">
        <v>0</v>
      </c>
      <c r="H32" s="180">
        <v>0</v>
      </c>
      <c r="I32" s="180">
        <v>0</v>
      </c>
      <c r="J32" s="180">
        <v>0</v>
      </c>
      <c r="K32" s="180">
        <v>0</v>
      </c>
      <c r="L32" s="180">
        <v>0</v>
      </c>
      <c r="M32" s="180">
        <v>0</v>
      </c>
      <c r="N32" s="180">
        <v>0</v>
      </c>
      <c r="O32" s="180">
        <v>0</v>
      </c>
      <c r="P32" s="180">
        <v>0</v>
      </c>
      <c r="Q32" s="180">
        <v>0</v>
      </c>
      <c r="R32" s="180">
        <v>0</v>
      </c>
      <c r="S32" s="180">
        <v>0</v>
      </c>
      <c r="T32" s="180">
        <v>0</v>
      </c>
      <c r="U32" s="180">
        <v>0</v>
      </c>
      <c r="V32" s="180">
        <v>0</v>
      </c>
      <c r="W32" s="180">
        <v>0</v>
      </c>
      <c r="X32" s="180">
        <v>0</v>
      </c>
      <c r="Y32" s="180">
        <v>0</v>
      </c>
      <c r="Z32" s="180">
        <v>0</v>
      </c>
      <c r="AA32" s="180">
        <v>0</v>
      </c>
      <c r="AB32" s="180">
        <v>0</v>
      </c>
      <c r="AC32" s="115"/>
      <c r="AD32" s="115"/>
      <c r="AE32" s="115"/>
      <c r="AF32" s="115"/>
      <c r="AG32" s="115"/>
      <c r="AH32" s="99"/>
      <c r="AI32" s="99"/>
      <c r="AJ32" s="99"/>
      <c r="AK32" s="99"/>
      <c r="AL32" s="99"/>
      <c r="AM32" s="99"/>
      <c r="AN32" s="99"/>
      <c r="AO32" s="99"/>
      <c r="AP32" s="99"/>
    </row>
    <row r="33" spans="1:42" ht="15">
      <c r="A33" s="153" t="s">
        <v>64</v>
      </c>
      <c r="B33" s="154"/>
      <c r="C33" s="192" t="s">
        <v>167</v>
      </c>
      <c r="D33" s="177"/>
      <c r="E33" s="178">
        <v>0</v>
      </c>
      <c r="F33" s="178">
        <v>0</v>
      </c>
      <c r="G33" s="178">
        <v>0</v>
      </c>
      <c r="H33" s="178">
        <v>0</v>
      </c>
      <c r="I33" s="178">
        <v>0</v>
      </c>
      <c r="J33" s="178">
        <v>0</v>
      </c>
      <c r="K33" s="178">
        <v>0</v>
      </c>
      <c r="L33" s="178">
        <v>0</v>
      </c>
      <c r="M33" s="178">
        <v>0</v>
      </c>
      <c r="N33" s="178">
        <v>0</v>
      </c>
      <c r="O33" s="178">
        <v>0</v>
      </c>
      <c r="P33" s="178">
        <v>0</v>
      </c>
      <c r="Q33" s="178">
        <v>0</v>
      </c>
      <c r="R33" s="178">
        <v>0</v>
      </c>
      <c r="S33" s="178">
        <v>0</v>
      </c>
      <c r="T33" s="178">
        <v>0</v>
      </c>
      <c r="U33" s="178">
        <v>0</v>
      </c>
      <c r="V33" s="178">
        <v>0</v>
      </c>
      <c r="W33" s="178">
        <v>0</v>
      </c>
      <c r="X33" s="178">
        <v>0</v>
      </c>
      <c r="Y33" s="178">
        <v>0</v>
      </c>
      <c r="Z33" s="178">
        <v>0</v>
      </c>
      <c r="AA33" s="178">
        <v>0</v>
      </c>
      <c r="AB33" s="178">
        <v>0</v>
      </c>
      <c r="AC33" s="115"/>
      <c r="AD33" s="115"/>
      <c r="AE33" s="115"/>
      <c r="AF33" s="115"/>
      <c r="AG33" s="115"/>
      <c r="AH33" s="99"/>
      <c r="AI33" s="99"/>
      <c r="AJ33" s="99"/>
      <c r="AK33" s="99"/>
      <c r="AL33" s="99"/>
      <c r="AM33" s="99"/>
      <c r="AN33" s="99"/>
      <c r="AO33" s="99"/>
      <c r="AP33" s="99"/>
    </row>
    <row r="34" spans="1:42" ht="15">
      <c r="A34" s="153" t="s">
        <v>65</v>
      </c>
      <c r="B34" s="154"/>
      <c r="C34" s="192"/>
      <c r="D34" s="177"/>
      <c r="E34" s="178">
        <v>0</v>
      </c>
      <c r="F34" s="178">
        <v>0</v>
      </c>
      <c r="G34" s="178">
        <v>0</v>
      </c>
      <c r="H34" s="178">
        <v>561.5</v>
      </c>
      <c r="I34" s="178">
        <v>582.39</v>
      </c>
      <c r="J34" s="178">
        <v>0</v>
      </c>
      <c r="K34" s="178">
        <v>0</v>
      </c>
      <c r="L34" s="178">
        <v>0</v>
      </c>
      <c r="M34" s="178">
        <v>650.96</v>
      </c>
      <c r="N34" s="178">
        <v>0</v>
      </c>
      <c r="O34" s="178">
        <v>0</v>
      </c>
      <c r="P34" s="178">
        <v>0</v>
      </c>
      <c r="Q34" s="178">
        <v>0</v>
      </c>
      <c r="R34" s="178">
        <v>0</v>
      </c>
      <c r="S34" s="178">
        <v>0</v>
      </c>
      <c r="T34" s="178">
        <v>0</v>
      </c>
      <c r="U34" s="178">
        <v>0</v>
      </c>
      <c r="V34" s="178">
        <v>0</v>
      </c>
      <c r="W34" s="178">
        <v>0</v>
      </c>
      <c r="X34" s="178">
        <v>0</v>
      </c>
      <c r="Y34" s="178">
        <v>0</v>
      </c>
      <c r="Z34" s="178">
        <v>0</v>
      </c>
      <c r="AA34" s="178">
        <v>0</v>
      </c>
      <c r="AB34" s="178">
        <v>0</v>
      </c>
      <c r="AC34" s="115"/>
      <c r="AD34" s="115"/>
      <c r="AE34" s="115"/>
      <c r="AF34" s="115"/>
      <c r="AG34" s="115"/>
      <c r="AH34" s="99"/>
      <c r="AI34" s="99"/>
      <c r="AJ34" s="99"/>
      <c r="AK34" s="99"/>
      <c r="AL34" s="99"/>
      <c r="AM34" s="99"/>
      <c r="AN34" s="99"/>
      <c r="AO34" s="99"/>
      <c r="AP34" s="99"/>
    </row>
    <row r="35" spans="1:42" ht="15">
      <c r="A35" s="153" t="s">
        <v>66</v>
      </c>
      <c r="B35" s="154"/>
      <c r="C35" s="192"/>
      <c r="D35" s="177">
        <v>12498.05</v>
      </c>
      <c r="E35" s="178">
        <v>13118.4</v>
      </c>
      <c r="F35" s="178">
        <v>13698.83</v>
      </c>
      <c r="G35" s="178">
        <v>14252.32</v>
      </c>
      <c r="H35" s="178">
        <v>14252.32</v>
      </c>
      <c r="I35" s="178">
        <v>14813.82</v>
      </c>
      <c r="J35" s="178">
        <v>15985.91</v>
      </c>
      <c r="K35" s="178">
        <v>16598.04</v>
      </c>
      <c r="L35" s="178">
        <v>3500.93</v>
      </c>
      <c r="M35" s="178">
        <v>3500.93</v>
      </c>
      <c r="N35" s="178">
        <v>0</v>
      </c>
      <c r="O35" s="178">
        <v>0</v>
      </c>
      <c r="P35" s="178">
        <v>0</v>
      </c>
      <c r="Q35" s="178">
        <v>0</v>
      </c>
      <c r="R35" s="178">
        <v>0</v>
      </c>
      <c r="S35" s="178">
        <v>0</v>
      </c>
      <c r="T35" s="178">
        <v>0</v>
      </c>
      <c r="U35" s="178">
        <v>0</v>
      </c>
      <c r="V35" s="178">
        <v>0</v>
      </c>
      <c r="W35" s="178">
        <v>0</v>
      </c>
      <c r="X35" s="178">
        <v>0</v>
      </c>
      <c r="Y35" s="178">
        <v>0</v>
      </c>
      <c r="Z35" s="178">
        <v>0</v>
      </c>
      <c r="AA35" s="178">
        <v>0</v>
      </c>
      <c r="AB35" s="178">
        <v>0</v>
      </c>
      <c r="AC35" s="115"/>
      <c r="AD35" s="115"/>
      <c r="AE35" s="115"/>
      <c r="AF35" s="115"/>
      <c r="AG35" s="115"/>
      <c r="AH35" s="99"/>
      <c r="AI35" s="99"/>
      <c r="AJ35" s="99"/>
      <c r="AK35" s="99"/>
      <c r="AL35" s="99"/>
      <c r="AM35" s="99"/>
      <c r="AN35" s="99"/>
      <c r="AO35" s="99"/>
      <c r="AP35" s="99"/>
    </row>
    <row r="36" spans="1:42" ht="15">
      <c r="A36" s="153" t="s">
        <v>67</v>
      </c>
      <c r="B36" s="154"/>
      <c r="C36" s="192"/>
      <c r="D36" s="177"/>
      <c r="E36" s="178">
        <v>0</v>
      </c>
      <c r="F36" s="178">
        <v>0</v>
      </c>
      <c r="G36" s="178">
        <v>0</v>
      </c>
      <c r="H36" s="178">
        <v>0</v>
      </c>
      <c r="I36" s="178">
        <v>0</v>
      </c>
      <c r="J36" s="178">
        <v>0</v>
      </c>
      <c r="K36" s="178">
        <v>0</v>
      </c>
      <c r="L36" s="178">
        <v>0</v>
      </c>
      <c r="M36" s="178">
        <v>0</v>
      </c>
      <c r="N36" s="178">
        <v>0</v>
      </c>
      <c r="O36" s="178">
        <v>0</v>
      </c>
      <c r="P36" s="178">
        <v>0</v>
      </c>
      <c r="Q36" s="178">
        <v>0</v>
      </c>
      <c r="R36" s="178">
        <v>0</v>
      </c>
      <c r="S36" s="178">
        <v>0</v>
      </c>
      <c r="T36" s="178">
        <v>0</v>
      </c>
      <c r="U36" s="178">
        <v>0</v>
      </c>
      <c r="V36" s="178">
        <v>0</v>
      </c>
      <c r="W36" s="178">
        <v>0</v>
      </c>
      <c r="X36" s="178">
        <v>0</v>
      </c>
      <c r="Y36" s="178">
        <v>0</v>
      </c>
      <c r="Z36" s="178">
        <v>0</v>
      </c>
      <c r="AA36" s="178">
        <v>0</v>
      </c>
      <c r="AB36" s="178">
        <v>0</v>
      </c>
      <c r="AC36" s="115"/>
      <c r="AD36" s="115"/>
      <c r="AE36" s="115"/>
      <c r="AF36" s="115"/>
      <c r="AG36" s="115"/>
      <c r="AH36" s="99"/>
      <c r="AI36" s="99"/>
      <c r="AJ36" s="99"/>
      <c r="AK36" s="99"/>
      <c r="AL36" s="99"/>
      <c r="AM36" s="99"/>
      <c r="AN36" s="99"/>
      <c r="AO36" s="99"/>
      <c r="AP36" s="99"/>
    </row>
    <row r="37" spans="1:42" ht="15">
      <c r="A37" s="153" t="s">
        <v>68</v>
      </c>
      <c r="B37" s="154"/>
      <c r="C37" s="192" t="s">
        <v>25</v>
      </c>
      <c r="D37" s="177"/>
      <c r="E37" s="178">
        <v>0</v>
      </c>
      <c r="F37" s="178">
        <v>0</v>
      </c>
      <c r="G37" s="178">
        <v>0</v>
      </c>
      <c r="H37" s="178">
        <v>0</v>
      </c>
      <c r="I37" s="178">
        <v>0</v>
      </c>
      <c r="J37" s="178">
        <v>0</v>
      </c>
      <c r="K37" s="178">
        <v>0</v>
      </c>
      <c r="L37" s="178">
        <v>0</v>
      </c>
      <c r="M37" s="178">
        <v>0</v>
      </c>
      <c r="N37" s="178">
        <v>0</v>
      </c>
      <c r="O37" s="178">
        <v>0</v>
      </c>
      <c r="P37" s="178">
        <v>0</v>
      </c>
      <c r="Q37" s="178">
        <v>0</v>
      </c>
      <c r="R37" s="178">
        <v>0</v>
      </c>
      <c r="S37" s="178">
        <v>0</v>
      </c>
      <c r="T37" s="178">
        <v>0</v>
      </c>
      <c r="U37" s="178">
        <v>0</v>
      </c>
      <c r="V37" s="178">
        <v>0</v>
      </c>
      <c r="W37" s="178">
        <v>0</v>
      </c>
      <c r="X37" s="178">
        <v>0</v>
      </c>
      <c r="Y37" s="178">
        <v>0</v>
      </c>
      <c r="Z37" s="178">
        <v>0</v>
      </c>
      <c r="AA37" s="178">
        <v>0</v>
      </c>
      <c r="AB37" s="178">
        <v>0</v>
      </c>
      <c r="AC37" s="115"/>
      <c r="AD37" s="115"/>
      <c r="AE37" s="115"/>
      <c r="AF37" s="115"/>
      <c r="AG37" s="115"/>
      <c r="AH37" s="99"/>
      <c r="AI37" s="99"/>
      <c r="AJ37" s="99"/>
      <c r="AK37" s="99"/>
      <c r="AL37" s="99"/>
      <c r="AM37" s="99"/>
      <c r="AN37" s="99"/>
      <c r="AO37" s="99"/>
      <c r="AP37" s="99"/>
    </row>
    <row r="38" spans="1:42" ht="15">
      <c r="A38" s="106" t="s">
        <v>69</v>
      </c>
      <c r="B38" s="99"/>
      <c r="C38" s="193" t="s">
        <v>168</v>
      </c>
      <c r="D38" s="179"/>
      <c r="E38" s="180">
        <v>0</v>
      </c>
      <c r="F38" s="180">
        <v>0</v>
      </c>
      <c r="G38" s="180">
        <v>0</v>
      </c>
      <c r="H38" s="180">
        <v>0</v>
      </c>
      <c r="I38" s="180">
        <v>0</v>
      </c>
      <c r="J38" s="180">
        <v>0</v>
      </c>
      <c r="K38" s="180">
        <v>0</v>
      </c>
      <c r="L38" s="180">
        <v>0</v>
      </c>
      <c r="M38" s="180">
        <v>0</v>
      </c>
      <c r="N38" s="180">
        <v>0</v>
      </c>
      <c r="O38" s="180">
        <v>0</v>
      </c>
      <c r="P38" s="180">
        <v>0</v>
      </c>
      <c r="Q38" s="180">
        <v>0</v>
      </c>
      <c r="R38" s="180">
        <v>0</v>
      </c>
      <c r="S38" s="180">
        <v>0</v>
      </c>
      <c r="T38" s="180">
        <v>0</v>
      </c>
      <c r="U38" s="180">
        <v>0</v>
      </c>
      <c r="V38" s="180">
        <v>0</v>
      </c>
      <c r="W38" s="180">
        <v>0</v>
      </c>
      <c r="X38" s="180">
        <v>0</v>
      </c>
      <c r="Y38" s="180">
        <v>0</v>
      </c>
      <c r="Z38" s="180">
        <v>0</v>
      </c>
      <c r="AA38" s="180">
        <v>0</v>
      </c>
      <c r="AB38" s="180">
        <v>0</v>
      </c>
      <c r="AC38" s="115"/>
      <c r="AD38" s="115"/>
      <c r="AE38" s="115"/>
      <c r="AF38" s="115"/>
      <c r="AG38" s="115"/>
      <c r="AH38" s="99"/>
      <c r="AI38" s="99"/>
      <c r="AJ38" s="99"/>
      <c r="AK38" s="99"/>
      <c r="AL38" s="99"/>
      <c r="AM38" s="99"/>
      <c r="AN38" s="99"/>
      <c r="AO38" s="99"/>
      <c r="AP38" s="99"/>
    </row>
    <row r="39" spans="1:42" ht="15">
      <c r="A39" s="106" t="s">
        <v>70</v>
      </c>
      <c r="B39" s="99"/>
      <c r="C39" s="194"/>
      <c r="D39" s="179"/>
      <c r="E39" s="180">
        <v>0</v>
      </c>
      <c r="F39" s="180">
        <v>0</v>
      </c>
      <c r="G39" s="180">
        <v>0</v>
      </c>
      <c r="H39" s="180">
        <v>0</v>
      </c>
      <c r="I39" s="180">
        <v>0</v>
      </c>
      <c r="J39" s="180">
        <v>0</v>
      </c>
      <c r="K39" s="180">
        <v>0</v>
      </c>
      <c r="L39" s="180">
        <v>0</v>
      </c>
      <c r="M39" s="180">
        <v>0</v>
      </c>
      <c r="N39" s="180">
        <v>0</v>
      </c>
      <c r="O39" s="180">
        <v>0</v>
      </c>
      <c r="P39" s="180">
        <v>0</v>
      </c>
      <c r="Q39" s="180">
        <v>0</v>
      </c>
      <c r="R39" s="180">
        <v>0</v>
      </c>
      <c r="S39" s="180">
        <v>0</v>
      </c>
      <c r="T39" s="180">
        <v>0</v>
      </c>
      <c r="U39" s="180">
        <v>0</v>
      </c>
      <c r="V39" s="180">
        <v>0</v>
      </c>
      <c r="W39" s="180">
        <v>0</v>
      </c>
      <c r="X39" s="180">
        <v>0</v>
      </c>
      <c r="Y39" s="180">
        <v>0</v>
      </c>
      <c r="Z39" s="180">
        <v>0</v>
      </c>
      <c r="AA39" s="180">
        <v>0</v>
      </c>
      <c r="AB39" s="180">
        <v>0</v>
      </c>
      <c r="AC39" s="115"/>
      <c r="AD39" s="115"/>
      <c r="AE39" s="115"/>
      <c r="AF39" s="115"/>
      <c r="AG39" s="115"/>
      <c r="AH39" s="99"/>
      <c r="AI39" s="99"/>
      <c r="AJ39" s="99"/>
      <c r="AK39" s="99"/>
      <c r="AL39" s="99"/>
      <c r="AM39" s="99"/>
      <c r="AN39" s="99"/>
      <c r="AO39" s="99"/>
      <c r="AP39" s="99"/>
    </row>
    <row r="40" spans="1:42" ht="15">
      <c r="A40" s="106" t="s">
        <v>71</v>
      </c>
      <c r="B40" s="99"/>
      <c r="C40" s="194"/>
      <c r="D40" s="179">
        <v>54979.78</v>
      </c>
      <c r="E40" s="180">
        <v>75418.54</v>
      </c>
      <c r="F40" s="180">
        <v>77436.86</v>
      </c>
      <c r="G40" s="180">
        <v>72457.61</v>
      </c>
      <c r="H40" s="180">
        <v>93672.66</v>
      </c>
      <c r="I40" s="180">
        <v>70026.29</v>
      </c>
      <c r="J40" s="180">
        <v>92509.84</v>
      </c>
      <c r="K40" s="180">
        <v>110905.98</v>
      </c>
      <c r="L40" s="180">
        <v>115819.52</v>
      </c>
      <c r="M40" s="180">
        <v>81984.79</v>
      </c>
      <c r="N40" s="180">
        <v>0</v>
      </c>
      <c r="O40" s="180">
        <v>0</v>
      </c>
      <c r="P40" s="180">
        <v>0</v>
      </c>
      <c r="Q40" s="180">
        <v>0</v>
      </c>
      <c r="R40" s="180">
        <v>0</v>
      </c>
      <c r="S40" s="180">
        <v>0</v>
      </c>
      <c r="T40" s="180">
        <v>0</v>
      </c>
      <c r="U40" s="180">
        <v>0</v>
      </c>
      <c r="V40" s="180">
        <v>0</v>
      </c>
      <c r="W40" s="180">
        <v>0</v>
      </c>
      <c r="X40" s="180">
        <v>0</v>
      </c>
      <c r="Y40" s="180">
        <v>0</v>
      </c>
      <c r="Z40" s="180">
        <v>0</v>
      </c>
      <c r="AA40" s="180">
        <v>0</v>
      </c>
      <c r="AB40" s="180">
        <v>0</v>
      </c>
      <c r="AC40" s="115"/>
      <c r="AD40" s="115"/>
      <c r="AE40" s="115"/>
      <c r="AF40" s="115"/>
      <c r="AG40" s="115"/>
      <c r="AH40" s="99"/>
      <c r="AI40" s="99"/>
      <c r="AJ40" s="99"/>
      <c r="AK40" s="99"/>
      <c r="AL40" s="99"/>
      <c r="AM40" s="99"/>
      <c r="AN40" s="99"/>
      <c r="AO40" s="99"/>
      <c r="AP40" s="99"/>
    </row>
    <row r="41" spans="1:42" ht="15">
      <c r="A41" s="106" t="s">
        <v>72</v>
      </c>
      <c r="B41" s="99"/>
      <c r="C41" s="194"/>
      <c r="D41" s="179"/>
      <c r="E41" s="180">
        <v>0</v>
      </c>
      <c r="F41" s="180">
        <v>0</v>
      </c>
      <c r="G41" s="180">
        <v>0</v>
      </c>
      <c r="H41" s="180">
        <v>0</v>
      </c>
      <c r="I41" s="180">
        <v>0</v>
      </c>
      <c r="J41" s="180">
        <v>0</v>
      </c>
      <c r="K41" s="180">
        <v>0</v>
      </c>
      <c r="L41" s="180">
        <v>0</v>
      </c>
      <c r="M41" s="180">
        <v>0</v>
      </c>
      <c r="N41" s="180">
        <v>0</v>
      </c>
      <c r="O41" s="180">
        <v>0</v>
      </c>
      <c r="P41" s="180">
        <v>0</v>
      </c>
      <c r="Q41" s="180">
        <v>0</v>
      </c>
      <c r="R41" s="180">
        <v>0</v>
      </c>
      <c r="S41" s="180">
        <v>0</v>
      </c>
      <c r="T41" s="180">
        <v>0</v>
      </c>
      <c r="U41" s="180">
        <v>0</v>
      </c>
      <c r="V41" s="180">
        <v>0</v>
      </c>
      <c r="W41" s="180">
        <v>0</v>
      </c>
      <c r="X41" s="180">
        <v>0</v>
      </c>
      <c r="Y41" s="180">
        <v>0</v>
      </c>
      <c r="Z41" s="180">
        <v>0</v>
      </c>
      <c r="AA41" s="180">
        <v>0</v>
      </c>
      <c r="AB41" s="180">
        <v>0</v>
      </c>
      <c r="AC41" s="115"/>
      <c r="AD41" s="115"/>
      <c r="AE41" s="115"/>
      <c r="AF41" s="115"/>
      <c r="AG41" s="115"/>
      <c r="AH41" s="99"/>
      <c r="AI41" s="99"/>
      <c r="AJ41" s="99"/>
      <c r="AK41" s="99"/>
      <c r="AL41" s="99"/>
      <c r="AM41" s="99"/>
      <c r="AN41" s="99"/>
      <c r="AO41" s="99"/>
      <c r="AP41" s="99"/>
    </row>
    <row r="42" spans="1:42" ht="15">
      <c r="A42" s="106" t="s">
        <v>73</v>
      </c>
      <c r="B42" s="99"/>
      <c r="C42" s="193" t="s">
        <v>32</v>
      </c>
      <c r="D42" s="179"/>
      <c r="E42" s="180">
        <v>0</v>
      </c>
      <c r="F42" s="180">
        <v>0</v>
      </c>
      <c r="G42" s="180">
        <v>0</v>
      </c>
      <c r="H42" s="180">
        <v>0</v>
      </c>
      <c r="I42" s="180">
        <v>0</v>
      </c>
      <c r="J42" s="180">
        <v>0</v>
      </c>
      <c r="K42" s="180">
        <v>0</v>
      </c>
      <c r="L42" s="180">
        <v>0</v>
      </c>
      <c r="M42" s="180">
        <v>0</v>
      </c>
      <c r="N42" s="180">
        <v>0</v>
      </c>
      <c r="O42" s="180">
        <v>0</v>
      </c>
      <c r="P42" s="180">
        <v>0</v>
      </c>
      <c r="Q42" s="180">
        <v>0</v>
      </c>
      <c r="R42" s="180">
        <v>0</v>
      </c>
      <c r="S42" s="180">
        <v>0</v>
      </c>
      <c r="T42" s="180">
        <v>0</v>
      </c>
      <c r="U42" s="180">
        <v>0</v>
      </c>
      <c r="V42" s="180">
        <v>0</v>
      </c>
      <c r="W42" s="180">
        <v>0</v>
      </c>
      <c r="X42" s="180">
        <v>0</v>
      </c>
      <c r="Y42" s="180">
        <v>0</v>
      </c>
      <c r="Z42" s="180">
        <v>0</v>
      </c>
      <c r="AA42" s="180">
        <v>0</v>
      </c>
      <c r="AB42" s="180">
        <v>0</v>
      </c>
      <c r="AC42" s="115"/>
      <c r="AD42" s="115"/>
      <c r="AE42" s="115"/>
      <c r="AF42" s="115"/>
      <c r="AG42" s="115"/>
      <c r="AH42" s="99"/>
      <c r="AI42" s="99"/>
      <c r="AJ42" s="99"/>
      <c r="AK42" s="99"/>
      <c r="AL42" s="99"/>
      <c r="AM42" s="99"/>
      <c r="AN42" s="99"/>
      <c r="AO42" s="99"/>
      <c r="AP42" s="99"/>
    </row>
    <row r="43" spans="1:33" s="99" customFormat="1" ht="15">
      <c r="A43" s="153" t="s">
        <v>74</v>
      </c>
      <c r="B43" s="154"/>
      <c r="C43" s="188" t="s">
        <v>169</v>
      </c>
      <c r="D43" s="177"/>
      <c r="E43" s="178">
        <v>0</v>
      </c>
      <c r="F43" s="178">
        <v>0</v>
      </c>
      <c r="G43" s="178">
        <v>0</v>
      </c>
      <c r="H43" s="178">
        <v>0</v>
      </c>
      <c r="I43" s="178">
        <v>0</v>
      </c>
      <c r="J43" s="178">
        <v>0</v>
      </c>
      <c r="K43" s="178">
        <v>0</v>
      </c>
      <c r="L43" s="178">
        <v>0</v>
      </c>
      <c r="M43" s="178">
        <v>0</v>
      </c>
      <c r="N43" s="178">
        <v>0</v>
      </c>
      <c r="O43" s="178">
        <v>0</v>
      </c>
      <c r="P43" s="178">
        <v>0</v>
      </c>
      <c r="Q43" s="178">
        <v>0</v>
      </c>
      <c r="R43" s="178">
        <v>0</v>
      </c>
      <c r="S43" s="178">
        <v>0</v>
      </c>
      <c r="T43" s="178">
        <v>0</v>
      </c>
      <c r="U43" s="178">
        <v>0</v>
      </c>
      <c r="V43" s="178">
        <v>0</v>
      </c>
      <c r="W43" s="178">
        <v>0</v>
      </c>
      <c r="X43" s="178">
        <v>0</v>
      </c>
      <c r="Y43" s="178">
        <v>0</v>
      </c>
      <c r="Z43" s="178">
        <v>0</v>
      </c>
      <c r="AA43" s="178">
        <v>0</v>
      </c>
      <c r="AB43" s="178">
        <v>0</v>
      </c>
      <c r="AC43" s="115"/>
      <c r="AD43" s="115"/>
      <c r="AE43" s="115"/>
      <c r="AF43" s="115"/>
      <c r="AG43" s="115"/>
    </row>
    <row r="44" spans="1:33" s="99" customFormat="1" ht="15">
      <c r="A44" s="153" t="s">
        <v>75</v>
      </c>
      <c r="B44" s="154"/>
      <c r="C44" s="188"/>
      <c r="D44" s="177"/>
      <c r="E44" s="178">
        <v>0</v>
      </c>
      <c r="F44" s="178">
        <v>0</v>
      </c>
      <c r="G44" s="178">
        <v>0</v>
      </c>
      <c r="H44" s="178">
        <v>0</v>
      </c>
      <c r="I44" s="178">
        <v>0</v>
      </c>
      <c r="J44" s="178">
        <v>0</v>
      </c>
      <c r="K44" s="178">
        <v>0</v>
      </c>
      <c r="L44" s="178">
        <v>0</v>
      </c>
      <c r="M44" s="178">
        <v>0</v>
      </c>
      <c r="N44" s="178">
        <v>0</v>
      </c>
      <c r="O44" s="178">
        <v>0</v>
      </c>
      <c r="P44" s="178">
        <v>0</v>
      </c>
      <c r="Q44" s="178">
        <v>0</v>
      </c>
      <c r="R44" s="178">
        <v>0</v>
      </c>
      <c r="S44" s="178">
        <v>0</v>
      </c>
      <c r="T44" s="178">
        <v>0</v>
      </c>
      <c r="U44" s="178">
        <v>0</v>
      </c>
      <c r="V44" s="178">
        <v>0</v>
      </c>
      <c r="W44" s="178">
        <v>0</v>
      </c>
      <c r="X44" s="178">
        <v>0</v>
      </c>
      <c r="Y44" s="178">
        <v>0</v>
      </c>
      <c r="Z44" s="178">
        <v>0</v>
      </c>
      <c r="AA44" s="178">
        <v>0</v>
      </c>
      <c r="AB44" s="178">
        <v>0</v>
      </c>
      <c r="AC44" s="115"/>
      <c r="AD44" s="115"/>
      <c r="AE44" s="115"/>
      <c r="AF44" s="115"/>
      <c r="AG44" s="115"/>
    </row>
    <row r="45" spans="1:33" s="99" customFormat="1" ht="15">
      <c r="A45" s="153" t="s">
        <v>77</v>
      </c>
      <c r="B45" s="154"/>
      <c r="C45" s="188"/>
      <c r="D45" s="177">
        <v>130917.73</v>
      </c>
      <c r="E45" s="178">
        <v>212742.79</v>
      </c>
      <c r="F45" s="178">
        <v>290492.91</v>
      </c>
      <c r="G45" s="178">
        <v>225829.64</v>
      </c>
      <c r="H45" s="178">
        <v>261266.15</v>
      </c>
      <c r="I45" s="178">
        <v>199840.21</v>
      </c>
      <c r="J45" s="178">
        <v>234408.43</v>
      </c>
      <c r="K45" s="178">
        <v>275173.53</v>
      </c>
      <c r="L45" s="178">
        <v>268191.46</v>
      </c>
      <c r="M45" s="178">
        <v>173233.78</v>
      </c>
      <c r="N45" s="178">
        <v>0</v>
      </c>
      <c r="O45" s="178">
        <v>0</v>
      </c>
      <c r="P45" s="178">
        <v>0</v>
      </c>
      <c r="Q45" s="178">
        <v>0</v>
      </c>
      <c r="R45" s="178">
        <v>0</v>
      </c>
      <c r="S45" s="178">
        <v>0</v>
      </c>
      <c r="T45" s="178">
        <v>0</v>
      </c>
      <c r="U45" s="178">
        <v>0</v>
      </c>
      <c r="V45" s="178">
        <v>0</v>
      </c>
      <c r="W45" s="178">
        <v>0</v>
      </c>
      <c r="X45" s="178">
        <v>0</v>
      </c>
      <c r="Y45" s="178">
        <v>0</v>
      </c>
      <c r="Z45" s="178">
        <v>0</v>
      </c>
      <c r="AA45" s="178">
        <v>0</v>
      </c>
      <c r="AB45" s="178">
        <v>0</v>
      </c>
      <c r="AC45" s="115"/>
      <c r="AD45" s="115"/>
      <c r="AE45" s="115"/>
      <c r="AF45" s="115"/>
      <c r="AG45" s="115"/>
    </row>
    <row r="46" spans="1:33" s="99" customFormat="1" ht="15">
      <c r="A46" s="153" t="s">
        <v>78</v>
      </c>
      <c r="B46" s="154"/>
      <c r="C46" s="188"/>
      <c r="D46" s="177"/>
      <c r="E46" s="178">
        <v>0</v>
      </c>
      <c r="F46" s="178">
        <v>0</v>
      </c>
      <c r="G46" s="178">
        <v>0</v>
      </c>
      <c r="H46" s="178">
        <v>0</v>
      </c>
      <c r="I46" s="178">
        <v>0</v>
      </c>
      <c r="J46" s="178">
        <v>0</v>
      </c>
      <c r="K46" s="178">
        <v>0</v>
      </c>
      <c r="L46" s="178">
        <v>0</v>
      </c>
      <c r="M46" s="178">
        <v>0</v>
      </c>
      <c r="N46" s="178">
        <v>0</v>
      </c>
      <c r="O46" s="178">
        <v>0</v>
      </c>
      <c r="P46" s="178">
        <v>0</v>
      </c>
      <c r="Q46" s="178">
        <v>0</v>
      </c>
      <c r="R46" s="178">
        <v>0</v>
      </c>
      <c r="S46" s="178">
        <v>0</v>
      </c>
      <c r="T46" s="178">
        <v>0</v>
      </c>
      <c r="U46" s="178">
        <v>0</v>
      </c>
      <c r="V46" s="178">
        <v>0</v>
      </c>
      <c r="W46" s="178">
        <v>0</v>
      </c>
      <c r="X46" s="178">
        <v>0</v>
      </c>
      <c r="Y46" s="178">
        <v>0</v>
      </c>
      <c r="Z46" s="178">
        <v>0</v>
      </c>
      <c r="AA46" s="178">
        <v>0</v>
      </c>
      <c r="AB46" s="178">
        <v>0</v>
      </c>
      <c r="AC46" s="115"/>
      <c r="AD46" s="115"/>
      <c r="AE46" s="115"/>
      <c r="AF46" s="115"/>
      <c r="AG46" s="115"/>
    </row>
    <row r="47" spans="1:33" s="99" customFormat="1" ht="15">
      <c r="A47" s="153" t="s">
        <v>79</v>
      </c>
      <c r="B47" s="154"/>
      <c r="C47" s="188" t="s">
        <v>33</v>
      </c>
      <c r="D47" s="177"/>
      <c r="E47" s="178">
        <v>0</v>
      </c>
      <c r="F47" s="178">
        <v>0</v>
      </c>
      <c r="G47" s="178">
        <v>0</v>
      </c>
      <c r="H47" s="178">
        <v>0</v>
      </c>
      <c r="I47" s="178">
        <v>0</v>
      </c>
      <c r="J47" s="178">
        <v>0</v>
      </c>
      <c r="K47" s="178">
        <v>0</v>
      </c>
      <c r="L47" s="178">
        <v>0</v>
      </c>
      <c r="M47" s="178">
        <v>0</v>
      </c>
      <c r="N47" s="178">
        <v>0</v>
      </c>
      <c r="O47" s="178">
        <v>0</v>
      </c>
      <c r="P47" s="178">
        <v>0</v>
      </c>
      <c r="Q47" s="178">
        <v>0</v>
      </c>
      <c r="R47" s="178">
        <v>0</v>
      </c>
      <c r="S47" s="178">
        <v>0</v>
      </c>
      <c r="T47" s="178">
        <v>0</v>
      </c>
      <c r="U47" s="178">
        <v>0</v>
      </c>
      <c r="V47" s="178">
        <v>0</v>
      </c>
      <c r="W47" s="178">
        <v>0</v>
      </c>
      <c r="X47" s="178">
        <v>0</v>
      </c>
      <c r="Y47" s="178">
        <v>0</v>
      </c>
      <c r="Z47" s="178">
        <v>0</v>
      </c>
      <c r="AA47" s="178">
        <v>0</v>
      </c>
      <c r="AB47" s="178">
        <v>0</v>
      </c>
      <c r="AC47" s="115"/>
      <c r="AD47" s="115"/>
      <c r="AE47" s="115"/>
      <c r="AF47" s="115"/>
      <c r="AG47" s="115"/>
    </row>
    <row r="48" spans="1:33" s="99" customFormat="1" ht="15">
      <c r="A48" s="106" t="s">
        <v>80</v>
      </c>
      <c r="C48" s="193" t="s">
        <v>170</v>
      </c>
      <c r="D48" s="179"/>
      <c r="E48" s="180">
        <v>0</v>
      </c>
      <c r="F48" s="180">
        <v>0</v>
      </c>
      <c r="G48" s="180">
        <v>0</v>
      </c>
      <c r="H48" s="180">
        <v>0</v>
      </c>
      <c r="I48" s="180">
        <v>0</v>
      </c>
      <c r="J48" s="180">
        <v>0</v>
      </c>
      <c r="K48" s="180">
        <v>0</v>
      </c>
      <c r="L48" s="180">
        <v>0</v>
      </c>
      <c r="M48" s="180">
        <v>0</v>
      </c>
      <c r="N48" s="180">
        <v>0</v>
      </c>
      <c r="O48" s="180">
        <v>0</v>
      </c>
      <c r="P48" s="180">
        <v>0</v>
      </c>
      <c r="Q48" s="180">
        <v>0</v>
      </c>
      <c r="R48" s="180">
        <v>0</v>
      </c>
      <c r="S48" s="180">
        <v>0</v>
      </c>
      <c r="T48" s="180">
        <v>0</v>
      </c>
      <c r="U48" s="180">
        <v>0</v>
      </c>
      <c r="V48" s="180">
        <v>0</v>
      </c>
      <c r="W48" s="180">
        <v>0</v>
      </c>
      <c r="X48" s="180">
        <v>0</v>
      </c>
      <c r="Y48" s="180">
        <v>0</v>
      </c>
      <c r="Z48" s="180">
        <v>0</v>
      </c>
      <c r="AA48" s="180">
        <v>0</v>
      </c>
      <c r="AB48" s="180">
        <v>0</v>
      </c>
      <c r="AC48" s="115"/>
      <c r="AD48" s="115"/>
      <c r="AE48" s="115"/>
      <c r="AF48" s="115"/>
      <c r="AG48" s="115"/>
    </row>
    <row r="49" spans="1:33" s="99" customFormat="1" ht="15">
      <c r="A49" s="106" t="s">
        <v>81</v>
      </c>
      <c r="C49" s="194"/>
      <c r="D49" s="179"/>
      <c r="E49" s="180">
        <v>0</v>
      </c>
      <c r="F49" s="180">
        <v>0</v>
      </c>
      <c r="G49" s="180">
        <v>0</v>
      </c>
      <c r="H49" s="180">
        <v>0</v>
      </c>
      <c r="I49" s="180">
        <v>0</v>
      </c>
      <c r="J49" s="180">
        <v>0</v>
      </c>
      <c r="K49" s="180">
        <v>0</v>
      </c>
      <c r="L49" s="180">
        <v>0</v>
      </c>
      <c r="M49" s="180">
        <v>0</v>
      </c>
      <c r="N49" s="180">
        <v>0</v>
      </c>
      <c r="O49" s="180">
        <v>0</v>
      </c>
      <c r="P49" s="180">
        <v>0</v>
      </c>
      <c r="Q49" s="180">
        <v>0</v>
      </c>
      <c r="R49" s="180">
        <v>0</v>
      </c>
      <c r="S49" s="180">
        <v>0</v>
      </c>
      <c r="T49" s="180">
        <v>0</v>
      </c>
      <c r="U49" s="180">
        <v>0</v>
      </c>
      <c r="V49" s="180">
        <v>0</v>
      </c>
      <c r="W49" s="180">
        <v>0</v>
      </c>
      <c r="X49" s="180">
        <v>0</v>
      </c>
      <c r="Y49" s="180">
        <v>0</v>
      </c>
      <c r="Z49" s="180">
        <v>0</v>
      </c>
      <c r="AA49" s="180">
        <v>0</v>
      </c>
      <c r="AB49" s="180">
        <v>0</v>
      </c>
      <c r="AC49" s="115"/>
      <c r="AD49" s="115"/>
      <c r="AE49" s="115"/>
      <c r="AF49" s="115"/>
      <c r="AG49" s="115"/>
    </row>
    <row r="50" spans="1:33" s="99" customFormat="1" ht="15">
      <c r="A50" s="106" t="s">
        <v>82</v>
      </c>
      <c r="C50" s="194"/>
      <c r="D50" s="179">
        <v>362366.8</v>
      </c>
      <c r="E50" s="180">
        <v>384638.22</v>
      </c>
      <c r="F50" s="180">
        <v>348189.88</v>
      </c>
      <c r="G50" s="180">
        <v>410348.56</v>
      </c>
      <c r="H50" s="180">
        <v>468249.7</v>
      </c>
      <c r="I50" s="180">
        <v>452373.65</v>
      </c>
      <c r="J50" s="180">
        <v>455972.5</v>
      </c>
      <c r="K50" s="180">
        <v>524276.95</v>
      </c>
      <c r="L50" s="180">
        <v>600153.79</v>
      </c>
      <c r="M50" s="180">
        <v>509477.49</v>
      </c>
      <c r="N50" s="180">
        <v>0</v>
      </c>
      <c r="O50" s="180">
        <v>0</v>
      </c>
      <c r="P50" s="180">
        <v>0</v>
      </c>
      <c r="Q50" s="180">
        <v>0</v>
      </c>
      <c r="R50" s="180">
        <v>0</v>
      </c>
      <c r="S50" s="180">
        <v>0</v>
      </c>
      <c r="T50" s="180">
        <v>0</v>
      </c>
      <c r="U50" s="180">
        <v>0</v>
      </c>
      <c r="V50" s="180">
        <v>0</v>
      </c>
      <c r="W50" s="180">
        <v>0</v>
      </c>
      <c r="X50" s="180">
        <v>0</v>
      </c>
      <c r="Y50" s="180">
        <v>0</v>
      </c>
      <c r="Z50" s="180">
        <v>0</v>
      </c>
      <c r="AA50" s="180">
        <v>0</v>
      </c>
      <c r="AB50" s="180">
        <v>0</v>
      </c>
      <c r="AC50" s="115"/>
      <c r="AD50" s="115"/>
      <c r="AE50" s="115"/>
      <c r="AF50" s="115"/>
      <c r="AG50" s="115"/>
    </row>
    <row r="51" spans="1:33" s="99" customFormat="1" ht="15">
      <c r="A51" s="106" t="s">
        <v>83</v>
      </c>
      <c r="C51" s="194"/>
      <c r="D51" s="179"/>
      <c r="E51" s="180">
        <v>0</v>
      </c>
      <c r="F51" s="180">
        <v>0</v>
      </c>
      <c r="G51" s="180">
        <v>0</v>
      </c>
      <c r="H51" s="180">
        <v>0</v>
      </c>
      <c r="I51" s="180">
        <v>0</v>
      </c>
      <c r="J51" s="180">
        <v>0</v>
      </c>
      <c r="K51" s="180">
        <v>0</v>
      </c>
      <c r="L51" s="180">
        <v>0</v>
      </c>
      <c r="M51" s="180">
        <v>0</v>
      </c>
      <c r="N51" s="180">
        <v>0</v>
      </c>
      <c r="O51" s="180">
        <v>0</v>
      </c>
      <c r="P51" s="180">
        <v>0</v>
      </c>
      <c r="Q51" s="180">
        <v>0</v>
      </c>
      <c r="R51" s="180">
        <v>0</v>
      </c>
      <c r="S51" s="180">
        <v>0</v>
      </c>
      <c r="T51" s="180">
        <v>0</v>
      </c>
      <c r="U51" s="180">
        <v>0</v>
      </c>
      <c r="V51" s="180">
        <v>0</v>
      </c>
      <c r="W51" s="180">
        <v>0</v>
      </c>
      <c r="X51" s="180">
        <v>0</v>
      </c>
      <c r="Y51" s="180">
        <v>0</v>
      </c>
      <c r="Z51" s="180">
        <v>0</v>
      </c>
      <c r="AA51" s="180">
        <v>0</v>
      </c>
      <c r="AB51" s="180">
        <v>0</v>
      </c>
      <c r="AC51" s="115"/>
      <c r="AD51" s="115"/>
      <c r="AE51" s="115"/>
      <c r="AF51" s="115"/>
      <c r="AG51" s="115"/>
    </row>
    <row r="52" spans="1:33" s="99" customFormat="1" ht="15">
      <c r="A52" s="106" t="s">
        <v>84</v>
      </c>
      <c r="C52" s="193" t="s">
        <v>23</v>
      </c>
      <c r="D52" s="179"/>
      <c r="E52" s="180">
        <v>0</v>
      </c>
      <c r="F52" s="180">
        <v>0</v>
      </c>
      <c r="G52" s="180">
        <v>0</v>
      </c>
      <c r="H52" s="180">
        <v>0</v>
      </c>
      <c r="I52" s="180">
        <v>0</v>
      </c>
      <c r="J52" s="180">
        <v>0</v>
      </c>
      <c r="K52" s="180">
        <v>0</v>
      </c>
      <c r="L52" s="180">
        <v>0</v>
      </c>
      <c r="M52" s="180">
        <v>0</v>
      </c>
      <c r="N52" s="180">
        <v>0</v>
      </c>
      <c r="O52" s="180">
        <v>0</v>
      </c>
      <c r="P52" s="180">
        <v>0</v>
      </c>
      <c r="Q52" s="180">
        <v>0</v>
      </c>
      <c r="R52" s="180">
        <v>0</v>
      </c>
      <c r="S52" s="180">
        <v>0</v>
      </c>
      <c r="T52" s="180">
        <v>0</v>
      </c>
      <c r="U52" s="180">
        <v>0</v>
      </c>
      <c r="V52" s="180">
        <v>0</v>
      </c>
      <c r="W52" s="180">
        <v>0</v>
      </c>
      <c r="X52" s="180">
        <v>0</v>
      </c>
      <c r="Y52" s="180">
        <v>0</v>
      </c>
      <c r="Z52" s="180">
        <v>0</v>
      </c>
      <c r="AA52" s="180">
        <v>0</v>
      </c>
      <c r="AB52" s="180">
        <v>0</v>
      </c>
      <c r="AC52" s="115"/>
      <c r="AD52" s="115"/>
      <c r="AE52" s="115"/>
      <c r="AF52" s="115"/>
      <c r="AG52" s="115"/>
    </row>
    <row r="53" spans="1:33" s="99" customFormat="1" ht="15">
      <c r="A53" s="153" t="s">
        <v>87</v>
      </c>
      <c r="B53" s="154"/>
      <c r="C53" s="188" t="s">
        <v>171</v>
      </c>
      <c r="D53" s="177"/>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15"/>
      <c r="AD53" s="115"/>
      <c r="AE53" s="115"/>
      <c r="AF53" s="115"/>
      <c r="AG53" s="115"/>
    </row>
    <row r="54" spans="1:33" s="99" customFormat="1" ht="15">
      <c r="A54" s="153" t="s">
        <v>88</v>
      </c>
      <c r="B54" s="154"/>
      <c r="C54" s="188"/>
      <c r="D54" s="177"/>
      <c r="E54" s="178"/>
      <c r="F54" s="178"/>
      <c r="G54" s="178"/>
      <c r="H54" s="178"/>
      <c r="I54" s="178"/>
      <c r="J54" s="178"/>
      <c r="K54" s="178"/>
      <c r="L54" s="178"/>
      <c r="M54" s="178"/>
      <c r="N54" s="178"/>
      <c r="O54" s="178"/>
      <c r="P54" s="178"/>
      <c r="Q54" s="178"/>
      <c r="R54" s="178"/>
      <c r="S54" s="178"/>
      <c r="T54" s="178"/>
      <c r="U54" s="178"/>
      <c r="V54" s="178"/>
      <c r="W54" s="178"/>
      <c r="X54" s="178">
        <v>0</v>
      </c>
      <c r="Y54" s="178"/>
      <c r="Z54" s="178"/>
      <c r="AA54" s="178"/>
      <c r="AB54" s="178"/>
      <c r="AC54" s="115"/>
      <c r="AD54" s="115"/>
      <c r="AE54" s="115"/>
      <c r="AF54" s="115"/>
      <c r="AG54" s="115"/>
    </row>
    <row r="55" spans="1:33" s="99" customFormat="1" ht="15">
      <c r="A55" s="153" t="s">
        <v>76</v>
      </c>
      <c r="B55" s="154"/>
      <c r="C55" s="188"/>
      <c r="D55" s="177">
        <v>271806.65</v>
      </c>
      <c r="E55" s="178">
        <v>289588.12</v>
      </c>
      <c r="F55" s="178">
        <v>317345.93</v>
      </c>
      <c r="G55" s="178">
        <v>356237.97</v>
      </c>
      <c r="H55" s="178">
        <v>396042.35</v>
      </c>
      <c r="I55" s="178">
        <v>353879.49</v>
      </c>
      <c r="J55" s="178">
        <v>318378.91</v>
      </c>
      <c r="K55" s="178">
        <v>257241.42</v>
      </c>
      <c r="L55" s="178">
        <v>181012.74</v>
      </c>
      <c r="M55" s="178">
        <v>216619.07</v>
      </c>
      <c r="N55" s="178">
        <v>0</v>
      </c>
      <c r="O55" s="178">
        <v>0</v>
      </c>
      <c r="P55" s="178">
        <v>0</v>
      </c>
      <c r="Q55" s="178">
        <v>0</v>
      </c>
      <c r="R55" s="178">
        <v>0</v>
      </c>
      <c r="S55" s="178">
        <v>0</v>
      </c>
      <c r="T55" s="178">
        <v>0</v>
      </c>
      <c r="U55" s="178">
        <v>0</v>
      </c>
      <c r="V55" s="178">
        <v>0</v>
      </c>
      <c r="W55" s="178">
        <v>0</v>
      </c>
      <c r="X55" s="178">
        <v>0</v>
      </c>
      <c r="Y55" s="178">
        <v>0</v>
      </c>
      <c r="Z55" s="178">
        <v>0</v>
      </c>
      <c r="AA55" s="178">
        <v>0</v>
      </c>
      <c r="AB55" s="178">
        <v>0</v>
      </c>
      <c r="AC55" s="115"/>
      <c r="AD55" s="115"/>
      <c r="AE55" s="115"/>
      <c r="AF55" s="115"/>
      <c r="AG55" s="115"/>
    </row>
    <row r="56" spans="1:33" s="99" customFormat="1" ht="15">
      <c r="A56" s="153" t="s">
        <v>89</v>
      </c>
      <c r="B56" s="154"/>
      <c r="C56" s="188"/>
      <c r="D56" s="177"/>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15"/>
      <c r="AD56" s="115"/>
      <c r="AE56" s="115"/>
      <c r="AF56" s="115"/>
      <c r="AG56" s="115"/>
    </row>
    <row r="57" spans="1:33" s="99" customFormat="1" ht="15">
      <c r="A57" s="153" t="s">
        <v>90</v>
      </c>
      <c r="B57" s="154"/>
      <c r="C57" s="188" t="s">
        <v>186</v>
      </c>
      <c r="D57" s="177"/>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15"/>
      <c r="AD57" s="115"/>
      <c r="AE57" s="115"/>
      <c r="AF57" s="115"/>
      <c r="AG57" s="115"/>
    </row>
    <row r="58" spans="1:33" s="99" customFormat="1" ht="15">
      <c r="A58" s="106" t="s">
        <v>91</v>
      </c>
      <c r="C58" s="193" t="s">
        <v>172</v>
      </c>
      <c r="D58" s="179"/>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15"/>
      <c r="AD58" s="115"/>
      <c r="AE58" s="115"/>
      <c r="AF58" s="115"/>
      <c r="AG58" s="115"/>
    </row>
    <row r="59" spans="1:33" s="99" customFormat="1" ht="15">
      <c r="A59" s="106" t="s">
        <v>92</v>
      </c>
      <c r="C59" s="194"/>
      <c r="D59" s="179"/>
      <c r="E59" s="180"/>
      <c r="F59" s="180"/>
      <c r="G59" s="180"/>
      <c r="H59" s="180"/>
      <c r="I59" s="180"/>
      <c r="J59" s="180"/>
      <c r="K59" s="180"/>
      <c r="L59" s="180"/>
      <c r="M59" s="180"/>
      <c r="N59" s="180"/>
      <c r="O59" s="180"/>
      <c r="P59" s="180"/>
      <c r="Q59" s="180"/>
      <c r="R59" s="180"/>
      <c r="S59" s="180"/>
      <c r="T59" s="180"/>
      <c r="U59" s="180"/>
      <c r="V59" s="180"/>
      <c r="W59" s="180"/>
      <c r="X59" s="180">
        <v>0</v>
      </c>
      <c r="Y59" s="180"/>
      <c r="Z59" s="180"/>
      <c r="AA59" s="180"/>
      <c r="AB59" s="180"/>
      <c r="AC59" s="115"/>
      <c r="AD59" s="115"/>
      <c r="AE59" s="115"/>
      <c r="AF59" s="115"/>
      <c r="AG59" s="115"/>
    </row>
    <row r="60" spans="1:33" s="99" customFormat="1" ht="15">
      <c r="A60" s="106" t="s">
        <v>93</v>
      </c>
      <c r="C60" s="194"/>
      <c r="D60" s="179">
        <v>59568.64</v>
      </c>
      <c r="E60" s="180">
        <v>88391.02</v>
      </c>
      <c r="F60" s="180">
        <v>111642.81</v>
      </c>
      <c r="G60" s="180">
        <v>132337.26</v>
      </c>
      <c r="H60" s="180">
        <v>168958.51</v>
      </c>
      <c r="I60" s="180">
        <v>136588.28</v>
      </c>
      <c r="J60" s="180">
        <v>148179.12</v>
      </c>
      <c r="K60" s="180">
        <v>149396.66</v>
      </c>
      <c r="L60" s="180">
        <v>161466.49</v>
      </c>
      <c r="M60" s="180">
        <v>178939.3</v>
      </c>
      <c r="N60" s="180">
        <v>0</v>
      </c>
      <c r="O60" s="180">
        <v>0</v>
      </c>
      <c r="P60" s="180">
        <v>0</v>
      </c>
      <c r="Q60" s="180">
        <v>0</v>
      </c>
      <c r="R60" s="180">
        <v>0</v>
      </c>
      <c r="S60" s="180">
        <v>0</v>
      </c>
      <c r="T60" s="180">
        <v>0</v>
      </c>
      <c r="U60" s="180">
        <v>0</v>
      </c>
      <c r="V60" s="180">
        <v>0</v>
      </c>
      <c r="W60" s="180">
        <v>0</v>
      </c>
      <c r="X60" s="180">
        <v>0</v>
      </c>
      <c r="Y60" s="180">
        <v>0</v>
      </c>
      <c r="Z60" s="180">
        <v>0</v>
      </c>
      <c r="AA60" s="180">
        <v>0</v>
      </c>
      <c r="AB60" s="180">
        <v>0</v>
      </c>
      <c r="AC60" s="115"/>
      <c r="AD60" s="115"/>
      <c r="AE60" s="115"/>
      <c r="AF60" s="115"/>
      <c r="AG60" s="115"/>
    </row>
    <row r="61" spans="1:33" s="99" customFormat="1" ht="15">
      <c r="A61" s="106" t="s">
        <v>94</v>
      </c>
      <c r="C61" s="194"/>
      <c r="D61" s="179"/>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15"/>
      <c r="AD61" s="115"/>
      <c r="AE61" s="115"/>
      <c r="AF61" s="115"/>
      <c r="AG61" s="115"/>
    </row>
    <row r="62" spans="1:33" s="99" customFormat="1" ht="15">
      <c r="A62" s="106" t="s">
        <v>95</v>
      </c>
      <c r="C62" s="193" t="s">
        <v>165</v>
      </c>
      <c r="D62" s="179"/>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15"/>
      <c r="AD62" s="115"/>
      <c r="AE62" s="115"/>
      <c r="AF62" s="115"/>
      <c r="AG62" s="115"/>
    </row>
    <row r="63" spans="1:33" s="99" customFormat="1" ht="15">
      <c r="A63" s="153" t="s">
        <v>96</v>
      </c>
      <c r="B63" s="154"/>
      <c r="C63" s="188" t="s">
        <v>173</v>
      </c>
      <c r="D63" s="177"/>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15"/>
      <c r="AD63" s="115"/>
      <c r="AE63" s="115"/>
      <c r="AF63" s="115"/>
      <c r="AG63" s="115"/>
    </row>
    <row r="64" spans="1:33" s="99" customFormat="1" ht="15">
      <c r="A64" s="153" t="s">
        <v>97</v>
      </c>
      <c r="B64" s="154"/>
      <c r="C64" s="188"/>
      <c r="D64" s="177"/>
      <c r="E64" s="178"/>
      <c r="F64" s="178"/>
      <c r="G64" s="178"/>
      <c r="H64" s="178"/>
      <c r="I64" s="178"/>
      <c r="J64" s="178"/>
      <c r="K64" s="178"/>
      <c r="L64" s="178"/>
      <c r="M64" s="178"/>
      <c r="N64" s="178"/>
      <c r="O64" s="178"/>
      <c r="P64" s="178"/>
      <c r="Q64" s="178"/>
      <c r="R64" s="178"/>
      <c r="S64" s="178"/>
      <c r="T64" s="178"/>
      <c r="U64" s="178"/>
      <c r="V64" s="178"/>
      <c r="W64" s="178"/>
      <c r="X64" s="178">
        <v>0</v>
      </c>
      <c r="Y64" s="178"/>
      <c r="Z64" s="178"/>
      <c r="AA64" s="178"/>
      <c r="AB64" s="178"/>
      <c r="AC64" s="115"/>
      <c r="AD64" s="115"/>
      <c r="AE64" s="115"/>
      <c r="AF64" s="115"/>
      <c r="AG64" s="115"/>
    </row>
    <row r="65" spans="1:33" s="99" customFormat="1" ht="15">
      <c r="A65" s="153" t="s">
        <v>98</v>
      </c>
      <c r="B65" s="154"/>
      <c r="C65" s="188"/>
      <c r="D65" s="177">
        <v>16985.4</v>
      </c>
      <c r="E65" s="178">
        <v>20888.08</v>
      </c>
      <c r="F65" s="178">
        <v>21847.79</v>
      </c>
      <c r="G65" s="178">
        <v>20528.79</v>
      </c>
      <c r="H65" s="178">
        <v>24797.97</v>
      </c>
      <c r="I65" s="178">
        <v>23720.95</v>
      </c>
      <c r="J65" s="178">
        <v>24746.84</v>
      </c>
      <c r="K65" s="178">
        <v>24607.55</v>
      </c>
      <c r="L65" s="178">
        <v>26906.8</v>
      </c>
      <c r="M65" s="178">
        <v>23769.24</v>
      </c>
      <c r="N65" s="178">
        <v>0</v>
      </c>
      <c r="O65" s="178">
        <v>0</v>
      </c>
      <c r="P65" s="178">
        <v>0</v>
      </c>
      <c r="Q65" s="178">
        <v>0</v>
      </c>
      <c r="R65" s="178">
        <v>0</v>
      </c>
      <c r="S65" s="178">
        <v>0</v>
      </c>
      <c r="T65" s="178">
        <v>0</v>
      </c>
      <c r="U65" s="178">
        <v>0</v>
      </c>
      <c r="V65" s="178">
        <v>0</v>
      </c>
      <c r="W65" s="178">
        <v>0</v>
      </c>
      <c r="X65" s="178">
        <v>0</v>
      </c>
      <c r="Y65" s="178">
        <v>0</v>
      </c>
      <c r="Z65" s="178">
        <v>0</v>
      </c>
      <c r="AA65" s="178">
        <v>0</v>
      </c>
      <c r="AB65" s="178">
        <v>0</v>
      </c>
      <c r="AC65" s="115"/>
      <c r="AD65" s="115"/>
      <c r="AE65" s="115"/>
      <c r="AF65" s="115"/>
      <c r="AG65" s="115"/>
    </row>
    <row r="66" spans="1:33" s="99" customFormat="1" ht="15">
      <c r="A66" s="153" t="s">
        <v>99</v>
      </c>
      <c r="B66" s="154"/>
      <c r="C66" s="188"/>
      <c r="D66" s="177"/>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15"/>
      <c r="AD66" s="115"/>
      <c r="AE66" s="115"/>
      <c r="AF66" s="115"/>
      <c r="AG66" s="115"/>
    </row>
    <row r="67" spans="1:33" s="99" customFormat="1" ht="15">
      <c r="A67" s="153" t="s">
        <v>100</v>
      </c>
      <c r="B67" s="154"/>
      <c r="C67" s="188" t="s">
        <v>37</v>
      </c>
      <c r="D67" s="177"/>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15"/>
      <c r="AD67" s="115"/>
      <c r="AE67" s="115"/>
      <c r="AF67" s="115"/>
      <c r="AG67" s="115"/>
    </row>
    <row r="68" spans="1:33" s="99" customFormat="1" ht="15">
      <c r="A68" s="106" t="s">
        <v>101</v>
      </c>
      <c r="C68" s="193" t="s">
        <v>174</v>
      </c>
      <c r="D68" s="179"/>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15"/>
      <c r="AD68" s="115"/>
      <c r="AE68" s="115"/>
      <c r="AF68" s="115"/>
      <c r="AG68" s="115"/>
    </row>
    <row r="69" spans="1:33" s="99" customFormat="1" ht="15">
      <c r="A69" s="106" t="s">
        <v>102</v>
      </c>
      <c r="C69" s="194"/>
      <c r="D69" s="179"/>
      <c r="E69" s="180"/>
      <c r="F69" s="180"/>
      <c r="G69" s="180"/>
      <c r="H69" s="180"/>
      <c r="I69" s="180"/>
      <c r="J69" s="180">
        <v>0</v>
      </c>
      <c r="K69" s="180"/>
      <c r="L69" s="180"/>
      <c r="M69" s="180"/>
      <c r="N69" s="180"/>
      <c r="O69" s="180"/>
      <c r="P69" s="180"/>
      <c r="Q69" s="180"/>
      <c r="R69" s="180"/>
      <c r="S69" s="180"/>
      <c r="T69" s="180"/>
      <c r="U69" s="180"/>
      <c r="V69" s="180"/>
      <c r="W69" s="180"/>
      <c r="X69" s="180">
        <v>0</v>
      </c>
      <c r="Y69" s="180"/>
      <c r="Z69" s="180"/>
      <c r="AA69" s="180"/>
      <c r="AB69" s="180"/>
      <c r="AC69" s="115"/>
      <c r="AD69" s="115"/>
      <c r="AE69" s="115"/>
      <c r="AF69" s="115"/>
      <c r="AG69" s="115"/>
    </row>
    <row r="70" spans="1:33" s="99" customFormat="1" ht="15">
      <c r="A70" s="106" t="s">
        <v>103</v>
      </c>
      <c r="C70" s="194"/>
      <c r="D70" s="179">
        <v>216353.35</v>
      </c>
      <c r="E70" s="180">
        <v>266172.78</v>
      </c>
      <c r="F70" s="180">
        <v>330914.59</v>
      </c>
      <c r="G70" s="180">
        <v>399148.72</v>
      </c>
      <c r="H70" s="180">
        <v>427087.79</v>
      </c>
      <c r="I70" s="180">
        <v>383380.12</v>
      </c>
      <c r="J70" s="180">
        <v>322158.7</v>
      </c>
      <c r="K70" s="180">
        <v>351399.95</v>
      </c>
      <c r="L70" s="180">
        <v>358052.05</v>
      </c>
      <c r="M70" s="180">
        <v>274088.08</v>
      </c>
      <c r="N70" s="180">
        <v>0</v>
      </c>
      <c r="O70" s="180">
        <v>0</v>
      </c>
      <c r="P70" s="180">
        <v>0</v>
      </c>
      <c r="Q70" s="180">
        <v>0</v>
      </c>
      <c r="R70" s="180">
        <v>0</v>
      </c>
      <c r="S70" s="180">
        <v>0</v>
      </c>
      <c r="T70" s="180">
        <v>0</v>
      </c>
      <c r="U70" s="180">
        <v>0</v>
      </c>
      <c r="V70" s="180">
        <v>0</v>
      </c>
      <c r="W70" s="180">
        <v>0</v>
      </c>
      <c r="X70" s="180">
        <v>0</v>
      </c>
      <c r="Y70" s="180">
        <v>0</v>
      </c>
      <c r="Z70" s="180">
        <v>0</v>
      </c>
      <c r="AA70" s="180">
        <v>0</v>
      </c>
      <c r="AB70" s="180">
        <v>0</v>
      </c>
      <c r="AC70" s="115"/>
      <c r="AD70" s="115"/>
      <c r="AE70" s="115"/>
      <c r="AF70" s="115"/>
      <c r="AG70" s="115"/>
    </row>
    <row r="71" spans="1:33" s="99" customFormat="1" ht="15">
      <c r="A71" s="106" t="s">
        <v>104</v>
      </c>
      <c r="C71" s="194"/>
      <c r="D71" s="179"/>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15"/>
      <c r="AD71" s="115"/>
      <c r="AE71" s="115"/>
      <c r="AF71" s="115"/>
      <c r="AG71" s="115"/>
    </row>
    <row r="72" spans="1:33" s="99" customFormat="1" ht="15">
      <c r="A72" s="106" t="s">
        <v>105</v>
      </c>
      <c r="C72" s="193" t="s">
        <v>27</v>
      </c>
      <c r="D72" s="179"/>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15"/>
      <c r="AD72" s="115"/>
      <c r="AE72" s="115"/>
      <c r="AF72" s="115"/>
      <c r="AG72" s="115"/>
    </row>
    <row r="73" spans="1:33" s="99" customFormat="1" ht="15">
      <c r="A73" s="153" t="s">
        <v>106</v>
      </c>
      <c r="B73" s="154"/>
      <c r="C73" s="188" t="s">
        <v>175</v>
      </c>
      <c r="D73" s="177"/>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15"/>
      <c r="AD73" s="115"/>
      <c r="AE73" s="115"/>
      <c r="AF73" s="115"/>
      <c r="AG73" s="115"/>
    </row>
    <row r="74" spans="1:33" s="99" customFormat="1" ht="15">
      <c r="A74" s="153" t="s">
        <v>107</v>
      </c>
      <c r="B74" s="154"/>
      <c r="C74" s="188"/>
      <c r="D74" s="177"/>
      <c r="E74" s="178"/>
      <c r="F74" s="178"/>
      <c r="G74" s="178"/>
      <c r="H74" s="178"/>
      <c r="I74" s="178"/>
      <c r="J74" s="178"/>
      <c r="K74" s="178"/>
      <c r="L74" s="178"/>
      <c r="M74" s="178"/>
      <c r="N74" s="178"/>
      <c r="O74" s="178"/>
      <c r="P74" s="178"/>
      <c r="Q74" s="178"/>
      <c r="R74" s="178"/>
      <c r="S74" s="178"/>
      <c r="T74" s="178"/>
      <c r="U74" s="178"/>
      <c r="V74" s="178"/>
      <c r="W74" s="178"/>
      <c r="X74" s="178">
        <v>0</v>
      </c>
      <c r="Y74" s="178"/>
      <c r="Z74" s="178"/>
      <c r="AA74" s="178"/>
      <c r="AB74" s="178"/>
      <c r="AC74" s="115"/>
      <c r="AD74" s="115"/>
      <c r="AE74" s="115"/>
      <c r="AF74" s="115"/>
      <c r="AG74" s="115"/>
    </row>
    <row r="75" spans="1:33" s="99" customFormat="1" ht="15">
      <c r="A75" s="153" t="s">
        <v>108</v>
      </c>
      <c r="B75" s="154"/>
      <c r="C75" s="188"/>
      <c r="D75" s="177">
        <v>657775.29</v>
      </c>
      <c r="E75" s="178">
        <v>762478.91</v>
      </c>
      <c r="F75" s="178">
        <v>732409.72</v>
      </c>
      <c r="G75" s="178">
        <v>843658.8</v>
      </c>
      <c r="H75" s="178">
        <v>817297.23</v>
      </c>
      <c r="I75" s="178">
        <v>737867.43</v>
      </c>
      <c r="J75" s="178">
        <v>798238.81</v>
      </c>
      <c r="K75" s="178">
        <v>794826.49</v>
      </c>
      <c r="L75" s="178">
        <v>746334.04</v>
      </c>
      <c r="M75" s="178">
        <v>694572.91</v>
      </c>
      <c r="N75" s="178">
        <v>0</v>
      </c>
      <c r="O75" s="178">
        <v>0</v>
      </c>
      <c r="P75" s="178">
        <v>0</v>
      </c>
      <c r="Q75" s="178">
        <v>0</v>
      </c>
      <c r="R75" s="178">
        <v>0</v>
      </c>
      <c r="S75" s="178">
        <v>0</v>
      </c>
      <c r="T75" s="178">
        <v>0</v>
      </c>
      <c r="U75" s="178">
        <v>0</v>
      </c>
      <c r="V75" s="178">
        <v>0</v>
      </c>
      <c r="W75" s="178">
        <v>0</v>
      </c>
      <c r="X75" s="178">
        <v>0</v>
      </c>
      <c r="Y75" s="178">
        <v>0</v>
      </c>
      <c r="Z75" s="178">
        <v>0</v>
      </c>
      <c r="AA75" s="178">
        <v>0</v>
      </c>
      <c r="AB75" s="178">
        <v>0</v>
      </c>
      <c r="AC75" s="115"/>
      <c r="AD75" s="115"/>
      <c r="AE75" s="115"/>
      <c r="AF75" s="115"/>
      <c r="AG75" s="115"/>
    </row>
    <row r="76" spans="1:33" s="99" customFormat="1" ht="15">
      <c r="A76" s="153" t="s">
        <v>109</v>
      </c>
      <c r="B76" s="154"/>
      <c r="C76" s="188"/>
      <c r="D76" s="177"/>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15"/>
      <c r="AD76" s="115"/>
      <c r="AE76" s="115"/>
      <c r="AF76" s="115"/>
      <c r="AG76" s="115"/>
    </row>
    <row r="77" spans="1:33" s="99" customFormat="1" ht="15">
      <c r="A77" s="153" t="s">
        <v>110</v>
      </c>
      <c r="B77" s="154"/>
      <c r="C77" s="188" t="s">
        <v>29</v>
      </c>
      <c r="D77" s="177"/>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15"/>
      <c r="AD77" s="115"/>
      <c r="AE77" s="115"/>
      <c r="AF77" s="115"/>
      <c r="AG77" s="115"/>
    </row>
    <row r="78" spans="1:33" s="99" customFormat="1" ht="15">
      <c r="A78" s="106" t="s">
        <v>111</v>
      </c>
      <c r="C78" s="193" t="s">
        <v>176</v>
      </c>
      <c r="D78" s="179"/>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15"/>
      <c r="AD78" s="115"/>
      <c r="AE78" s="115"/>
      <c r="AF78" s="115"/>
      <c r="AG78" s="115"/>
    </row>
    <row r="79" spans="1:33" s="99" customFormat="1" ht="15">
      <c r="A79" s="106" t="s">
        <v>112</v>
      </c>
      <c r="C79" s="194"/>
      <c r="D79" s="179"/>
      <c r="E79" s="180"/>
      <c r="F79" s="180"/>
      <c r="G79" s="180"/>
      <c r="H79" s="180"/>
      <c r="I79" s="180"/>
      <c r="J79" s="180"/>
      <c r="K79" s="180"/>
      <c r="L79" s="180"/>
      <c r="M79" s="180"/>
      <c r="N79" s="180"/>
      <c r="O79" s="180"/>
      <c r="P79" s="180"/>
      <c r="Q79" s="180"/>
      <c r="R79" s="180"/>
      <c r="S79" s="180"/>
      <c r="T79" s="180"/>
      <c r="U79" s="180"/>
      <c r="V79" s="180"/>
      <c r="W79" s="180"/>
      <c r="X79" s="180">
        <v>0</v>
      </c>
      <c r="Y79" s="180"/>
      <c r="Z79" s="180"/>
      <c r="AA79" s="180"/>
      <c r="AB79" s="180"/>
      <c r="AC79" s="115"/>
      <c r="AD79" s="115"/>
      <c r="AE79" s="115"/>
      <c r="AF79" s="115"/>
      <c r="AG79" s="115"/>
    </row>
    <row r="80" spans="1:33" s="99" customFormat="1" ht="15">
      <c r="A80" s="106" t="s">
        <v>113</v>
      </c>
      <c r="C80" s="194"/>
      <c r="D80" s="179">
        <v>65922.87</v>
      </c>
      <c r="E80" s="180">
        <v>77299.44</v>
      </c>
      <c r="F80" s="180">
        <v>93830.95</v>
      </c>
      <c r="G80" s="180">
        <v>103468.82</v>
      </c>
      <c r="H80" s="180">
        <v>108361.19</v>
      </c>
      <c r="I80" s="180">
        <v>100887.08</v>
      </c>
      <c r="J80" s="180">
        <v>106039.57</v>
      </c>
      <c r="K80" s="180">
        <v>97472.69</v>
      </c>
      <c r="L80" s="180">
        <v>74156.04</v>
      </c>
      <c r="M80" s="180">
        <v>46892.1</v>
      </c>
      <c r="N80" s="180">
        <v>0</v>
      </c>
      <c r="O80" s="180">
        <v>0</v>
      </c>
      <c r="P80" s="180">
        <v>0</v>
      </c>
      <c r="Q80" s="180">
        <v>0</v>
      </c>
      <c r="R80" s="180">
        <v>0</v>
      </c>
      <c r="S80" s="180">
        <v>0</v>
      </c>
      <c r="T80" s="180">
        <v>0</v>
      </c>
      <c r="U80" s="180">
        <v>0</v>
      </c>
      <c r="V80" s="180">
        <v>0</v>
      </c>
      <c r="W80" s="180">
        <v>0</v>
      </c>
      <c r="X80" s="180">
        <v>0</v>
      </c>
      <c r="Y80" s="180">
        <v>0</v>
      </c>
      <c r="Z80" s="180">
        <v>0</v>
      </c>
      <c r="AA80" s="180">
        <v>0</v>
      </c>
      <c r="AB80" s="180">
        <v>0</v>
      </c>
      <c r="AC80" s="115"/>
      <c r="AD80" s="115"/>
      <c r="AE80" s="115"/>
      <c r="AF80" s="115"/>
      <c r="AG80" s="115"/>
    </row>
    <row r="81" spans="1:33" s="99" customFormat="1" ht="15">
      <c r="A81" s="106" t="s">
        <v>114</v>
      </c>
      <c r="C81" s="194"/>
      <c r="D81" s="179"/>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15"/>
      <c r="AD81" s="115"/>
      <c r="AE81" s="115"/>
      <c r="AF81" s="115"/>
      <c r="AG81" s="115"/>
    </row>
    <row r="82" spans="1:33" s="99" customFormat="1" ht="15">
      <c r="A82" s="106" t="s">
        <v>115</v>
      </c>
      <c r="C82" s="193" t="s">
        <v>30</v>
      </c>
      <c r="D82" s="179"/>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15"/>
      <c r="AD82" s="115"/>
      <c r="AE82" s="115"/>
      <c r="AF82" s="115"/>
      <c r="AG82" s="115"/>
    </row>
    <row r="83" spans="1:33" s="99" customFormat="1" ht="15">
      <c r="A83" s="153" t="s">
        <v>116</v>
      </c>
      <c r="B83" s="154"/>
      <c r="C83" s="188" t="s">
        <v>177</v>
      </c>
      <c r="D83" s="177"/>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15"/>
      <c r="AD83" s="115"/>
      <c r="AE83" s="115"/>
      <c r="AF83" s="115"/>
      <c r="AG83" s="115"/>
    </row>
    <row r="84" spans="1:33" s="99" customFormat="1" ht="15">
      <c r="A84" s="153" t="s">
        <v>117</v>
      </c>
      <c r="B84" s="154"/>
      <c r="C84" s="188"/>
      <c r="D84" s="177"/>
      <c r="E84" s="178"/>
      <c r="F84" s="178"/>
      <c r="G84" s="178"/>
      <c r="H84" s="178"/>
      <c r="I84" s="178"/>
      <c r="J84" s="178"/>
      <c r="K84" s="178"/>
      <c r="L84" s="178"/>
      <c r="M84" s="178"/>
      <c r="N84" s="178"/>
      <c r="O84" s="178"/>
      <c r="P84" s="178"/>
      <c r="Q84" s="178"/>
      <c r="R84" s="178"/>
      <c r="S84" s="178"/>
      <c r="T84" s="178"/>
      <c r="U84" s="178"/>
      <c r="V84" s="178"/>
      <c r="W84" s="178"/>
      <c r="X84" s="178">
        <v>0</v>
      </c>
      <c r="Y84" s="178"/>
      <c r="Z84" s="178"/>
      <c r="AA84" s="178"/>
      <c r="AB84" s="178"/>
      <c r="AC84" s="115"/>
      <c r="AD84" s="115"/>
      <c r="AE84" s="115"/>
      <c r="AF84" s="115"/>
      <c r="AG84" s="115"/>
    </row>
    <row r="85" spans="1:33" s="99" customFormat="1" ht="15">
      <c r="A85" s="153" t="s">
        <v>118</v>
      </c>
      <c r="B85" s="154"/>
      <c r="C85" s="188"/>
      <c r="D85" s="177">
        <v>153814.93</v>
      </c>
      <c r="E85" s="178">
        <v>159244.79</v>
      </c>
      <c r="F85" s="178">
        <v>121611</v>
      </c>
      <c r="G85" s="178">
        <v>137642.2</v>
      </c>
      <c r="H85" s="178">
        <v>152910.83</v>
      </c>
      <c r="I85" s="178">
        <v>133481.97</v>
      </c>
      <c r="J85" s="178">
        <v>120816.72</v>
      </c>
      <c r="K85" s="178">
        <v>82778.15</v>
      </c>
      <c r="L85" s="178">
        <v>77118.44</v>
      </c>
      <c r="M85" s="178">
        <v>77321.96</v>
      </c>
      <c r="N85" s="178">
        <v>0</v>
      </c>
      <c r="O85" s="178">
        <v>0</v>
      </c>
      <c r="P85" s="178">
        <v>0</v>
      </c>
      <c r="Q85" s="178">
        <v>0</v>
      </c>
      <c r="R85" s="178">
        <v>0</v>
      </c>
      <c r="S85" s="178">
        <v>0</v>
      </c>
      <c r="T85" s="178">
        <v>0</v>
      </c>
      <c r="U85" s="178">
        <v>0</v>
      </c>
      <c r="V85" s="178">
        <v>0</v>
      </c>
      <c r="W85" s="178">
        <v>0</v>
      </c>
      <c r="X85" s="178">
        <v>0</v>
      </c>
      <c r="Y85" s="178">
        <v>0</v>
      </c>
      <c r="Z85" s="178">
        <v>0</v>
      </c>
      <c r="AA85" s="178">
        <v>0</v>
      </c>
      <c r="AB85" s="178">
        <v>0</v>
      </c>
      <c r="AC85" s="115"/>
      <c r="AD85" s="115"/>
      <c r="AE85" s="115"/>
      <c r="AF85" s="115"/>
      <c r="AG85" s="115"/>
    </row>
    <row r="86" spans="1:33" s="99" customFormat="1" ht="15">
      <c r="A86" s="153" t="s">
        <v>119</v>
      </c>
      <c r="B86" s="154"/>
      <c r="C86" s="188"/>
      <c r="D86" s="177"/>
      <c r="E86" s="178">
        <v>0</v>
      </c>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15"/>
      <c r="AD86" s="115"/>
      <c r="AE86" s="115"/>
      <c r="AF86" s="115"/>
      <c r="AG86" s="115"/>
    </row>
    <row r="87" spans="1:33" s="99" customFormat="1" ht="15">
      <c r="A87" s="153" t="s">
        <v>120</v>
      </c>
      <c r="B87" s="154"/>
      <c r="C87" s="188" t="s">
        <v>25</v>
      </c>
      <c r="D87" s="177"/>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15"/>
      <c r="AD87" s="115"/>
      <c r="AE87" s="115"/>
      <c r="AF87" s="115"/>
      <c r="AG87" s="115"/>
    </row>
    <row r="88" spans="1:33" s="99" customFormat="1" ht="15">
      <c r="A88" s="106" t="s">
        <v>121</v>
      </c>
      <c r="C88" s="193" t="s">
        <v>178</v>
      </c>
      <c r="D88" s="179"/>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15"/>
      <c r="AD88" s="115"/>
      <c r="AE88" s="115"/>
      <c r="AF88" s="115"/>
      <c r="AG88" s="115"/>
    </row>
    <row r="89" spans="1:33" s="99" customFormat="1" ht="15">
      <c r="A89" s="106" t="s">
        <v>122</v>
      </c>
      <c r="C89" s="194"/>
      <c r="D89" s="179"/>
      <c r="E89" s="180"/>
      <c r="F89" s="180"/>
      <c r="G89" s="180"/>
      <c r="H89" s="180"/>
      <c r="I89" s="180"/>
      <c r="J89" s="180"/>
      <c r="K89" s="180"/>
      <c r="L89" s="180"/>
      <c r="M89" s="180"/>
      <c r="N89" s="180"/>
      <c r="O89" s="180"/>
      <c r="P89" s="180"/>
      <c r="Q89" s="180"/>
      <c r="R89" s="180"/>
      <c r="S89" s="180"/>
      <c r="T89" s="180"/>
      <c r="U89" s="180"/>
      <c r="V89" s="180"/>
      <c r="W89" s="180"/>
      <c r="X89" s="180">
        <v>0</v>
      </c>
      <c r="Y89" s="180"/>
      <c r="Z89" s="180"/>
      <c r="AA89" s="180"/>
      <c r="AB89" s="180"/>
      <c r="AC89" s="115"/>
      <c r="AD89" s="115"/>
      <c r="AE89" s="115"/>
      <c r="AF89" s="115"/>
      <c r="AG89" s="115"/>
    </row>
    <row r="90" spans="1:33" s="99" customFormat="1" ht="15">
      <c r="A90" s="106" t="s">
        <v>123</v>
      </c>
      <c r="C90" s="194"/>
      <c r="D90" s="179">
        <v>122646.48</v>
      </c>
      <c r="E90" s="180">
        <v>140085.34</v>
      </c>
      <c r="F90" s="180">
        <v>140654.08</v>
      </c>
      <c r="G90" s="180">
        <v>140144.88</v>
      </c>
      <c r="H90" s="180">
        <v>152801.77</v>
      </c>
      <c r="I90" s="180">
        <v>135581.94</v>
      </c>
      <c r="J90" s="180">
        <v>87546.44</v>
      </c>
      <c r="K90" s="180">
        <v>111797.18</v>
      </c>
      <c r="L90" s="180">
        <v>112881.3</v>
      </c>
      <c r="M90" s="180">
        <v>118931.05</v>
      </c>
      <c r="N90" s="180">
        <v>0</v>
      </c>
      <c r="O90" s="180">
        <v>0</v>
      </c>
      <c r="P90" s="180">
        <v>0</v>
      </c>
      <c r="Q90" s="180">
        <v>0</v>
      </c>
      <c r="R90" s="180">
        <v>0</v>
      </c>
      <c r="S90" s="180">
        <v>0</v>
      </c>
      <c r="T90" s="180">
        <v>0</v>
      </c>
      <c r="U90" s="180">
        <v>0</v>
      </c>
      <c r="V90" s="180">
        <v>0</v>
      </c>
      <c r="W90" s="180">
        <v>0</v>
      </c>
      <c r="X90" s="180">
        <v>0</v>
      </c>
      <c r="Y90" s="180">
        <v>0</v>
      </c>
      <c r="Z90" s="180">
        <v>0</v>
      </c>
      <c r="AA90" s="180">
        <v>0</v>
      </c>
      <c r="AB90" s="180">
        <v>0</v>
      </c>
      <c r="AC90" s="115"/>
      <c r="AD90" s="115"/>
      <c r="AE90" s="115"/>
      <c r="AF90" s="115"/>
      <c r="AG90" s="115"/>
    </row>
    <row r="91" spans="1:33" s="99" customFormat="1" ht="15">
      <c r="A91" s="106" t="s">
        <v>124</v>
      </c>
      <c r="C91" s="194"/>
      <c r="D91" s="179"/>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15"/>
      <c r="AD91" s="115"/>
      <c r="AE91" s="115"/>
      <c r="AF91" s="115"/>
      <c r="AG91" s="115"/>
    </row>
    <row r="92" spans="1:33" s="99" customFormat="1" ht="15">
      <c r="A92" s="106" t="s">
        <v>125</v>
      </c>
      <c r="C92" s="193" t="s">
        <v>24</v>
      </c>
      <c r="D92" s="179"/>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15"/>
      <c r="AD92" s="115"/>
      <c r="AE92" s="115"/>
      <c r="AF92" s="115"/>
      <c r="AG92" s="115"/>
    </row>
    <row r="93" spans="1:33" s="99" customFormat="1" ht="15">
      <c r="A93" s="153" t="s">
        <v>126</v>
      </c>
      <c r="B93" s="154"/>
      <c r="C93" s="188" t="s">
        <v>179</v>
      </c>
      <c r="D93" s="177"/>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15"/>
      <c r="AD93" s="115"/>
      <c r="AE93" s="115"/>
      <c r="AF93" s="115"/>
      <c r="AG93" s="115"/>
    </row>
    <row r="94" spans="1:33" s="99" customFormat="1" ht="15">
      <c r="A94" s="153" t="s">
        <v>127</v>
      </c>
      <c r="B94" s="154"/>
      <c r="C94" s="188"/>
      <c r="D94" s="177"/>
      <c r="E94" s="178"/>
      <c r="F94" s="178"/>
      <c r="G94" s="178"/>
      <c r="H94" s="178"/>
      <c r="I94" s="178"/>
      <c r="J94" s="178"/>
      <c r="K94" s="178"/>
      <c r="L94" s="178"/>
      <c r="M94" s="178"/>
      <c r="N94" s="178"/>
      <c r="O94" s="178"/>
      <c r="P94" s="178"/>
      <c r="Q94" s="178"/>
      <c r="R94" s="178"/>
      <c r="S94" s="178"/>
      <c r="T94" s="178"/>
      <c r="U94" s="178"/>
      <c r="V94" s="178"/>
      <c r="W94" s="178"/>
      <c r="X94" s="178">
        <v>0</v>
      </c>
      <c r="Y94" s="178"/>
      <c r="Z94" s="178"/>
      <c r="AA94" s="178"/>
      <c r="AB94" s="178"/>
      <c r="AC94" s="115"/>
      <c r="AD94" s="115"/>
      <c r="AE94" s="115"/>
      <c r="AF94" s="115"/>
      <c r="AG94" s="115"/>
    </row>
    <row r="95" spans="1:33" s="99" customFormat="1" ht="15">
      <c r="A95" s="153" t="s">
        <v>128</v>
      </c>
      <c r="B95" s="154"/>
      <c r="C95" s="188"/>
      <c r="D95" s="177">
        <v>10888.1</v>
      </c>
      <c r="E95" s="178">
        <v>13979.3</v>
      </c>
      <c r="F95" s="178">
        <v>16517</v>
      </c>
      <c r="G95" s="178">
        <v>20427.97</v>
      </c>
      <c r="H95" s="178">
        <v>20137.89</v>
      </c>
      <c r="I95" s="178">
        <v>24351.53</v>
      </c>
      <c r="J95" s="178">
        <v>28641.88</v>
      </c>
      <c r="K95" s="178">
        <v>30109.05</v>
      </c>
      <c r="L95" s="178">
        <v>33854.74</v>
      </c>
      <c r="M95" s="178">
        <v>35736.22</v>
      </c>
      <c r="N95" s="178">
        <v>0</v>
      </c>
      <c r="O95" s="178">
        <v>0</v>
      </c>
      <c r="P95" s="178">
        <v>0</v>
      </c>
      <c r="Q95" s="178">
        <v>0</v>
      </c>
      <c r="R95" s="178">
        <v>0</v>
      </c>
      <c r="S95" s="178">
        <v>0</v>
      </c>
      <c r="T95" s="178">
        <v>0</v>
      </c>
      <c r="U95" s="178">
        <v>0</v>
      </c>
      <c r="V95" s="178">
        <v>0</v>
      </c>
      <c r="W95" s="178">
        <v>0</v>
      </c>
      <c r="X95" s="178">
        <v>0</v>
      </c>
      <c r="Y95" s="178">
        <v>0</v>
      </c>
      <c r="Z95" s="178">
        <v>0</v>
      </c>
      <c r="AA95" s="178">
        <v>0</v>
      </c>
      <c r="AB95" s="178">
        <v>0</v>
      </c>
      <c r="AC95" s="115"/>
      <c r="AD95" s="115"/>
      <c r="AE95" s="115"/>
      <c r="AF95" s="115"/>
      <c r="AG95" s="115"/>
    </row>
    <row r="96" spans="1:33" s="99" customFormat="1" ht="15">
      <c r="A96" s="153" t="s">
        <v>129</v>
      </c>
      <c r="B96" s="154"/>
      <c r="C96" s="188"/>
      <c r="D96" s="177"/>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15"/>
      <c r="AD96" s="115"/>
      <c r="AE96" s="115"/>
      <c r="AF96" s="115"/>
      <c r="AG96" s="115"/>
    </row>
    <row r="97" spans="1:33" s="99" customFormat="1" ht="15">
      <c r="A97" s="153" t="s">
        <v>130</v>
      </c>
      <c r="B97" s="154"/>
      <c r="C97" s="188" t="s">
        <v>26</v>
      </c>
      <c r="D97" s="177"/>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15"/>
      <c r="AD97" s="115"/>
      <c r="AE97" s="115"/>
      <c r="AF97" s="115"/>
      <c r="AG97" s="115"/>
    </row>
    <row r="98" spans="1:33" s="99" customFormat="1" ht="15">
      <c r="A98" s="106" t="s">
        <v>131</v>
      </c>
      <c r="C98" s="193" t="s">
        <v>180</v>
      </c>
      <c r="D98" s="179"/>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15"/>
      <c r="AD98" s="115"/>
      <c r="AE98" s="115"/>
      <c r="AF98" s="115"/>
      <c r="AG98" s="115"/>
    </row>
    <row r="99" spans="1:33" s="99" customFormat="1" ht="15">
      <c r="A99" s="106" t="s">
        <v>132</v>
      </c>
      <c r="C99" s="194"/>
      <c r="D99" s="179"/>
      <c r="E99" s="180"/>
      <c r="F99" s="180"/>
      <c r="G99" s="180"/>
      <c r="H99" s="180"/>
      <c r="I99" s="180"/>
      <c r="J99" s="180"/>
      <c r="K99" s="180"/>
      <c r="L99" s="180"/>
      <c r="M99" s="180"/>
      <c r="N99" s="180"/>
      <c r="O99" s="180"/>
      <c r="P99" s="180"/>
      <c r="Q99" s="180"/>
      <c r="R99" s="180"/>
      <c r="S99" s="180"/>
      <c r="T99" s="180"/>
      <c r="U99" s="180"/>
      <c r="V99" s="180"/>
      <c r="W99" s="180"/>
      <c r="X99" s="180">
        <v>0</v>
      </c>
      <c r="Y99" s="180"/>
      <c r="Z99" s="180"/>
      <c r="AA99" s="180"/>
      <c r="AB99" s="180"/>
      <c r="AC99" s="115"/>
      <c r="AD99" s="115"/>
      <c r="AE99" s="115"/>
      <c r="AF99" s="115"/>
      <c r="AG99" s="115"/>
    </row>
    <row r="100" spans="1:33" s="99" customFormat="1" ht="15">
      <c r="A100" s="106" t="s">
        <v>133</v>
      </c>
      <c r="C100" s="194"/>
      <c r="D100" s="179">
        <v>58557.27</v>
      </c>
      <c r="E100" s="180">
        <v>58380.65</v>
      </c>
      <c r="F100" s="180">
        <v>57179.85</v>
      </c>
      <c r="G100" s="180">
        <v>66064.09</v>
      </c>
      <c r="H100" s="180">
        <v>76284.1</v>
      </c>
      <c r="I100" s="180">
        <v>68438.04</v>
      </c>
      <c r="J100" s="180">
        <v>63423.42</v>
      </c>
      <c r="K100" s="180">
        <v>35572.55</v>
      </c>
      <c r="L100" s="180">
        <v>24726.37</v>
      </c>
      <c r="M100" s="180">
        <v>16914.08</v>
      </c>
      <c r="N100" s="180">
        <v>0</v>
      </c>
      <c r="O100" s="180">
        <v>0</v>
      </c>
      <c r="P100" s="180">
        <v>0</v>
      </c>
      <c r="Q100" s="180">
        <v>0</v>
      </c>
      <c r="R100" s="180">
        <v>0</v>
      </c>
      <c r="S100" s="180">
        <v>0</v>
      </c>
      <c r="T100" s="180">
        <v>0</v>
      </c>
      <c r="U100" s="180">
        <v>0</v>
      </c>
      <c r="V100" s="180">
        <v>0</v>
      </c>
      <c r="W100" s="180">
        <v>0</v>
      </c>
      <c r="X100" s="180">
        <v>0</v>
      </c>
      <c r="Y100" s="180">
        <v>0</v>
      </c>
      <c r="Z100" s="180">
        <v>0</v>
      </c>
      <c r="AA100" s="180">
        <v>0</v>
      </c>
      <c r="AB100" s="180">
        <v>0</v>
      </c>
      <c r="AC100" s="115"/>
      <c r="AD100" s="115"/>
      <c r="AE100" s="115"/>
      <c r="AF100" s="115"/>
      <c r="AG100" s="115"/>
    </row>
    <row r="101" spans="1:33" s="99" customFormat="1" ht="15">
      <c r="A101" s="106" t="s">
        <v>134</v>
      </c>
      <c r="C101" s="194"/>
      <c r="D101" s="179"/>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15"/>
      <c r="AD101" s="115"/>
      <c r="AE101" s="115"/>
      <c r="AF101" s="115"/>
      <c r="AG101" s="115"/>
    </row>
    <row r="102" spans="1:33" s="99" customFormat="1" ht="15">
      <c r="A102" s="106" t="s">
        <v>135</v>
      </c>
      <c r="C102" s="193" t="s">
        <v>28</v>
      </c>
      <c r="D102" s="179"/>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15"/>
      <c r="AD102" s="115"/>
      <c r="AE102" s="115"/>
      <c r="AF102" s="115"/>
      <c r="AG102" s="115"/>
    </row>
    <row r="103" spans="1:33" s="99" customFormat="1" ht="15">
      <c r="A103" s="153" t="s">
        <v>136</v>
      </c>
      <c r="B103" s="154"/>
      <c r="C103" s="192" t="s">
        <v>181</v>
      </c>
      <c r="D103" s="177"/>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15"/>
      <c r="AD103" s="115"/>
      <c r="AE103" s="115"/>
      <c r="AF103" s="115"/>
      <c r="AG103" s="115"/>
    </row>
    <row r="104" spans="1:33" s="99" customFormat="1" ht="15">
      <c r="A104" s="153" t="s">
        <v>137</v>
      </c>
      <c r="B104" s="154"/>
      <c r="C104" s="192"/>
      <c r="D104" s="177"/>
      <c r="E104" s="178"/>
      <c r="F104" s="178"/>
      <c r="G104" s="178"/>
      <c r="H104" s="178">
        <v>282110.51</v>
      </c>
      <c r="I104" s="178">
        <v>271489.03</v>
      </c>
      <c r="J104" s="178"/>
      <c r="K104" s="178"/>
      <c r="L104" s="178"/>
      <c r="M104" s="178">
        <v>278258.72</v>
      </c>
      <c r="N104" s="178"/>
      <c r="O104" s="178"/>
      <c r="P104" s="178"/>
      <c r="Q104" s="178"/>
      <c r="R104" s="178"/>
      <c r="S104" s="178"/>
      <c r="T104" s="178"/>
      <c r="U104" s="178"/>
      <c r="V104" s="178"/>
      <c r="W104" s="178"/>
      <c r="X104" s="178">
        <v>0</v>
      </c>
      <c r="Y104" s="178"/>
      <c r="Z104" s="178"/>
      <c r="AA104" s="178"/>
      <c r="AB104" s="178"/>
      <c r="AC104" s="115"/>
      <c r="AD104" s="115"/>
      <c r="AE104" s="115"/>
      <c r="AF104" s="115"/>
      <c r="AG104" s="115"/>
    </row>
    <row r="105" spans="1:33" s="99" customFormat="1" ht="15">
      <c r="A105" s="153" t="s">
        <v>138</v>
      </c>
      <c r="B105" s="154"/>
      <c r="C105" s="192"/>
      <c r="D105" s="177">
        <v>798533.11</v>
      </c>
      <c r="E105" s="178">
        <v>890036.59</v>
      </c>
      <c r="F105" s="178">
        <v>912831.88</v>
      </c>
      <c r="G105" s="178">
        <v>1086750.62</v>
      </c>
      <c r="H105" s="178">
        <v>927542.62</v>
      </c>
      <c r="I105" s="178">
        <v>768828.13</v>
      </c>
      <c r="J105" s="178">
        <v>1206554.95</v>
      </c>
      <c r="K105" s="178">
        <v>1322043.71</v>
      </c>
      <c r="L105" s="178">
        <v>1303669.39</v>
      </c>
      <c r="M105" s="178">
        <v>757613.39</v>
      </c>
      <c r="N105" s="178">
        <v>0</v>
      </c>
      <c r="O105" s="178">
        <v>0</v>
      </c>
      <c r="P105" s="178">
        <v>0</v>
      </c>
      <c r="Q105" s="178">
        <v>0</v>
      </c>
      <c r="R105" s="178">
        <v>0</v>
      </c>
      <c r="S105" s="178">
        <v>0</v>
      </c>
      <c r="T105" s="178">
        <v>0</v>
      </c>
      <c r="U105" s="178">
        <v>0</v>
      </c>
      <c r="V105" s="178">
        <v>0</v>
      </c>
      <c r="W105" s="178">
        <v>0</v>
      </c>
      <c r="X105" s="178">
        <v>0</v>
      </c>
      <c r="Y105" s="178">
        <v>0</v>
      </c>
      <c r="Z105" s="178">
        <v>0</v>
      </c>
      <c r="AA105" s="178">
        <v>0</v>
      </c>
      <c r="AB105" s="178">
        <v>0</v>
      </c>
      <c r="AC105" s="115"/>
      <c r="AD105" s="115"/>
      <c r="AE105" s="115"/>
      <c r="AF105" s="115"/>
      <c r="AG105" s="115"/>
    </row>
    <row r="106" spans="1:33" s="99" customFormat="1" ht="15">
      <c r="A106" s="153" t="s">
        <v>139</v>
      </c>
      <c r="B106" s="154"/>
      <c r="C106" s="192"/>
      <c r="D106" s="177"/>
      <c r="E106" s="178"/>
      <c r="F106" s="178"/>
      <c r="G106" s="178"/>
      <c r="H106" s="178"/>
      <c r="I106" s="178"/>
      <c r="J106" s="178"/>
      <c r="K106" s="178"/>
      <c r="L106" s="178"/>
      <c r="M106" s="178"/>
      <c r="N106" s="178"/>
      <c r="O106" s="178"/>
      <c r="P106" s="178"/>
      <c r="Q106" s="178"/>
      <c r="R106" s="178"/>
      <c r="S106" s="178"/>
      <c r="T106" s="178"/>
      <c r="U106" s="178"/>
      <c r="V106" s="178" t="s">
        <v>52</v>
      </c>
      <c r="W106" s="178"/>
      <c r="X106" s="178"/>
      <c r="Y106" s="178"/>
      <c r="Z106" s="178"/>
      <c r="AA106" s="178"/>
      <c r="AB106" s="178"/>
      <c r="AC106" s="115"/>
      <c r="AD106" s="115"/>
      <c r="AE106" s="115"/>
      <c r="AF106" s="115"/>
      <c r="AG106" s="115"/>
    </row>
    <row r="107" spans="1:33" s="99" customFormat="1" ht="15">
      <c r="A107" s="153" t="s">
        <v>140</v>
      </c>
      <c r="B107" s="154"/>
      <c r="C107" s="192" t="s">
        <v>34</v>
      </c>
      <c r="D107" s="177"/>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15"/>
      <c r="AD107" s="115"/>
      <c r="AE107" s="115"/>
      <c r="AF107" s="115"/>
      <c r="AG107" s="115"/>
    </row>
    <row r="108" spans="1:33" s="99" customFormat="1" ht="15">
      <c r="A108" s="106" t="s">
        <v>141</v>
      </c>
      <c r="C108" s="190" t="s">
        <v>182</v>
      </c>
      <c r="D108" s="179"/>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15"/>
      <c r="AD108" s="115"/>
      <c r="AE108" s="115"/>
      <c r="AF108" s="115"/>
      <c r="AG108" s="115"/>
    </row>
    <row r="109" spans="1:33" s="99" customFormat="1" ht="15">
      <c r="A109" s="106" t="s">
        <v>142</v>
      </c>
      <c r="C109" s="191"/>
      <c r="D109" s="179"/>
      <c r="E109" s="180"/>
      <c r="F109" s="180"/>
      <c r="G109" s="180"/>
      <c r="H109" s="180">
        <v>32256.18</v>
      </c>
      <c r="I109" s="180">
        <v>30723.88</v>
      </c>
      <c r="J109" s="180"/>
      <c r="K109" s="180"/>
      <c r="L109" s="180"/>
      <c r="M109" s="180">
        <v>31183.79</v>
      </c>
      <c r="N109" s="180"/>
      <c r="O109" s="180"/>
      <c r="P109" s="180"/>
      <c r="Q109" s="180"/>
      <c r="R109" s="180"/>
      <c r="S109" s="180"/>
      <c r="T109" s="180"/>
      <c r="U109" s="180"/>
      <c r="V109" s="180"/>
      <c r="W109" s="180"/>
      <c r="X109" s="180">
        <v>0</v>
      </c>
      <c r="Y109" s="180"/>
      <c r="Z109" s="180"/>
      <c r="AA109" s="180"/>
      <c r="AB109" s="180"/>
      <c r="AC109" s="115"/>
      <c r="AD109" s="115"/>
      <c r="AE109" s="115"/>
      <c r="AF109" s="115"/>
      <c r="AG109" s="115"/>
    </row>
    <row r="110" spans="1:33" s="99" customFormat="1" ht="15">
      <c r="A110" s="106" t="s">
        <v>143</v>
      </c>
      <c r="C110" s="191"/>
      <c r="D110" s="179">
        <v>79396.69</v>
      </c>
      <c r="E110" s="180">
        <v>76641.39</v>
      </c>
      <c r="F110" s="180">
        <v>87236.03</v>
      </c>
      <c r="G110" s="180">
        <v>103956.13</v>
      </c>
      <c r="H110" s="180">
        <v>83175.85</v>
      </c>
      <c r="I110" s="180">
        <v>81533.52</v>
      </c>
      <c r="J110" s="180">
        <v>117979.49</v>
      </c>
      <c r="K110" s="180">
        <v>120526.04</v>
      </c>
      <c r="L110" s="180">
        <v>112632.06</v>
      </c>
      <c r="M110" s="180">
        <v>57909.93</v>
      </c>
      <c r="N110" s="180">
        <v>0</v>
      </c>
      <c r="O110" s="180">
        <v>0</v>
      </c>
      <c r="P110" s="180">
        <v>0</v>
      </c>
      <c r="Q110" s="180">
        <v>0</v>
      </c>
      <c r="R110" s="180">
        <v>0</v>
      </c>
      <c r="S110" s="180">
        <v>0</v>
      </c>
      <c r="T110" s="180">
        <v>0</v>
      </c>
      <c r="U110" s="180">
        <v>0</v>
      </c>
      <c r="V110" s="180">
        <v>0</v>
      </c>
      <c r="W110" s="180">
        <v>0</v>
      </c>
      <c r="X110" s="180">
        <v>0</v>
      </c>
      <c r="Y110" s="180">
        <v>0</v>
      </c>
      <c r="Z110" s="180">
        <v>0</v>
      </c>
      <c r="AA110" s="180">
        <v>0</v>
      </c>
      <c r="AB110" s="180">
        <v>0</v>
      </c>
      <c r="AC110" s="115"/>
      <c r="AD110" s="115"/>
      <c r="AE110" s="115"/>
      <c r="AF110" s="115"/>
      <c r="AG110" s="115"/>
    </row>
    <row r="111" spans="1:33" s="99" customFormat="1" ht="15">
      <c r="A111" s="106" t="s">
        <v>144</v>
      </c>
      <c r="C111" s="191"/>
      <c r="D111" s="179"/>
      <c r="E111" s="180">
        <v>0</v>
      </c>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15"/>
      <c r="AD111" s="115"/>
      <c r="AE111" s="115"/>
      <c r="AF111" s="115"/>
      <c r="AG111" s="115"/>
    </row>
    <row r="112" spans="1:33" s="99" customFormat="1" ht="15">
      <c r="A112" s="106" t="s">
        <v>145</v>
      </c>
      <c r="C112" s="190" t="s">
        <v>36</v>
      </c>
      <c r="D112" s="179"/>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15"/>
      <c r="AD112" s="115"/>
      <c r="AE112" s="115"/>
      <c r="AF112" s="115"/>
      <c r="AG112" s="115"/>
    </row>
    <row r="113" spans="1:33" s="99" customFormat="1" ht="15">
      <c r="A113" s="153" t="s">
        <v>146</v>
      </c>
      <c r="B113" s="154"/>
      <c r="C113" s="192" t="s">
        <v>183</v>
      </c>
      <c r="D113" s="177"/>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15"/>
      <c r="AD113" s="115"/>
      <c r="AE113" s="115"/>
      <c r="AF113" s="115"/>
      <c r="AG113" s="115"/>
    </row>
    <row r="114" spans="1:33" s="99" customFormat="1" ht="15">
      <c r="A114" s="153" t="s">
        <v>147</v>
      </c>
      <c r="B114" s="154"/>
      <c r="C114" s="192"/>
      <c r="D114" s="177"/>
      <c r="E114" s="178"/>
      <c r="F114" s="178"/>
      <c r="G114" s="178"/>
      <c r="H114" s="178">
        <v>55.05</v>
      </c>
      <c r="I114" s="178">
        <v>77.95</v>
      </c>
      <c r="J114" s="178"/>
      <c r="K114" s="178"/>
      <c r="L114" s="178"/>
      <c r="M114" s="178">
        <v>483.43</v>
      </c>
      <c r="N114" s="178"/>
      <c r="O114" s="178"/>
      <c r="P114" s="178"/>
      <c r="Q114" s="178"/>
      <c r="R114" s="178"/>
      <c r="S114" s="178"/>
      <c r="T114" s="178"/>
      <c r="U114" s="178"/>
      <c r="V114" s="178"/>
      <c r="W114" s="178"/>
      <c r="X114" s="178">
        <v>0</v>
      </c>
      <c r="Y114" s="178"/>
      <c r="Z114" s="178"/>
      <c r="AA114" s="178"/>
      <c r="AB114" s="178"/>
      <c r="AC114" s="115"/>
      <c r="AD114" s="115"/>
      <c r="AE114" s="115"/>
      <c r="AF114" s="115"/>
      <c r="AG114" s="115"/>
    </row>
    <row r="115" spans="1:33" s="99" customFormat="1" ht="15">
      <c r="A115" s="153" t="s">
        <v>148</v>
      </c>
      <c r="B115" s="154"/>
      <c r="C115" s="192"/>
      <c r="D115" s="177">
        <v>2215.43</v>
      </c>
      <c r="E115" s="178">
        <v>2314.22</v>
      </c>
      <c r="F115" s="178">
        <v>2377.02</v>
      </c>
      <c r="G115" s="178">
        <v>2428.57</v>
      </c>
      <c r="H115" s="178">
        <v>2428.57</v>
      </c>
      <c r="I115" s="178">
        <v>2483.62</v>
      </c>
      <c r="J115" s="178">
        <v>2669.29</v>
      </c>
      <c r="K115" s="178">
        <v>2904.19</v>
      </c>
      <c r="L115" s="178">
        <v>943.7</v>
      </c>
      <c r="M115" s="178">
        <v>943.7</v>
      </c>
      <c r="N115" s="178">
        <v>0</v>
      </c>
      <c r="O115" s="178">
        <v>0</v>
      </c>
      <c r="P115" s="178">
        <v>0</v>
      </c>
      <c r="Q115" s="178">
        <v>0</v>
      </c>
      <c r="R115" s="178">
        <v>0</v>
      </c>
      <c r="S115" s="178">
        <v>0</v>
      </c>
      <c r="T115" s="178">
        <v>0</v>
      </c>
      <c r="U115" s="178">
        <v>0</v>
      </c>
      <c r="V115" s="178">
        <v>0</v>
      </c>
      <c r="W115" s="178">
        <v>0</v>
      </c>
      <c r="X115" s="178">
        <v>0</v>
      </c>
      <c r="Y115" s="178">
        <v>0</v>
      </c>
      <c r="Z115" s="178">
        <v>0</v>
      </c>
      <c r="AA115" s="178">
        <v>0</v>
      </c>
      <c r="AB115" s="178">
        <v>0</v>
      </c>
      <c r="AC115" s="115"/>
      <c r="AD115" s="115"/>
      <c r="AE115" s="115"/>
      <c r="AF115" s="115"/>
      <c r="AG115" s="115"/>
    </row>
    <row r="116" spans="1:33" s="99" customFormat="1" ht="15">
      <c r="A116" s="153" t="s">
        <v>149</v>
      </c>
      <c r="B116" s="154"/>
      <c r="C116" s="192"/>
      <c r="D116" s="177"/>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15"/>
      <c r="AD116" s="115"/>
      <c r="AE116" s="115"/>
      <c r="AF116" s="115"/>
      <c r="AG116" s="115"/>
    </row>
    <row r="117" spans="1:33" s="99" customFormat="1" ht="15">
      <c r="A117" s="153" t="s">
        <v>150</v>
      </c>
      <c r="B117" s="154"/>
      <c r="C117" s="192" t="s">
        <v>28</v>
      </c>
      <c r="D117" s="177"/>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15"/>
      <c r="AD117" s="115"/>
      <c r="AE117" s="115"/>
      <c r="AF117" s="115"/>
      <c r="AG117" s="115"/>
    </row>
    <row r="118" spans="1:33" s="99" customFormat="1" ht="15">
      <c r="A118" s="106" t="s">
        <v>151</v>
      </c>
      <c r="C118" s="190" t="s">
        <v>184</v>
      </c>
      <c r="D118" s="179"/>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15"/>
      <c r="AD118" s="115"/>
      <c r="AE118" s="115"/>
      <c r="AF118" s="115"/>
      <c r="AG118" s="115"/>
    </row>
    <row r="119" spans="1:33" s="99" customFormat="1" ht="15">
      <c r="A119" s="106" t="s">
        <v>152</v>
      </c>
      <c r="C119" s="191"/>
      <c r="D119" s="179"/>
      <c r="E119" s="180"/>
      <c r="F119" s="180"/>
      <c r="G119" s="180"/>
      <c r="H119" s="180">
        <v>343559.66</v>
      </c>
      <c r="I119" s="180">
        <v>331630.76</v>
      </c>
      <c r="J119" s="180"/>
      <c r="K119" s="180"/>
      <c r="L119" s="180"/>
      <c r="M119" s="180">
        <v>341530.29</v>
      </c>
      <c r="N119" s="180"/>
      <c r="O119" s="180"/>
      <c r="P119" s="180"/>
      <c r="Q119" s="180"/>
      <c r="R119" s="180"/>
      <c r="S119" s="180"/>
      <c r="T119" s="180"/>
      <c r="U119" s="180"/>
      <c r="V119" s="180"/>
      <c r="W119" s="180"/>
      <c r="X119" s="180">
        <v>0</v>
      </c>
      <c r="Y119" s="180"/>
      <c r="Z119" s="180"/>
      <c r="AA119" s="180"/>
      <c r="AB119" s="180"/>
      <c r="AC119" s="115"/>
      <c r="AD119" s="115"/>
      <c r="AE119" s="115"/>
      <c r="AF119" s="115"/>
      <c r="AG119" s="115"/>
    </row>
    <row r="120" spans="1:33" s="99" customFormat="1" ht="15">
      <c r="A120" s="106" t="s">
        <v>153</v>
      </c>
      <c r="C120" s="191"/>
      <c r="D120" s="179">
        <v>1085996.4</v>
      </c>
      <c r="E120" s="180">
        <v>1417775.09</v>
      </c>
      <c r="F120" s="180">
        <v>1364663.17</v>
      </c>
      <c r="G120" s="180">
        <v>1704667.13</v>
      </c>
      <c r="H120" s="180">
        <v>1333811.48</v>
      </c>
      <c r="I120" s="180">
        <v>1067715.18</v>
      </c>
      <c r="J120" s="180">
        <v>1604029.09</v>
      </c>
      <c r="K120" s="180">
        <v>1718201.83</v>
      </c>
      <c r="L120" s="180">
        <v>1679150.33</v>
      </c>
      <c r="M120" s="180">
        <v>1454574.04</v>
      </c>
      <c r="N120" s="180">
        <v>0</v>
      </c>
      <c r="O120" s="180">
        <v>0</v>
      </c>
      <c r="P120" s="180">
        <v>0</v>
      </c>
      <c r="Q120" s="180">
        <v>0</v>
      </c>
      <c r="R120" s="180">
        <v>0</v>
      </c>
      <c r="S120" s="180">
        <v>0</v>
      </c>
      <c r="T120" s="180">
        <v>0</v>
      </c>
      <c r="U120" s="180">
        <v>0</v>
      </c>
      <c r="V120" s="180">
        <v>0</v>
      </c>
      <c r="W120" s="180">
        <v>0</v>
      </c>
      <c r="X120" s="180">
        <v>0</v>
      </c>
      <c r="Y120" s="180">
        <v>0</v>
      </c>
      <c r="Z120" s="180">
        <v>0</v>
      </c>
      <c r="AA120" s="180">
        <v>0</v>
      </c>
      <c r="AB120" s="180">
        <v>0</v>
      </c>
      <c r="AC120" s="115"/>
      <c r="AD120" s="115"/>
      <c r="AE120" s="115"/>
      <c r="AF120" s="115"/>
      <c r="AG120" s="115"/>
    </row>
    <row r="121" spans="1:33" s="99" customFormat="1" ht="15">
      <c r="A121" s="106" t="s">
        <v>154</v>
      </c>
      <c r="C121" s="191"/>
      <c r="D121" s="179"/>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15"/>
      <c r="AD121" s="115"/>
      <c r="AE121" s="115"/>
      <c r="AF121" s="115"/>
      <c r="AG121" s="115"/>
    </row>
    <row r="122" spans="1:33" s="99" customFormat="1" ht="15">
      <c r="A122" s="106" t="s">
        <v>155</v>
      </c>
      <c r="C122" s="190" t="s">
        <v>29</v>
      </c>
      <c r="D122" s="179"/>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15"/>
      <c r="AD122" s="115"/>
      <c r="AE122" s="115"/>
      <c r="AF122" s="115"/>
      <c r="AG122" s="115"/>
    </row>
    <row r="123" spans="1:33" s="99" customFormat="1" ht="15">
      <c r="A123" s="153" t="s">
        <v>156</v>
      </c>
      <c r="B123" s="154"/>
      <c r="C123" s="192" t="s">
        <v>185</v>
      </c>
      <c r="D123" s="177"/>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15"/>
      <c r="AD123" s="115"/>
      <c r="AE123" s="115"/>
      <c r="AF123" s="115"/>
      <c r="AG123" s="115"/>
    </row>
    <row r="124" spans="1:33" s="99" customFormat="1" ht="15">
      <c r="A124" s="153" t="s">
        <v>157</v>
      </c>
      <c r="B124" s="154"/>
      <c r="C124" s="192"/>
      <c r="D124" s="177"/>
      <c r="E124" s="178"/>
      <c r="F124" s="178"/>
      <c r="G124" s="178"/>
      <c r="H124" s="178">
        <v>144046.96</v>
      </c>
      <c r="I124" s="178">
        <v>135525.32</v>
      </c>
      <c r="J124" s="178"/>
      <c r="K124" s="178"/>
      <c r="L124" s="178"/>
      <c r="M124" s="178">
        <v>137379.89</v>
      </c>
      <c r="N124" s="178"/>
      <c r="O124" s="178"/>
      <c r="P124" s="178"/>
      <c r="Q124" s="178"/>
      <c r="R124" s="178"/>
      <c r="S124" s="178"/>
      <c r="T124" s="178"/>
      <c r="U124" s="178"/>
      <c r="V124" s="178"/>
      <c r="W124" s="178"/>
      <c r="X124" s="178">
        <v>0</v>
      </c>
      <c r="Y124" s="178"/>
      <c r="Z124" s="178"/>
      <c r="AA124" s="178"/>
      <c r="AB124" s="178"/>
      <c r="AC124" s="115"/>
      <c r="AD124" s="115"/>
      <c r="AE124" s="115"/>
      <c r="AF124" s="115"/>
      <c r="AG124" s="115"/>
    </row>
    <row r="125" spans="1:33" s="99" customFormat="1" ht="15">
      <c r="A125" s="153" t="s">
        <v>158</v>
      </c>
      <c r="B125" s="154"/>
      <c r="C125" s="192" t="s">
        <v>30</v>
      </c>
      <c r="D125" s="177">
        <v>306698.87</v>
      </c>
      <c r="E125" s="178">
        <v>433137.97</v>
      </c>
      <c r="F125" s="178">
        <v>468642.62</v>
      </c>
      <c r="G125" s="178">
        <v>477786.29</v>
      </c>
      <c r="H125" s="178">
        <v>335175.29</v>
      </c>
      <c r="I125" s="178">
        <v>347533.87</v>
      </c>
      <c r="J125" s="178">
        <v>492548.63</v>
      </c>
      <c r="K125" s="178">
        <v>527994.51</v>
      </c>
      <c r="L125" s="178">
        <v>491272.2</v>
      </c>
      <c r="M125" s="178">
        <v>228327.36</v>
      </c>
      <c r="N125" s="178">
        <v>0</v>
      </c>
      <c r="O125" s="178">
        <v>0</v>
      </c>
      <c r="P125" s="178">
        <v>0</v>
      </c>
      <c r="Q125" s="178">
        <v>0</v>
      </c>
      <c r="R125" s="178">
        <v>0</v>
      </c>
      <c r="S125" s="178">
        <v>0</v>
      </c>
      <c r="T125" s="178">
        <v>0</v>
      </c>
      <c r="U125" s="178">
        <v>0</v>
      </c>
      <c r="V125" s="178">
        <v>0</v>
      </c>
      <c r="W125" s="178">
        <v>0</v>
      </c>
      <c r="X125" s="178">
        <v>0</v>
      </c>
      <c r="Y125" s="178">
        <v>0</v>
      </c>
      <c r="Z125" s="178">
        <v>0</v>
      </c>
      <c r="AA125" s="178">
        <v>0</v>
      </c>
      <c r="AB125" s="178">
        <v>0</v>
      </c>
      <c r="AC125" s="115"/>
      <c r="AD125" s="115"/>
      <c r="AE125" s="115"/>
      <c r="AF125" s="115"/>
      <c r="AG125" s="115"/>
    </row>
    <row r="126" spans="1:33" s="99" customFormat="1" ht="15">
      <c r="A126" s="211" t="s">
        <v>193</v>
      </c>
      <c r="B126" s="186"/>
      <c r="C126" s="186"/>
      <c r="D126" s="212"/>
      <c r="E126" s="213"/>
      <c r="F126" s="213"/>
      <c r="G126" s="213"/>
      <c r="H126" s="213"/>
      <c r="I126" s="213"/>
      <c r="J126" s="213"/>
      <c r="K126" s="213"/>
      <c r="L126" s="213">
        <v>0</v>
      </c>
      <c r="M126" s="213"/>
      <c r="N126" s="213"/>
      <c r="O126" s="213"/>
      <c r="P126" s="213"/>
      <c r="Q126" s="213"/>
      <c r="R126" s="213"/>
      <c r="S126" s="213"/>
      <c r="T126" s="213"/>
      <c r="U126" s="213"/>
      <c r="V126" s="213"/>
      <c r="W126" s="213"/>
      <c r="X126" s="213"/>
      <c r="Y126" s="213"/>
      <c r="Z126" s="213">
        <v>0</v>
      </c>
      <c r="AA126" s="213">
        <v>0</v>
      </c>
      <c r="AB126" s="213"/>
      <c r="AC126" s="115"/>
      <c r="AD126" s="115"/>
      <c r="AE126" s="115"/>
      <c r="AF126" s="115"/>
      <c r="AG126" s="115"/>
    </row>
    <row r="127" spans="1:33" s="99" customFormat="1" ht="15">
      <c r="A127" s="211" t="s">
        <v>194</v>
      </c>
      <c r="B127" s="186"/>
      <c r="C127" s="186" t="s">
        <v>52</v>
      </c>
      <c r="D127" s="212"/>
      <c r="E127" s="213"/>
      <c r="F127" s="213"/>
      <c r="G127" s="213"/>
      <c r="H127" s="213"/>
      <c r="I127" s="213"/>
      <c r="J127" s="213"/>
      <c r="K127" s="213"/>
      <c r="L127" s="213"/>
      <c r="M127" s="213">
        <v>0</v>
      </c>
      <c r="N127" s="213">
        <v>0</v>
      </c>
      <c r="O127" s="213">
        <v>0</v>
      </c>
      <c r="P127" s="213">
        <v>0</v>
      </c>
      <c r="Q127" s="213">
        <v>0</v>
      </c>
      <c r="R127" s="213">
        <v>0</v>
      </c>
      <c r="S127" s="213">
        <v>0</v>
      </c>
      <c r="T127" s="213">
        <v>0</v>
      </c>
      <c r="U127" s="213"/>
      <c r="V127" s="213"/>
      <c r="W127" s="213"/>
      <c r="X127" s="213"/>
      <c r="Y127" s="213"/>
      <c r="Z127" s="213"/>
      <c r="AA127" s="213"/>
      <c r="AB127" s="213"/>
      <c r="AC127" s="115"/>
      <c r="AD127" s="115"/>
      <c r="AE127" s="115"/>
      <c r="AF127" s="115"/>
      <c r="AG127" s="115"/>
    </row>
    <row r="128" spans="1:42" ht="15">
      <c r="A128" s="106"/>
      <c r="B128" s="99"/>
      <c r="D128" s="179"/>
      <c r="E128" s="183"/>
      <c r="F128" s="183"/>
      <c r="G128" s="180"/>
      <c r="H128" s="180"/>
      <c r="I128" s="180"/>
      <c r="J128" s="180"/>
      <c r="K128" s="180" t="s">
        <v>10</v>
      </c>
      <c r="L128" s="180"/>
      <c r="M128" s="180"/>
      <c r="N128" s="180"/>
      <c r="O128" s="180"/>
      <c r="P128" s="180"/>
      <c r="Q128" s="180"/>
      <c r="R128" s="180"/>
      <c r="S128" s="180"/>
      <c r="T128" s="180"/>
      <c r="U128" s="180"/>
      <c r="V128" s="180"/>
      <c r="W128" s="180"/>
      <c r="X128" s="180"/>
      <c r="Y128" s="180"/>
      <c r="Z128" s="180"/>
      <c r="AA128" s="180"/>
      <c r="AB128" s="180"/>
      <c r="AC128" s="115"/>
      <c r="AD128" s="115"/>
      <c r="AE128" s="115"/>
      <c r="AF128" s="115"/>
      <c r="AG128" s="115"/>
      <c r="AH128" s="99"/>
      <c r="AI128" s="99"/>
      <c r="AJ128" s="99"/>
      <c r="AK128" s="99"/>
      <c r="AL128" s="99"/>
      <c r="AM128" s="99"/>
      <c r="AN128" s="99"/>
      <c r="AO128" s="99"/>
      <c r="AP128" s="99"/>
    </row>
    <row r="129" spans="1:42" ht="15.75" thickBot="1">
      <c r="A129" s="106" t="s">
        <v>8</v>
      </c>
      <c r="B129" s="99"/>
      <c r="D129" s="181">
        <f>SUM(D23:D128)</f>
        <v>6201571.010000001</v>
      </c>
      <c r="E129" s="184">
        <f>SUM(E23:E128)</f>
        <v>7225682.27</v>
      </c>
      <c r="F129" s="184">
        <f>SUM(F23:F128)</f>
        <v>7290012.63</v>
      </c>
      <c r="G129" s="184">
        <f>SUM(G23:G128)</f>
        <v>7859516.509999999</v>
      </c>
      <c r="H129" s="184">
        <f>SUM(H23:H128)</f>
        <v>8360485.879999999</v>
      </c>
      <c r="I129" s="184">
        <f>SUM(I23:I128)</f>
        <v>7260620.149999999</v>
      </c>
      <c r="J129" s="184">
        <f>SUM(J23:J128)</f>
        <v>7847093.62</v>
      </c>
      <c r="K129" s="184">
        <f>SUM(K23:K128)</f>
        <v>8116067.4799999995</v>
      </c>
      <c r="L129" s="184">
        <f>SUM(L23:L128)</f>
        <v>8083048.15</v>
      </c>
      <c r="M129" s="184">
        <f>SUM(M23:M128)</f>
        <v>7193196.9799999995</v>
      </c>
      <c r="N129" s="184">
        <f aca="true" t="shared" si="3" ref="N129:AB129">SUM(N23:N128)</f>
        <v>0</v>
      </c>
      <c r="O129" s="184">
        <f t="shared" si="3"/>
        <v>0</v>
      </c>
      <c r="P129" s="184">
        <f t="shared" si="3"/>
        <v>0</v>
      </c>
      <c r="Q129" s="184">
        <f t="shared" si="3"/>
        <v>0</v>
      </c>
      <c r="R129" s="184">
        <f t="shared" si="3"/>
        <v>0</v>
      </c>
      <c r="S129" s="184">
        <f t="shared" si="3"/>
        <v>0</v>
      </c>
      <c r="T129" s="184">
        <f t="shared" si="3"/>
        <v>0</v>
      </c>
      <c r="U129" s="184">
        <f t="shared" si="3"/>
        <v>0</v>
      </c>
      <c r="V129" s="184">
        <f t="shared" si="3"/>
        <v>0</v>
      </c>
      <c r="W129" s="184">
        <f t="shared" si="3"/>
        <v>0</v>
      </c>
      <c r="X129" s="184">
        <f t="shared" si="3"/>
        <v>0</v>
      </c>
      <c r="Y129" s="184">
        <f t="shared" si="3"/>
        <v>0</v>
      </c>
      <c r="Z129" s="184">
        <f t="shared" si="3"/>
        <v>0</v>
      </c>
      <c r="AA129" s="184">
        <f t="shared" si="3"/>
        <v>0</v>
      </c>
      <c r="AB129" s="184">
        <f t="shared" si="3"/>
        <v>0</v>
      </c>
      <c r="AC129" s="115"/>
      <c r="AD129" s="115"/>
      <c r="AE129" s="115"/>
      <c r="AF129" s="115"/>
      <c r="AG129" s="115"/>
      <c r="AH129" s="99"/>
      <c r="AI129" s="99"/>
      <c r="AJ129" s="99"/>
      <c r="AK129" s="99"/>
      <c r="AL129" s="99"/>
      <c r="AM129" s="99"/>
      <c r="AN129" s="99"/>
      <c r="AO129" s="99"/>
      <c r="AP129" s="99"/>
    </row>
    <row r="130" spans="1:42" ht="15">
      <c r="A130" s="99"/>
      <c r="B130" s="99"/>
      <c r="D130" s="181"/>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15"/>
      <c r="AD130" s="115"/>
      <c r="AE130" s="115"/>
      <c r="AF130" s="115"/>
      <c r="AG130" s="115"/>
      <c r="AH130" s="116"/>
      <c r="AI130" s="116"/>
      <c r="AJ130" s="116"/>
      <c r="AK130" s="116"/>
      <c r="AL130" s="116"/>
      <c r="AM130" s="116"/>
      <c r="AN130" s="116"/>
      <c r="AO130" s="116"/>
      <c r="AP130" s="116"/>
    </row>
    <row r="131" spans="1:42" ht="15">
      <c r="A131" s="101" t="s">
        <v>4</v>
      </c>
      <c r="B131" s="99"/>
      <c r="D131" s="185">
        <f>D20-D129</f>
        <v>0</v>
      </c>
      <c r="E131" s="141">
        <f>E20-E129</f>
        <v>0</v>
      </c>
      <c r="F131" s="141">
        <f aca="true" t="shared" si="4" ref="F131:AB131">F20-F129</f>
        <v>0</v>
      </c>
      <c r="G131" s="141">
        <f t="shared" si="4"/>
        <v>0</v>
      </c>
      <c r="H131" s="141">
        <f t="shared" si="4"/>
        <v>0</v>
      </c>
      <c r="I131" s="141">
        <f t="shared" si="4"/>
        <v>0</v>
      </c>
      <c r="J131" s="141">
        <f t="shared" si="4"/>
        <v>0</v>
      </c>
      <c r="K131" s="141">
        <f t="shared" si="4"/>
        <v>0</v>
      </c>
      <c r="L131" s="141">
        <f t="shared" si="4"/>
        <v>0</v>
      </c>
      <c r="M131" s="141">
        <f t="shared" si="4"/>
        <v>0</v>
      </c>
      <c r="N131" s="141">
        <f t="shared" si="4"/>
        <v>7193196.980000002</v>
      </c>
      <c r="O131" s="141">
        <f t="shared" si="4"/>
        <v>7193196.980000002</v>
      </c>
      <c r="P131" s="141">
        <f t="shared" si="4"/>
        <v>7193196.980000002</v>
      </c>
      <c r="Q131" s="141">
        <f t="shared" si="4"/>
        <v>7193196.980000002</v>
      </c>
      <c r="R131" s="141">
        <f t="shared" si="4"/>
        <v>7193196.980000002</v>
      </c>
      <c r="S131" s="141">
        <f t="shared" si="4"/>
        <v>7193196.980000002</v>
      </c>
      <c r="T131" s="141">
        <f t="shared" si="4"/>
        <v>7193196.980000002</v>
      </c>
      <c r="U131" s="141">
        <f t="shared" si="4"/>
        <v>7193196.980000002</v>
      </c>
      <c r="V131" s="141">
        <f t="shared" si="4"/>
        <v>7193196.980000002</v>
      </c>
      <c r="W131" s="141">
        <f t="shared" si="4"/>
        <v>7193196.980000002</v>
      </c>
      <c r="X131" s="141">
        <f t="shared" si="4"/>
        <v>7193196.980000002</v>
      </c>
      <c r="Y131" s="141">
        <f t="shared" si="4"/>
        <v>7193196.980000002</v>
      </c>
      <c r="Z131" s="141">
        <f t="shared" si="4"/>
        <v>7193196.980000002</v>
      </c>
      <c r="AA131" s="141">
        <f t="shared" si="4"/>
        <v>7193196.980000002</v>
      </c>
      <c r="AB131" s="141">
        <f t="shared" si="4"/>
        <v>7193196.980000002</v>
      </c>
      <c r="AC131" s="141" t="s">
        <v>52</v>
      </c>
      <c r="AD131" s="141" t="s">
        <v>52</v>
      </c>
      <c r="AE131" s="141" t="s">
        <v>52</v>
      </c>
      <c r="AF131" s="115"/>
      <c r="AG131" s="115"/>
      <c r="AH131" s="116"/>
      <c r="AI131" s="116"/>
      <c r="AJ131" s="116"/>
      <c r="AK131" s="116"/>
      <c r="AL131" s="116"/>
      <c r="AM131" s="116"/>
      <c r="AN131" s="116"/>
      <c r="AO131" s="116"/>
      <c r="AP131" s="116"/>
    </row>
    <row r="132" spans="1:42" ht="15">
      <c r="A132" s="99"/>
      <c r="B132" s="99"/>
      <c r="D132" s="99"/>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99"/>
      <c r="AD132" s="115"/>
      <c r="AE132" s="115"/>
      <c r="AF132" s="115"/>
      <c r="AG132" s="115"/>
      <c r="AH132" s="116"/>
      <c r="AI132" s="116"/>
      <c r="AJ132" s="116"/>
      <c r="AK132" s="116"/>
      <c r="AL132" s="116"/>
      <c r="AM132" s="116"/>
      <c r="AN132" s="116"/>
      <c r="AO132" s="116"/>
      <c r="AP132" s="116"/>
    </row>
    <row r="133" spans="1:42" ht="15">
      <c r="A133" s="101" t="s">
        <v>85</v>
      </c>
      <c r="B133" s="99"/>
      <c r="D133" s="99"/>
      <c r="E133" s="139">
        <f>E20-E129</f>
        <v>0</v>
      </c>
      <c r="F133" s="139">
        <f aca="true" t="shared" si="5" ref="F133:AB133">F20-F129</f>
        <v>0</v>
      </c>
      <c r="G133" s="139">
        <f t="shared" si="5"/>
        <v>0</v>
      </c>
      <c r="H133" s="139">
        <f t="shared" si="5"/>
        <v>0</v>
      </c>
      <c r="I133" s="139">
        <f t="shared" si="5"/>
        <v>0</v>
      </c>
      <c r="J133" s="139">
        <f t="shared" si="5"/>
        <v>0</v>
      </c>
      <c r="K133" s="139">
        <f t="shared" si="5"/>
        <v>0</v>
      </c>
      <c r="L133" s="139">
        <f t="shared" si="5"/>
        <v>0</v>
      </c>
      <c r="M133" s="139">
        <f t="shared" si="5"/>
        <v>0</v>
      </c>
      <c r="N133" s="139">
        <f t="shared" si="5"/>
        <v>7193196.980000002</v>
      </c>
      <c r="O133" s="139">
        <f t="shared" si="5"/>
        <v>7193196.980000002</v>
      </c>
      <c r="P133" s="139">
        <f t="shared" si="5"/>
        <v>7193196.980000002</v>
      </c>
      <c r="Q133" s="139">
        <f t="shared" si="5"/>
        <v>7193196.980000002</v>
      </c>
      <c r="R133" s="139">
        <f t="shared" si="5"/>
        <v>7193196.980000002</v>
      </c>
      <c r="S133" s="139">
        <f t="shared" si="5"/>
        <v>7193196.980000002</v>
      </c>
      <c r="T133" s="139">
        <f t="shared" si="5"/>
        <v>7193196.980000002</v>
      </c>
      <c r="U133" s="139">
        <f t="shared" si="5"/>
        <v>7193196.980000002</v>
      </c>
      <c r="V133" s="139">
        <f t="shared" si="5"/>
        <v>7193196.980000002</v>
      </c>
      <c r="W133" s="139">
        <f t="shared" si="5"/>
        <v>7193196.980000002</v>
      </c>
      <c r="X133" s="139">
        <f t="shared" si="5"/>
        <v>7193196.980000002</v>
      </c>
      <c r="Y133" s="139">
        <f t="shared" si="5"/>
        <v>7193196.980000002</v>
      </c>
      <c r="Z133" s="139">
        <f t="shared" si="5"/>
        <v>7193196.980000002</v>
      </c>
      <c r="AA133" s="139">
        <f t="shared" si="5"/>
        <v>7193196.980000002</v>
      </c>
      <c r="AB133" s="139">
        <f t="shared" si="5"/>
        <v>7193196.980000002</v>
      </c>
      <c r="AC133" s="99"/>
      <c r="AD133" s="115"/>
      <c r="AE133" s="115"/>
      <c r="AF133" s="115"/>
      <c r="AG133" s="115"/>
      <c r="AH133" s="99"/>
      <c r="AI133" s="99"/>
      <c r="AJ133" s="99"/>
      <c r="AK133" s="99"/>
      <c r="AL133" s="99"/>
      <c r="AM133" s="99"/>
      <c r="AN133" s="99"/>
      <c r="AO133" s="99"/>
      <c r="AP133" s="99"/>
    </row>
    <row r="134" spans="1:42" ht="15">
      <c r="A134" s="101" t="s">
        <v>86</v>
      </c>
      <c r="B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115"/>
      <c r="AE134" s="115"/>
      <c r="AF134" s="115"/>
      <c r="AG134" s="115"/>
      <c r="AH134" s="99"/>
      <c r="AI134" s="99"/>
      <c r="AJ134" s="99"/>
      <c r="AK134" s="99"/>
      <c r="AL134" s="99"/>
      <c r="AM134" s="99"/>
      <c r="AN134" s="99"/>
      <c r="AO134" s="99"/>
      <c r="AP134" s="99"/>
    </row>
    <row r="135" spans="1:42" ht="15">
      <c r="A135" s="99"/>
      <c r="B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115"/>
      <c r="AE135" s="115"/>
      <c r="AF135" s="115"/>
      <c r="AG135" s="115"/>
      <c r="AH135" s="99"/>
      <c r="AI135" s="99"/>
      <c r="AJ135" s="99"/>
      <c r="AK135" s="99"/>
      <c r="AL135" s="99"/>
      <c r="AM135" s="99"/>
      <c r="AN135" s="99"/>
      <c r="AO135" s="99"/>
      <c r="AP135" s="99"/>
    </row>
    <row r="136" spans="1:42" ht="15">
      <c r="A136" s="99"/>
      <c r="B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115"/>
      <c r="AE136" s="115"/>
      <c r="AF136" s="115"/>
      <c r="AG136" s="115"/>
      <c r="AH136" s="99"/>
      <c r="AI136" s="99"/>
      <c r="AJ136" s="99"/>
      <c r="AK136" s="99"/>
      <c r="AL136" s="99"/>
      <c r="AM136" s="99"/>
      <c r="AN136" s="99"/>
      <c r="AO136" s="99"/>
      <c r="AP136" s="99"/>
    </row>
    <row r="137" spans="1:42" ht="15">
      <c r="A137" s="99"/>
      <c r="B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115"/>
      <c r="AE137" s="115"/>
      <c r="AF137" s="115"/>
      <c r="AG137" s="115"/>
      <c r="AH137" s="99"/>
      <c r="AI137" s="99"/>
      <c r="AJ137" s="99"/>
      <c r="AK137" s="99"/>
      <c r="AL137" s="99"/>
      <c r="AM137" s="99"/>
      <c r="AN137" s="99"/>
      <c r="AO137" s="99"/>
      <c r="AP137" s="99"/>
    </row>
    <row r="138" spans="1:42" ht="15">
      <c r="A138" s="99"/>
      <c r="B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115"/>
      <c r="AE138" s="115"/>
      <c r="AF138" s="115"/>
      <c r="AG138" s="115"/>
      <c r="AH138" s="99"/>
      <c r="AI138" s="99"/>
      <c r="AJ138" s="99"/>
      <c r="AK138" s="99"/>
      <c r="AL138" s="99"/>
      <c r="AM138" s="99"/>
      <c r="AN138" s="99"/>
      <c r="AO138" s="99"/>
      <c r="AP138" s="99"/>
    </row>
    <row r="139" spans="1:42" ht="15">
      <c r="A139" s="99"/>
      <c r="B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115"/>
      <c r="AE139" s="115"/>
      <c r="AF139" s="115"/>
      <c r="AG139" s="115"/>
      <c r="AH139" s="99"/>
      <c r="AI139" s="99"/>
      <c r="AJ139" s="99"/>
      <c r="AK139" s="99"/>
      <c r="AL139" s="99"/>
      <c r="AM139" s="99"/>
      <c r="AN139" s="99"/>
      <c r="AO139" s="99"/>
      <c r="AP139" s="99"/>
    </row>
  </sheetData>
  <sheetProtection/>
  <printOptions/>
  <pageMargins left="0.2" right="0.2" top="0.25" bottom="0.25" header="0" footer="0"/>
  <pageSetup horizontalDpi="600" verticalDpi="600" orientation="landscape" paperSize="17" scale="82" r:id="rId3"/>
  <ignoredErrors>
    <ignoredError sqref="P12:S12 T12:V12 W12:X12 Y12:AB12 L18:AB18 D129:AB129 O131 E12:O12 AD12:AE12 E18:K18 AD18:AE18 AE20 D20:AB20 E131:N131 D132:N133 D131 U131:Y131 P131:T131 P132:T133 U132:Y133 Z131:AB131 Z132:AB133 AD7:AD11 AD13:AD17 AF8:AF17 AE7:AE11 AE13:AE17" unlockedFormula="1"/>
    <ignoredError sqref="AE4 AF5" twoDigitTextYear="1"/>
  </ignoredError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120"/>
  <sheetViews>
    <sheetView zoomScalePageLayoutView="0" workbookViewId="0" topLeftCell="A1">
      <selection activeCell="A2" sqref="A2"/>
    </sheetView>
  </sheetViews>
  <sheetFormatPr defaultColWidth="9.33203125" defaultRowHeight="10.5"/>
  <cols>
    <col min="1" max="1" width="33.5" style="83" customWidth="1"/>
    <col min="2" max="3" width="16.5" style="88" customWidth="1"/>
    <col min="4" max="4" width="16.66015625" style="88" bestFit="1" customWidth="1"/>
    <col min="5" max="5" width="16" style="47" customWidth="1"/>
    <col min="6" max="6" width="15.5" style="48" customWidth="1"/>
    <col min="7" max="8" width="9.33203125" style="48" customWidth="1"/>
    <col min="9" max="9" width="12.16015625" style="48" hidden="1" customWidth="1"/>
    <col min="10" max="10" width="9.33203125" style="48" customWidth="1"/>
    <col min="11" max="11" width="12.16015625" style="48" bestFit="1" customWidth="1"/>
    <col min="12" max="16384" width="9.33203125" style="48" customWidth="1"/>
  </cols>
  <sheetData>
    <row r="1" spans="1:3" ht="10.5">
      <c r="A1" s="90" t="s">
        <v>536</v>
      </c>
      <c r="C1" s="174" t="s">
        <v>52</v>
      </c>
    </row>
    <row r="2" spans="1:3" ht="10.5">
      <c r="A2" s="90" t="s">
        <v>325</v>
      </c>
      <c r="C2" s="174"/>
    </row>
    <row r="4" spans="1:4" ht="10.5">
      <c r="A4" s="227" t="s">
        <v>191</v>
      </c>
      <c r="B4" s="228"/>
      <c r="C4" s="228"/>
      <c r="D4" s="228"/>
    </row>
    <row r="5" spans="1:4" s="96" customFormat="1" ht="10.5">
      <c r="A5" s="229" t="s">
        <v>44</v>
      </c>
      <c r="B5" s="230"/>
      <c r="C5" s="230"/>
      <c r="D5" s="230"/>
    </row>
    <row r="6" spans="1:6" ht="11.25" customHeight="1">
      <c r="A6" s="230"/>
      <c r="B6" s="231" t="s">
        <v>197</v>
      </c>
      <c r="C6" s="231" t="s">
        <v>12</v>
      </c>
      <c r="D6" s="231" t="s">
        <v>198</v>
      </c>
      <c r="E6" s="231" t="s">
        <v>445</v>
      </c>
      <c r="F6" s="231" t="s">
        <v>446</v>
      </c>
    </row>
    <row r="7" spans="1:6" s="89" customFormat="1" ht="10.5">
      <c r="A7" s="232" t="s">
        <v>196</v>
      </c>
      <c r="B7" s="233">
        <f>30926+30154.68+8174.32</f>
        <v>69255</v>
      </c>
      <c r="C7" s="233">
        <f>30926+8174.32+25510.82+4643.86</f>
        <v>69255</v>
      </c>
      <c r="D7" s="233">
        <f>B7-C7</f>
        <v>0</v>
      </c>
      <c r="E7" s="351">
        <v>69255</v>
      </c>
      <c r="F7" s="351">
        <f>C7-E7</f>
        <v>0</v>
      </c>
    </row>
    <row r="8" spans="1:9" ht="10.5">
      <c r="A8" s="234" t="s">
        <v>307</v>
      </c>
      <c r="B8" s="235">
        <f>5804.69+45779.41+57308</f>
        <v>108892.1</v>
      </c>
      <c r="C8" s="235">
        <f>5804.69+45779.41+57308</f>
        <v>108892.1</v>
      </c>
      <c r="D8" s="233">
        <f aca="true" t="shared" si="0" ref="D8:D20">B8-C8</f>
        <v>0</v>
      </c>
      <c r="E8" s="226">
        <v>108892.1</v>
      </c>
      <c r="F8" s="351">
        <f aca="true" t="shared" si="1" ref="F8:F20">C8-E8</f>
        <v>0</v>
      </c>
      <c r="I8" s="226">
        <f>D8+D27</f>
        <v>0</v>
      </c>
    </row>
    <row r="9" spans="1:9" ht="10.5">
      <c r="A9" s="234" t="s">
        <v>308</v>
      </c>
      <c r="B9" s="235">
        <f>4683.56+17508.99+17027.47</f>
        <v>39220.020000000004</v>
      </c>
      <c r="C9" s="235">
        <f>4683.56+17508.99+17027.47</f>
        <v>39220.020000000004</v>
      </c>
      <c r="D9" s="233">
        <f t="shared" si="0"/>
        <v>0</v>
      </c>
      <c r="E9" s="226">
        <v>39220.02</v>
      </c>
      <c r="F9" s="351">
        <f t="shared" si="1"/>
        <v>0</v>
      </c>
      <c r="I9" s="226">
        <f aca="true" t="shared" si="2" ref="I9:I20">D9+D28</f>
        <v>0</v>
      </c>
    </row>
    <row r="10" spans="1:9" ht="10.5">
      <c r="A10" s="234" t="s">
        <v>309</v>
      </c>
      <c r="B10" s="235">
        <f>4421.24+24394.03+30016.24</f>
        <v>58831.509999999995</v>
      </c>
      <c r="C10" s="235">
        <f>4421.24+24394.03+30016.24</f>
        <v>58831.509999999995</v>
      </c>
      <c r="D10" s="233">
        <f t="shared" si="0"/>
        <v>0</v>
      </c>
      <c r="E10" s="226">
        <v>58831.51</v>
      </c>
      <c r="F10" s="351">
        <f t="shared" si="1"/>
        <v>0</v>
      </c>
      <c r="I10" s="226">
        <f t="shared" si="2"/>
        <v>0</v>
      </c>
    </row>
    <row r="11" spans="1:9" ht="10.5">
      <c r="A11" s="234" t="s">
        <v>310</v>
      </c>
      <c r="B11" s="235">
        <f>3015+4199+4420</f>
        <v>11634</v>
      </c>
      <c r="C11" s="235">
        <f>3015+4199+4420</f>
        <v>11634</v>
      </c>
      <c r="D11" s="233">
        <f t="shared" si="0"/>
        <v>0</v>
      </c>
      <c r="E11" s="226">
        <v>11634</v>
      </c>
      <c r="F11" s="351">
        <f t="shared" si="1"/>
        <v>0</v>
      </c>
      <c r="I11" s="226">
        <f t="shared" si="2"/>
        <v>0</v>
      </c>
    </row>
    <row r="12" spans="1:9" s="96" customFormat="1" ht="10.5">
      <c r="A12" s="234" t="s">
        <v>311</v>
      </c>
      <c r="B12" s="235">
        <f>26949+106932+62865</f>
        <v>196746</v>
      </c>
      <c r="C12" s="235">
        <f>26949+106932+62865</f>
        <v>196746</v>
      </c>
      <c r="D12" s="233">
        <f t="shared" si="0"/>
        <v>0</v>
      </c>
      <c r="E12" s="349">
        <v>196746</v>
      </c>
      <c r="F12" s="351">
        <f t="shared" si="1"/>
        <v>0</v>
      </c>
      <c r="I12" s="226">
        <f t="shared" si="2"/>
        <v>0</v>
      </c>
    </row>
    <row r="13" spans="1:9" ht="10.5" customHeight="1">
      <c r="A13" s="234" t="s">
        <v>312</v>
      </c>
      <c r="B13" s="235">
        <f>17710+49150+43975</f>
        <v>110835</v>
      </c>
      <c r="C13" s="235">
        <f>17710+49150+43975</f>
        <v>110835</v>
      </c>
      <c r="D13" s="233">
        <f t="shared" si="0"/>
        <v>0</v>
      </c>
      <c r="E13" s="226">
        <v>110835</v>
      </c>
      <c r="F13" s="351">
        <f t="shared" si="1"/>
        <v>0</v>
      </c>
      <c r="I13" s="226">
        <f t="shared" si="2"/>
        <v>0</v>
      </c>
    </row>
    <row r="14" spans="1:9" s="89" customFormat="1" ht="10.5">
      <c r="A14" s="236" t="s">
        <v>313</v>
      </c>
      <c r="B14" s="233">
        <f>2533+10543+7953</f>
        <v>21029</v>
      </c>
      <c r="C14" s="233">
        <f>2533+10543+7953</f>
        <v>21029</v>
      </c>
      <c r="D14" s="233">
        <f t="shared" si="0"/>
        <v>0</v>
      </c>
      <c r="E14" s="351">
        <v>21029</v>
      </c>
      <c r="F14" s="351">
        <f t="shared" si="1"/>
        <v>0</v>
      </c>
      <c r="I14" s="226">
        <f t="shared" si="2"/>
        <v>0</v>
      </c>
    </row>
    <row r="15" spans="1:9" ht="10.5">
      <c r="A15" s="234" t="s">
        <v>314</v>
      </c>
      <c r="B15" s="235">
        <f>7320.99+4748.02+11509.42</f>
        <v>23578.43</v>
      </c>
      <c r="C15" s="235">
        <f>7320.99+4748.02+11509.42</f>
        <v>23578.43</v>
      </c>
      <c r="D15" s="233">
        <f t="shared" si="0"/>
        <v>0</v>
      </c>
      <c r="E15" s="226">
        <v>23578.43</v>
      </c>
      <c r="F15" s="351">
        <f t="shared" si="1"/>
        <v>0</v>
      </c>
      <c r="I15" s="226">
        <f t="shared" si="2"/>
        <v>0</v>
      </c>
    </row>
    <row r="16" spans="1:9" ht="10.5">
      <c r="A16" s="234" t="s">
        <v>315</v>
      </c>
      <c r="B16" s="235">
        <f>45231.07+136501.35+55691.47</f>
        <v>237423.89</v>
      </c>
      <c r="C16" s="235">
        <f>45231.07+136501.35+55691.47</f>
        <v>237423.89</v>
      </c>
      <c r="D16" s="233">
        <f t="shared" si="0"/>
        <v>0</v>
      </c>
      <c r="E16" s="226">
        <v>237423.89</v>
      </c>
      <c r="F16" s="351">
        <f t="shared" si="1"/>
        <v>0</v>
      </c>
      <c r="I16" s="226">
        <f t="shared" si="2"/>
        <v>0</v>
      </c>
    </row>
    <row r="17" spans="1:9" ht="10.5">
      <c r="A17" s="234" t="s">
        <v>316</v>
      </c>
      <c r="B17" s="235">
        <f>3144+10326.55+2194+6850.54-0.15+927.4</f>
        <v>23442.34</v>
      </c>
      <c r="C17" s="235">
        <f>3144+10326.55+2193.85+6850.54+927.4</f>
        <v>23442.34</v>
      </c>
      <c r="D17" s="233">
        <f t="shared" si="0"/>
        <v>0</v>
      </c>
      <c r="E17" s="226">
        <f>3121.25+20321.09</f>
        <v>23442.34</v>
      </c>
      <c r="F17" s="351">
        <f t="shared" si="1"/>
        <v>0</v>
      </c>
      <c r="I17" s="226">
        <f t="shared" si="2"/>
        <v>0</v>
      </c>
    </row>
    <row r="18" spans="1:9" ht="10.5">
      <c r="A18" s="234" t="s">
        <v>317</v>
      </c>
      <c r="B18" s="235">
        <f>6294+76209+45906</f>
        <v>128409</v>
      </c>
      <c r="C18" s="235">
        <f>6294+76209+45906</f>
        <v>128409</v>
      </c>
      <c r="D18" s="233">
        <f t="shared" si="0"/>
        <v>0</v>
      </c>
      <c r="E18" s="226">
        <v>128409</v>
      </c>
      <c r="F18" s="351">
        <f t="shared" si="1"/>
        <v>0</v>
      </c>
      <c r="I18" s="226">
        <f t="shared" si="2"/>
        <v>0</v>
      </c>
    </row>
    <row r="19" spans="1:9" ht="10.5">
      <c r="A19" s="234" t="s">
        <v>318</v>
      </c>
      <c r="B19" s="235">
        <f>9102+29399+24895</f>
        <v>63396</v>
      </c>
      <c r="C19" s="235">
        <f>9102+29399+24895</f>
        <v>63396</v>
      </c>
      <c r="D19" s="233">
        <f t="shared" si="0"/>
        <v>0</v>
      </c>
      <c r="E19" s="226">
        <v>63396</v>
      </c>
      <c r="F19" s="351">
        <f t="shared" si="1"/>
        <v>0</v>
      </c>
      <c r="I19" s="226">
        <f t="shared" si="2"/>
        <v>0</v>
      </c>
    </row>
    <row r="20" spans="1:9" ht="10.5">
      <c r="A20" s="234" t="s">
        <v>319</v>
      </c>
      <c r="B20" s="237">
        <f>31624.42+121409.01+80399</f>
        <v>233432.43</v>
      </c>
      <c r="C20" s="237">
        <f>31624.42+121409.01+80399</f>
        <v>233432.43</v>
      </c>
      <c r="D20" s="238">
        <f t="shared" si="0"/>
        <v>0</v>
      </c>
      <c r="E20" s="354">
        <v>233432.43</v>
      </c>
      <c r="F20" s="352">
        <f t="shared" si="1"/>
        <v>0</v>
      </c>
      <c r="I20" s="226">
        <f t="shared" si="2"/>
        <v>0</v>
      </c>
    </row>
    <row r="21" spans="1:6" ht="10.5">
      <c r="A21" s="230"/>
      <c r="B21" s="235"/>
      <c r="C21" s="235"/>
      <c r="D21" s="235"/>
      <c r="E21" s="226"/>
      <c r="F21" s="226"/>
    </row>
    <row r="22" spans="1:6" ht="10.5">
      <c r="A22" s="229" t="s">
        <v>3</v>
      </c>
      <c r="B22" s="239">
        <f>SUM(B7:B20)</f>
        <v>1326124.72</v>
      </c>
      <c r="C22" s="239">
        <f>SUM(C7:C20)</f>
        <v>1326124.72</v>
      </c>
      <c r="D22" s="239">
        <f>SUM(D7:D20)</f>
        <v>0</v>
      </c>
      <c r="E22" s="226">
        <f>SUM(E7:E20)</f>
        <v>1326124.72</v>
      </c>
      <c r="F22" s="226">
        <f>SUM(F7:F20)</f>
        <v>0</v>
      </c>
    </row>
    <row r="23" spans="1:6" ht="10.5">
      <c r="A23" s="230"/>
      <c r="B23" s="235"/>
      <c r="C23" s="235"/>
      <c r="D23" s="235"/>
      <c r="E23" s="226"/>
      <c r="F23" s="226"/>
    </row>
    <row r="24" spans="1:6" ht="10.5">
      <c r="A24" s="230"/>
      <c r="B24" s="235"/>
      <c r="C24" s="235"/>
      <c r="D24" s="235"/>
      <c r="E24" s="226"/>
      <c r="F24" s="226"/>
    </row>
    <row r="25" spans="1:6" ht="10.5">
      <c r="A25" s="229" t="s">
        <v>13</v>
      </c>
      <c r="B25" s="235"/>
      <c r="C25" s="235"/>
      <c r="D25" s="235"/>
      <c r="E25" s="226"/>
      <c r="F25" s="226"/>
    </row>
    <row r="26" spans="1:6" ht="10.5">
      <c r="A26" s="230"/>
      <c r="B26" s="231" t="s">
        <v>197</v>
      </c>
      <c r="C26" s="231" t="s">
        <v>12</v>
      </c>
      <c r="D26" s="231" t="s">
        <v>198</v>
      </c>
      <c r="E26" s="226"/>
      <c r="F26" s="226"/>
    </row>
    <row r="27" spans="1:6" ht="10.5">
      <c r="A27" s="234" t="s">
        <v>307</v>
      </c>
      <c r="B27" s="235">
        <f>139262+16659.8+1059809.57+107144.47+1053737+90855</f>
        <v>2467467.84</v>
      </c>
      <c r="C27" s="235">
        <f>139262+16659.8+1059809.57+107144.47+1053737+90855</f>
        <v>2467467.84</v>
      </c>
      <c r="D27" s="235">
        <f>B27-C27</f>
        <v>0</v>
      </c>
      <c r="E27" s="226">
        <v>2467467.84</v>
      </c>
      <c r="F27" s="351">
        <f aca="true" t="shared" si="3" ref="F27:F39">C27-E27</f>
        <v>0</v>
      </c>
    </row>
    <row r="28" spans="1:6" ht="10.5">
      <c r="A28" s="234" t="s">
        <v>308</v>
      </c>
      <c r="B28" s="235">
        <f>35935+10146.55+290567+65372.24+297335+48458.54</f>
        <v>747814.3300000001</v>
      </c>
      <c r="C28" s="235">
        <f>35935+10146.55+290567+65372.24+297335+48458.54</f>
        <v>747814.3300000001</v>
      </c>
      <c r="D28" s="235">
        <f aca="true" t="shared" si="4" ref="D28:D39">B28-C28</f>
        <v>0</v>
      </c>
      <c r="E28" s="226">
        <v>747814.33</v>
      </c>
      <c r="F28" s="351">
        <f t="shared" si="3"/>
        <v>0</v>
      </c>
    </row>
    <row r="29" spans="1:6" ht="10.5">
      <c r="A29" s="234" t="s">
        <v>309</v>
      </c>
      <c r="B29" s="235">
        <f>19470+3531.99+159388+34198.09+270300+46478.66</f>
        <v>533366.74</v>
      </c>
      <c r="C29" s="235">
        <f>19470+3531.99+34198.09+159388+270300+46478.66</f>
        <v>533366.74</v>
      </c>
      <c r="D29" s="235">
        <f t="shared" si="4"/>
        <v>0</v>
      </c>
      <c r="E29" s="226">
        <v>533366.74</v>
      </c>
      <c r="F29" s="351">
        <f t="shared" si="3"/>
        <v>0</v>
      </c>
    </row>
    <row r="30" spans="1:8" ht="10.5">
      <c r="A30" s="234" t="s">
        <v>310</v>
      </c>
      <c r="B30" s="235">
        <f>112590</f>
        <v>112590</v>
      </c>
      <c r="C30" s="235">
        <f>20628+1487+48255+3725+34665+3830</f>
        <v>112590</v>
      </c>
      <c r="D30" s="235">
        <f t="shared" si="4"/>
        <v>0</v>
      </c>
      <c r="E30" s="226">
        <v>112590</v>
      </c>
      <c r="F30" s="351">
        <f t="shared" si="3"/>
        <v>0</v>
      </c>
      <c r="H30" s="226" t="s">
        <v>52</v>
      </c>
    </row>
    <row r="31" spans="1:6" s="96" customFormat="1" ht="10.5">
      <c r="A31" s="234" t="s">
        <v>311</v>
      </c>
      <c r="B31" s="235">
        <f>192649+38626+1172406+185695+1224965+186213</f>
        <v>3000554</v>
      </c>
      <c r="C31" s="235">
        <f>192649+38626+1172406+185695+1224965+186213</f>
        <v>3000554</v>
      </c>
      <c r="D31" s="235">
        <f t="shared" si="4"/>
        <v>0</v>
      </c>
      <c r="E31" s="349">
        <v>3000554</v>
      </c>
      <c r="F31" s="351">
        <f t="shared" si="3"/>
        <v>0</v>
      </c>
    </row>
    <row r="32" spans="1:6" ht="11.25" customHeight="1">
      <c r="A32" s="234" t="s">
        <v>312</v>
      </c>
      <c r="B32" s="235">
        <f>83890+15061+334989+59120+352959+77257</f>
        <v>923276</v>
      </c>
      <c r="C32" s="235">
        <f>83890+15061+334989+59120+352959+77257</f>
        <v>923276</v>
      </c>
      <c r="D32" s="235">
        <f t="shared" si="4"/>
        <v>0</v>
      </c>
      <c r="E32" s="226">
        <v>923276</v>
      </c>
      <c r="F32" s="351">
        <f t="shared" si="3"/>
        <v>0</v>
      </c>
    </row>
    <row r="33" spans="1:6" s="89" customFormat="1" ht="10.5">
      <c r="A33" s="236" t="s">
        <v>313</v>
      </c>
      <c r="B33" s="233">
        <f>206329.5</f>
        <v>206329.5</v>
      </c>
      <c r="C33" s="233">
        <f>18205+2527+81888+14039+78265+11405.5</f>
        <v>206329.5</v>
      </c>
      <c r="D33" s="235">
        <f t="shared" si="4"/>
        <v>0</v>
      </c>
      <c r="E33" s="351">
        <v>206329.5</v>
      </c>
      <c r="F33" s="351">
        <f t="shared" si="3"/>
        <v>0</v>
      </c>
    </row>
    <row r="34" spans="1:6" ht="10.5">
      <c r="A34" s="234" t="s">
        <v>314</v>
      </c>
      <c r="B34" s="235">
        <f>3142+2642+119175+13298.52+135260.79+26382.98-8225.79</f>
        <v>291675.5</v>
      </c>
      <c r="C34" s="235">
        <f>3142+2642+119175+13298.52+127035+26382.98</f>
        <v>291675.5</v>
      </c>
      <c r="D34" s="235">
        <f t="shared" si="4"/>
        <v>0</v>
      </c>
      <c r="E34" s="226">
        <v>291675.5</v>
      </c>
      <c r="F34" s="351">
        <f t="shared" si="3"/>
        <v>0</v>
      </c>
    </row>
    <row r="35" spans="1:6" ht="10.5">
      <c r="A35" s="234" t="s">
        <v>315</v>
      </c>
      <c r="B35" s="235">
        <v>2700978.64</v>
      </c>
      <c r="C35" s="235">
        <f>299275+43041.69+945669+165440.68+1155465+92087.27</f>
        <v>2700978.64</v>
      </c>
      <c r="D35" s="235">
        <f t="shared" si="4"/>
        <v>0</v>
      </c>
      <c r="E35" s="226">
        <v>2700978.64</v>
      </c>
      <c r="F35" s="351">
        <f t="shared" si="3"/>
        <v>0</v>
      </c>
    </row>
    <row r="36" spans="1:6" ht="10.5">
      <c r="A36" s="234" t="s">
        <v>316</v>
      </c>
      <c r="B36" s="235">
        <f>52735+5867+243540+19490.74+368540+20461.18</f>
        <v>710633.92</v>
      </c>
      <c r="C36" s="235">
        <f>52735+5867+243540+19490.74+368540+20461.18</f>
        <v>710633.92</v>
      </c>
      <c r="D36" s="235">
        <f t="shared" si="4"/>
        <v>0</v>
      </c>
      <c r="E36" s="226">
        <v>710633.92</v>
      </c>
      <c r="F36" s="351">
        <f t="shared" si="3"/>
        <v>0</v>
      </c>
    </row>
    <row r="37" spans="1:6" ht="10.5">
      <c r="A37" s="234" t="s">
        <v>317</v>
      </c>
      <c r="B37" s="235">
        <v>2283594.61</v>
      </c>
      <c r="C37" s="235">
        <f>28784+19606+1112860.58+195169+785001.03+142174</f>
        <v>2283594.6100000003</v>
      </c>
      <c r="D37" s="235">
        <f t="shared" si="4"/>
        <v>0</v>
      </c>
      <c r="E37" s="226">
        <v>2283594.61</v>
      </c>
      <c r="F37" s="351">
        <f t="shared" si="3"/>
        <v>0</v>
      </c>
    </row>
    <row r="38" spans="1:6" ht="10.5">
      <c r="A38" s="234" t="s">
        <v>318</v>
      </c>
      <c r="B38" s="235">
        <v>717526</v>
      </c>
      <c r="C38" s="235">
        <f>58435+13108+314951+38145+248874+44013</f>
        <v>717526</v>
      </c>
      <c r="D38" s="235">
        <f t="shared" si="4"/>
        <v>0</v>
      </c>
      <c r="E38" s="226">
        <v>717526</v>
      </c>
      <c r="F38" s="351">
        <f t="shared" si="3"/>
        <v>0</v>
      </c>
    </row>
    <row r="39" spans="1:6" ht="10.5">
      <c r="A39" s="234" t="s">
        <v>319</v>
      </c>
      <c r="B39" s="237">
        <v>2070347.8</v>
      </c>
      <c r="C39" s="237">
        <f>249512.8+24149.1+988418.48+98168.86-2440+652029.56+60509</f>
        <v>2070347.8</v>
      </c>
      <c r="D39" s="237">
        <f t="shared" si="4"/>
        <v>0</v>
      </c>
      <c r="E39" s="354">
        <v>2070347.8</v>
      </c>
      <c r="F39" s="352">
        <f t="shared" si="3"/>
        <v>0</v>
      </c>
    </row>
    <row r="40" spans="1:6" ht="10.5">
      <c r="A40" s="230"/>
      <c r="B40" s="235"/>
      <c r="C40" s="235"/>
      <c r="D40" s="235"/>
      <c r="E40" s="226"/>
      <c r="F40" s="226"/>
    </row>
    <row r="41" spans="1:6" ht="10.5">
      <c r="A41" s="229" t="s">
        <v>3</v>
      </c>
      <c r="B41" s="239">
        <f>SUM(B27:B39)</f>
        <v>16766154.88</v>
      </c>
      <c r="C41" s="239">
        <f>SUM(C27:C39)</f>
        <v>16766154.880000003</v>
      </c>
      <c r="D41" s="239">
        <f>SUM(D27:D39)</f>
        <v>0</v>
      </c>
      <c r="E41" s="226">
        <f>SUM(E27:E39)</f>
        <v>16766154.88</v>
      </c>
      <c r="F41" s="226">
        <f>SUM(F27:F39)</f>
        <v>0</v>
      </c>
    </row>
    <row r="42" spans="1:6" ht="10.5">
      <c r="A42" s="230"/>
      <c r="B42" s="235"/>
      <c r="C42" s="235"/>
      <c r="D42" s="235"/>
      <c r="E42" s="226"/>
      <c r="F42" s="226"/>
    </row>
    <row r="43" spans="1:6" ht="10.5">
      <c r="A43" s="230"/>
      <c r="B43" s="235"/>
      <c r="C43" s="235"/>
      <c r="D43" s="235"/>
      <c r="E43" s="226"/>
      <c r="F43" s="226"/>
    </row>
    <row r="44" spans="1:6" ht="10.5">
      <c r="A44" s="229" t="s">
        <v>199</v>
      </c>
      <c r="B44" s="239">
        <f>B22+B41</f>
        <v>18092279.6</v>
      </c>
      <c r="C44" s="239">
        <f>C22+C41</f>
        <v>18092279.6</v>
      </c>
      <c r="D44" s="239">
        <f>D22+D41</f>
        <v>0</v>
      </c>
      <c r="E44" s="355">
        <f>E22+E41</f>
        <v>18092279.6</v>
      </c>
      <c r="F44" s="355">
        <f>F22+F41</f>
        <v>0</v>
      </c>
    </row>
    <row r="45" spans="1:6" ht="10.5">
      <c r="A45" s="48"/>
      <c r="B45" s="226"/>
      <c r="C45" s="226"/>
      <c r="D45" s="226"/>
      <c r="E45" s="226"/>
      <c r="F45" s="226"/>
    </row>
    <row r="46" spans="1:5" ht="10.5">
      <c r="A46" s="48"/>
      <c r="B46" s="226"/>
      <c r="C46" s="226"/>
      <c r="D46" s="226"/>
      <c r="E46" s="48"/>
    </row>
    <row r="47" spans="1:5" ht="10.5">
      <c r="A47" s="240" t="s">
        <v>190</v>
      </c>
      <c r="B47" s="241"/>
      <c r="C47" s="241"/>
      <c r="D47" s="241"/>
      <c r="E47" s="48"/>
    </row>
    <row r="48" spans="1:5" ht="10.5">
      <c r="A48" s="240" t="s">
        <v>44</v>
      </c>
      <c r="B48" s="241"/>
      <c r="C48" s="241"/>
      <c r="D48" s="241"/>
      <c r="E48" s="48"/>
    </row>
    <row r="49" spans="1:6" ht="10.5">
      <c r="A49" s="242"/>
      <c r="B49" s="243" t="s">
        <v>197</v>
      </c>
      <c r="C49" s="243" t="s">
        <v>12</v>
      </c>
      <c r="D49" s="243" t="s">
        <v>198</v>
      </c>
      <c r="E49" s="243" t="s">
        <v>445</v>
      </c>
      <c r="F49" s="243" t="s">
        <v>446</v>
      </c>
    </row>
    <row r="50" spans="1:9" s="96" customFormat="1" ht="10.5">
      <c r="A50" s="244" t="s">
        <v>320</v>
      </c>
      <c r="B50" s="241">
        <f>47593+184423+179253</f>
        <v>411269</v>
      </c>
      <c r="C50" s="241">
        <f>47593+184423+179253</f>
        <v>411269</v>
      </c>
      <c r="D50" s="241">
        <f>B50-C50</f>
        <v>0</v>
      </c>
      <c r="E50" s="350">
        <v>411269</v>
      </c>
      <c r="F50" s="350">
        <f>C50-E50</f>
        <v>0</v>
      </c>
      <c r="I50" s="349">
        <f>D50+D63</f>
        <v>0</v>
      </c>
    </row>
    <row r="51" spans="1:9" ht="12" customHeight="1">
      <c r="A51" s="244" t="s">
        <v>321</v>
      </c>
      <c r="B51" s="241">
        <v>0</v>
      </c>
      <c r="C51" s="241">
        <v>0</v>
      </c>
      <c r="D51" s="241">
        <f aca="true" t="shared" si="5" ref="D51:D56">B51-C51</f>
        <v>0</v>
      </c>
      <c r="E51" s="351">
        <v>0</v>
      </c>
      <c r="F51" s="350">
        <f aca="true" t="shared" si="6" ref="F51:F56">C51-E51</f>
        <v>0</v>
      </c>
      <c r="I51" s="349">
        <f aca="true" t="shared" si="7" ref="I51:I56">D51+D64</f>
        <v>0</v>
      </c>
    </row>
    <row r="52" spans="1:9" s="89" customFormat="1" ht="10.5">
      <c r="A52" s="245" t="s">
        <v>322</v>
      </c>
      <c r="B52" s="246">
        <f>35619.32+154333.28+117577.08</f>
        <v>307529.68</v>
      </c>
      <c r="C52" s="246">
        <f>35619.32+154333.28+117577.08</f>
        <v>307529.68</v>
      </c>
      <c r="D52" s="241">
        <f t="shared" si="5"/>
        <v>0</v>
      </c>
      <c r="E52" s="351">
        <v>307529.68</v>
      </c>
      <c r="F52" s="350">
        <f t="shared" si="6"/>
        <v>0</v>
      </c>
      <c r="I52" s="349">
        <f t="shared" si="7"/>
        <v>0</v>
      </c>
    </row>
    <row r="53" spans="1:9" ht="10.5">
      <c r="A53" s="244" t="s">
        <v>323</v>
      </c>
      <c r="B53" s="241">
        <v>0</v>
      </c>
      <c r="C53" s="241">
        <v>0</v>
      </c>
      <c r="D53" s="241">
        <f t="shared" si="5"/>
        <v>0</v>
      </c>
      <c r="E53" s="351">
        <v>0</v>
      </c>
      <c r="F53" s="350">
        <f t="shared" si="6"/>
        <v>0</v>
      </c>
      <c r="I53" s="349">
        <f t="shared" si="7"/>
        <v>0</v>
      </c>
    </row>
    <row r="54" spans="1:9" ht="10.5">
      <c r="A54" s="244" t="s">
        <v>315</v>
      </c>
      <c r="B54" s="241">
        <f>218606.99+411713.33+168750.21</f>
        <v>799070.53</v>
      </c>
      <c r="C54" s="241">
        <f>218606.99+411713.33+168750.21</f>
        <v>799070.53</v>
      </c>
      <c r="D54" s="241">
        <f t="shared" si="5"/>
        <v>0</v>
      </c>
      <c r="E54" s="351">
        <v>799070.53</v>
      </c>
      <c r="F54" s="350">
        <f t="shared" si="6"/>
        <v>0</v>
      </c>
      <c r="I54" s="349">
        <f t="shared" si="7"/>
        <v>0</v>
      </c>
    </row>
    <row r="55" spans="1:9" ht="10.5">
      <c r="A55" s="244" t="s">
        <v>316</v>
      </c>
      <c r="B55" s="241">
        <f>14883+45639.9+52883.37</f>
        <v>113406.27</v>
      </c>
      <c r="C55" s="241">
        <f>14883+45639.9+52883.37</f>
        <v>113406.27</v>
      </c>
      <c r="D55" s="241">
        <f t="shared" si="5"/>
        <v>0</v>
      </c>
      <c r="E55" s="351">
        <v>113406.27</v>
      </c>
      <c r="F55" s="350">
        <f t="shared" si="6"/>
        <v>0</v>
      </c>
      <c r="I55" s="349">
        <f t="shared" si="7"/>
        <v>0</v>
      </c>
    </row>
    <row r="56" spans="1:9" ht="10.5">
      <c r="A56" s="244" t="s">
        <v>324</v>
      </c>
      <c r="B56" s="247">
        <f>10997.88+42956.46+35457</f>
        <v>89411.34</v>
      </c>
      <c r="C56" s="247">
        <f>10997.88+42956.46+35457</f>
        <v>89411.34</v>
      </c>
      <c r="D56" s="247">
        <f t="shared" si="5"/>
        <v>0</v>
      </c>
      <c r="E56" s="352">
        <v>89411.34</v>
      </c>
      <c r="F56" s="353">
        <f t="shared" si="6"/>
        <v>0</v>
      </c>
      <c r="I56" s="349">
        <f t="shared" si="7"/>
        <v>0</v>
      </c>
    </row>
    <row r="57" spans="1:6" ht="10.5">
      <c r="A57" s="242"/>
      <c r="B57" s="241"/>
      <c r="C57" s="241"/>
      <c r="D57" s="241"/>
      <c r="E57" s="351"/>
      <c r="F57" s="351"/>
    </row>
    <row r="58" spans="1:6" ht="10.5">
      <c r="A58" s="240" t="s">
        <v>3</v>
      </c>
      <c r="B58" s="248">
        <f>SUM(B50:B56)</f>
        <v>1720686.82</v>
      </c>
      <c r="C58" s="248">
        <f>SUM(C50:C56)</f>
        <v>1720686.82</v>
      </c>
      <c r="D58" s="248">
        <f>SUM(D50:D56)</f>
        <v>0</v>
      </c>
      <c r="E58" s="351">
        <f>SUM(E50:E56)</f>
        <v>1720686.82</v>
      </c>
      <c r="F58" s="351">
        <f>SUM(F50:F56)</f>
        <v>0</v>
      </c>
    </row>
    <row r="59" spans="1:6" ht="10.5">
      <c r="A59" s="242"/>
      <c r="B59" s="242"/>
      <c r="C59" s="242"/>
      <c r="D59" s="242"/>
      <c r="E59" s="351"/>
      <c r="F59" s="351"/>
    </row>
    <row r="60" spans="1:6" ht="10.5">
      <c r="A60" s="242"/>
      <c r="B60" s="242"/>
      <c r="C60" s="242"/>
      <c r="D60" s="242"/>
      <c r="E60" s="351"/>
      <c r="F60" s="351"/>
    </row>
    <row r="61" spans="1:6" ht="10.5">
      <c r="A61" s="240" t="s">
        <v>13</v>
      </c>
      <c r="B61" s="242"/>
      <c r="C61" s="242"/>
      <c r="D61" s="242"/>
      <c r="E61" s="351"/>
      <c r="F61" s="351"/>
    </row>
    <row r="62" spans="1:6" ht="10.5">
      <c r="A62" s="242"/>
      <c r="B62" s="243" t="s">
        <v>197</v>
      </c>
      <c r="C62" s="243" t="s">
        <v>12</v>
      </c>
      <c r="D62" s="243" t="s">
        <v>198</v>
      </c>
      <c r="E62" s="351"/>
      <c r="F62" s="351"/>
    </row>
    <row r="63" spans="1:6" ht="10.5">
      <c r="A63" s="244" t="s">
        <v>320</v>
      </c>
      <c r="B63" s="241">
        <f>539311+122598+2327012.6+540248+2920465+455474</f>
        <v>6905108.6</v>
      </c>
      <c r="C63" s="241">
        <f>539311+122598+2327012.6+540248+2920465+455474</f>
        <v>6905108.6</v>
      </c>
      <c r="D63" s="241">
        <f>B63-C63</f>
        <v>0</v>
      </c>
      <c r="E63" s="351">
        <v>6905108.6</v>
      </c>
      <c r="F63" s="351">
        <f>C63-E63</f>
        <v>0</v>
      </c>
    </row>
    <row r="64" spans="1:6" ht="10.5">
      <c r="A64" s="244" t="s">
        <v>321</v>
      </c>
      <c r="B64" s="241">
        <v>0</v>
      </c>
      <c r="C64" s="241">
        <v>0</v>
      </c>
      <c r="D64" s="241">
        <f aca="true" t="shared" si="8" ref="D64:D69">B64-C64</f>
        <v>0</v>
      </c>
      <c r="E64" s="351">
        <v>0</v>
      </c>
      <c r="F64" s="351">
        <f aca="true" t="shared" si="9" ref="F64:F69">C64-E64</f>
        <v>0</v>
      </c>
    </row>
    <row r="65" spans="1:6" ht="10.5">
      <c r="A65" s="245" t="s">
        <v>322</v>
      </c>
      <c r="B65" s="241">
        <f>302187+77823.49+1641339+265640.08+1930314+360004.79</f>
        <v>4577308.36</v>
      </c>
      <c r="C65" s="241">
        <f>302187+77823.49+1641339+265640.08+1930314+360004.79</f>
        <v>4577308.36</v>
      </c>
      <c r="D65" s="241">
        <f t="shared" si="8"/>
        <v>0</v>
      </c>
      <c r="E65" s="351">
        <v>4577308.36</v>
      </c>
      <c r="F65" s="351">
        <f t="shared" si="9"/>
        <v>0</v>
      </c>
    </row>
    <row r="66" spans="1:6" ht="10.5">
      <c r="A66" s="244" t="s">
        <v>323</v>
      </c>
      <c r="B66" s="241">
        <v>0</v>
      </c>
      <c r="C66" s="241">
        <v>0</v>
      </c>
      <c r="D66" s="241">
        <f t="shared" si="8"/>
        <v>0</v>
      </c>
      <c r="E66" s="351">
        <v>0</v>
      </c>
      <c r="F66" s="351">
        <f t="shared" si="9"/>
        <v>0</v>
      </c>
    </row>
    <row r="67" spans="1:6" ht="10.5">
      <c r="A67" s="244" t="s">
        <v>315</v>
      </c>
      <c r="B67" s="241">
        <f>1549689+112842.33+3648180+499208.94+3046696+255860.06</f>
        <v>9112476.33</v>
      </c>
      <c r="C67" s="241">
        <f>1549689+112842.33+3648180+499208.94+3046696+255860.06</f>
        <v>9112476.33</v>
      </c>
      <c r="D67" s="241">
        <f t="shared" si="8"/>
        <v>0</v>
      </c>
      <c r="E67" s="351">
        <v>9112476.33</v>
      </c>
      <c r="F67" s="351">
        <f t="shared" si="9"/>
        <v>0</v>
      </c>
    </row>
    <row r="68" spans="1:6" ht="10.5">
      <c r="A68" s="244" t="s">
        <v>316</v>
      </c>
      <c r="B68" s="241">
        <f>212310+29173+1521715+118752.01+1687733+92312.35</f>
        <v>3661995.36</v>
      </c>
      <c r="C68" s="241">
        <f>212310+29173+1521715+118752.01+1687733+92312.35</f>
        <v>3661995.36</v>
      </c>
      <c r="D68" s="241">
        <f t="shared" si="8"/>
        <v>0</v>
      </c>
      <c r="E68" s="351">
        <v>3661995.36</v>
      </c>
      <c r="F68" s="351">
        <f t="shared" si="9"/>
        <v>0</v>
      </c>
    </row>
    <row r="69" spans="1:6" s="96" customFormat="1" ht="10.5">
      <c r="A69" s="244" t="s">
        <v>324</v>
      </c>
      <c r="B69" s="247">
        <f>71595+25506.3+314865+56350.45+270065+45627.64+9531</f>
        <v>793540.39</v>
      </c>
      <c r="C69" s="247">
        <f>71595+25506.3+314865+65881.45+270065+45627.64</f>
        <v>793540.39</v>
      </c>
      <c r="D69" s="247">
        <f t="shared" si="8"/>
        <v>0</v>
      </c>
      <c r="E69" s="353">
        <v>793540.39</v>
      </c>
      <c r="F69" s="352">
        <f t="shared" si="9"/>
        <v>0</v>
      </c>
    </row>
    <row r="70" spans="1:6" ht="9.75" customHeight="1">
      <c r="A70" s="242"/>
      <c r="B70" s="241"/>
      <c r="C70" s="241"/>
      <c r="D70" s="241"/>
      <c r="E70" s="351"/>
      <c r="F70" s="351"/>
    </row>
    <row r="71" spans="1:6" s="89" customFormat="1" ht="10.5">
      <c r="A71" s="249" t="s">
        <v>3</v>
      </c>
      <c r="B71" s="250">
        <f>SUM(B63:B69)</f>
        <v>25050429.04</v>
      </c>
      <c r="C71" s="250">
        <f>SUM(C63:C69)</f>
        <v>25050429.04</v>
      </c>
      <c r="D71" s="250">
        <f>SUM(D63:D69)</f>
        <v>0</v>
      </c>
      <c r="E71" s="351">
        <f>SUM(E63:E69)</f>
        <v>25050429.04</v>
      </c>
      <c r="F71" s="351">
        <f>SUM(F63:F69)</f>
        <v>0</v>
      </c>
    </row>
    <row r="72" spans="1:6" ht="10.5">
      <c r="A72" s="242"/>
      <c r="B72" s="241"/>
      <c r="C72" s="241"/>
      <c r="D72" s="241"/>
      <c r="E72" s="351"/>
      <c r="F72" s="351"/>
    </row>
    <row r="73" spans="1:6" ht="10.5">
      <c r="A73" s="240" t="s">
        <v>200</v>
      </c>
      <c r="B73" s="248">
        <f>B58+B71</f>
        <v>26771115.86</v>
      </c>
      <c r="C73" s="248">
        <f>C58+C71</f>
        <v>26771115.86</v>
      </c>
      <c r="D73" s="248">
        <f>D58+D71</f>
        <v>0</v>
      </c>
      <c r="E73" s="355">
        <f>E58+E71</f>
        <v>26771115.86</v>
      </c>
      <c r="F73" s="355">
        <f>F58+F71</f>
        <v>0</v>
      </c>
    </row>
    <row r="74" spans="1:6" ht="10.5">
      <c r="A74" s="48"/>
      <c r="B74" s="226"/>
      <c r="C74" s="226"/>
      <c r="D74" s="226"/>
      <c r="E74" s="351"/>
      <c r="F74" s="351"/>
    </row>
    <row r="75" spans="1:6" ht="10.5">
      <c r="A75" s="48"/>
      <c r="B75" s="226"/>
      <c r="C75" s="226"/>
      <c r="D75" s="226"/>
      <c r="E75" s="351"/>
      <c r="F75" s="351"/>
    </row>
    <row r="76" spans="1:6" ht="10.5">
      <c r="A76" s="48"/>
      <c r="B76" s="226"/>
      <c r="C76" s="226"/>
      <c r="D76" s="226">
        <f>D44+D73</f>
        <v>0</v>
      </c>
      <c r="E76" s="351"/>
      <c r="F76" s="351"/>
    </row>
    <row r="77" spans="1:6" ht="10.5">
      <c r="A77" s="48"/>
      <c r="B77" s="226"/>
      <c r="C77" s="226"/>
      <c r="D77" s="226"/>
      <c r="E77" s="226"/>
      <c r="F77" s="226"/>
    </row>
    <row r="78" spans="1:5" ht="10.5">
      <c r="A78" s="48"/>
      <c r="B78" s="226"/>
      <c r="C78" s="226"/>
      <c r="D78" s="226"/>
      <c r="E78" s="48"/>
    </row>
    <row r="79" spans="1:5" ht="10.5">
      <c r="A79" s="48"/>
      <c r="B79" s="48"/>
      <c r="C79" s="48"/>
      <c r="D79" s="48"/>
      <c r="E79" s="48"/>
    </row>
    <row r="80" spans="1:5" ht="10.5">
      <c r="A80" s="48"/>
      <c r="B80" s="48"/>
      <c r="C80" s="48"/>
      <c r="D80" s="48"/>
      <c r="E80" s="48"/>
    </row>
    <row r="81" s="96" customFormat="1" ht="10.5"/>
    <row r="82" spans="1:5" ht="9.75" customHeight="1">
      <c r="A82" s="48"/>
      <c r="B82" s="48"/>
      <c r="C82" s="48"/>
      <c r="D82" s="48"/>
      <c r="E82" s="48"/>
    </row>
    <row r="83" s="89" customFormat="1" ht="10.5"/>
    <row r="84" spans="1:5" ht="10.5">
      <c r="A84" s="48"/>
      <c r="B84" s="48"/>
      <c r="C84" s="48"/>
      <c r="D84" s="48"/>
      <c r="E84" s="48"/>
    </row>
    <row r="85" spans="1:5" ht="10.5">
      <c r="A85" s="48"/>
      <c r="B85" s="48"/>
      <c r="C85" s="48"/>
      <c r="D85" s="48"/>
      <c r="E85" s="48"/>
    </row>
    <row r="86" spans="1:5" ht="10.5">
      <c r="A86" s="48"/>
      <c r="B86" s="48"/>
      <c r="C86" s="48"/>
      <c r="D86" s="48"/>
      <c r="E86" s="48"/>
    </row>
    <row r="87" spans="1:5" ht="10.5">
      <c r="A87" s="48"/>
      <c r="B87" s="48"/>
      <c r="C87" s="48"/>
      <c r="D87" s="48"/>
      <c r="E87" s="48"/>
    </row>
    <row r="88" spans="1:5" ht="10.5">
      <c r="A88" s="48"/>
      <c r="B88" s="48"/>
      <c r="C88" s="48"/>
      <c r="D88" s="48"/>
      <c r="E88" s="48"/>
    </row>
    <row r="89" spans="1:5" ht="10.5">
      <c r="A89" s="48"/>
      <c r="B89" s="48"/>
      <c r="C89" s="48"/>
      <c r="D89" s="48"/>
      <c r="E89" s="48"/>
    </row>
    <row r="90" spans="1:5" ht="10.5">
      <c r="A90" s="48"/>
      <c r="B90" s="48"/>
      <c r="C90" s="48"/>
      <c r="D90" s="48"/>
      <c r="E90" s="48"/>
    </row>
    <row r="91" spans="1:5" ht="10.5">
      <c r="A91" s="48"/>
      <c r="B91" s="48"/>
      <c r="C91" s="48"/>
      <c r="D91" s="48"/>
      <c r="E91" s="48"/>
    </row>
    <row r="92" s="96" customFormat="1" ht="10.5"/>
    <row r="93" spans="1:5" ht="10.5" customHeight="1">
      <c r="A93" s="48"/>
      <c r="B93" s="48"/>
      <c r="C93" s="48"/>
      <c r="D93" s="48"/>
      <c r="E93" s="48"/>
    </row>
    <row r="94" s="89" customFormat="1" ht="10.5"/>
    <row r="95" spans="1:5" ht="10.5">
      <c r="A95" s="48"/>
      <c r="B95" s="48"/>
      <c r="C95" s="48"/>
      <c r="D95" s="48"/>
      <c r="E95" s="48"/>
    </row>
    <row r="96" spans="1:5" ht="10.5">
      <c r="A96" s="48"/>
      <c r="B96" s="48"/>
      <c r="C96" s="48"/>
      <c r="D96" s="48"/>
      <c r="E96" s="48"/>
    </row>
    <row r="97" spans="1:5" ht="10.5">
      <c r="A97" s="48"/>
      <c r="B97" s="48"/>
      <c r="C97" s="48"/>
      <c r="D97" s="48"/>
      <c r="E97" s="48"/>
    </row>
    <row r="98" spans="1:5" ht="10.5">
      <c r="A98" s="48"/>
      <c r="B98" s="48"/>
      <c r="C98" s="48"/>
      <c r="D98" s="48"/>
      <c r="E98" s="48"/>
    </row>
    <row r="99" spans="1:5" ht="10.5">
      <c r="A99" s="48"/>
      <c r="B99" s="48"/>
      <c r="C99" s="48"/>
      <c r="D99" s="48"/>
      <c r="E99" s="48"/>
    </row>
    <row r="100" spans="1:5" ht="10.5">
      <c r="A100" s="48"/>
      <c r="B100" s="48"/>
      <c r="C100" s="48"/>
      <c r="D100" s="48"/>
      <c r="E100" s="48"/>
    </row>
    <row r="101" spans="1:5" ht="10.5">
      <c r="A101" s="48"/>
      <c r="B101" s="48"/>
      <c r="C101" s="48"/>
      <c r="D101" s="48"/>
      <c r="E101" s="48"/>
    </row>
    <row r="102" spans="1:5" ht="10.5">
      <c r="A102" s="48"/>
      <c r="B102" s="48"/>
      <c r="C102" s="48"/>
      <c r="D102" s="48"/>
      <c r="E102" s="48"/>
    </row>
    <row r="103" spans="1:5" ht="10.5">
      <c r="A103" s="48"/>
      <c r="B103" s="48"/>
      <c r="C103" s="48"/>
      <c r="D103" s="48"/>
      <c r="E103" s="48"/>
    </row>
    <row r="104" spans="1:5" ht="10.5" customHeight="1">
      <c r="A104" s="48"/>
      <c r="B104" s="48"/>
      <c r="C104" s="48"/>
      <c r="D104" s="48"/>
      <c r="E104" s="48"/>
    </row>
    <row r="105" s="89" customFormat="1" ht="10.5"/>
    <row r="106" spans="1:5" ht="10.5">
      <c r="A106" s="48"/>
      <c r="B106" s="48"/>
      <c r="C106" s="48"/>
      <c r="D106" s="48"/>
      <c r="E106" s="48"/>
    </row>
    <row r="107" spans="1:5" ht="10.5">
      <c r="A107" s="48"/>
      <c r="B107" s="48"/>
      <c r="C107" s="48"/>
      <c r="D107" s="48"/>
      <c r="E107" s="48"/>
    </row>
    <row r="108" spans="1:5" ht="10.5">
      <c r="A108" s="48"/>
      <c r="B108" s="48"/>
      <c r="C108" s="48"/>
      <c r="D108" s="48"/>
      <c r="E108" s="48"/>
    </row>
    <row r="109" spans="1:5" ht="10.5">
      <c r="A109" s="48"/>
      <c r="B109" s="48"/>
      <c r="C109" s="48"/>
      <c r="D109" s="48"/>
      <c r="E109" s="48"/>
    </row>
    <row r="110" spans="1:5" ht="10.5">
      <c r="A110" s="48"/>
      <c r="B110" s="48"/>
      <c r="C110" s="48"/>
      <c r="D110" s="48"/>
      <c r="E110" s="48"/>
    </row>
    <row r="111" spans="1:5" ht="10.5">
      <c r="A111" s="48"/>
      <c r="B111" s="48"/>
      <c r="C111" s="48"/>
      <c r="D111" s="48"/>
      <c r="E111" s="48"/>
    </row>
    <row r="112" spans="1:5" ht="10.5">
      <c r="A112" s="48"/>
      <c r="B112" s="48"/>
      <c r="C112" s="48"/>
      <c r="D112" s="48"/>
      <c r="E112" s="48"/>
    </row>
    <row r="113" spans="1:5" ht="10.5">
      <c r="A113" s="48"/>
      <c r="B113" s="48"/>
      <c r="C113" s="48"/>
      <c r="D113" s="48"/>
      <c r="E113" s="48"/>
    </row>
    <row r="114" spans="1:5" ht="10.5">
      <c r="A114" s="48"/>
      <c r="B114" s="48"/>
      <c r="C114" s="48"/>
      <c r="D114" s="48"/>
      <c r="E114" s="48"/>
    </row>
    <row r="115" spans="1:5" ht="10.5">
      <c r="A115" s="48"/>
      <c r="B115" s="48"/>
      <c r="C115" s="48"/>
      <c r="D115" s="48"/>
      <c r="E115" s="48"/>
    </row>
    <row r="116" spans="1:5" ht="10.5">
      <c r="A116" s="48"/>
      <c r="B116" s="48"/>
      <c r="C116" s="48"/>
      <c r="D116" s="48"/>
      <c r="E116" s="48"/>
    </row>
    <row r="117" spans="1:5" ht="10.5">
      <c r="A117" s="48"/>
      <c r="B117" s="48"/>
      <c r="C117" s="48"/>
      <c r="D117" s="48"/>
      <c r="E117" s="48"/>
    </row>
    <row r="118" spans="1:5" ht="10.5">
      <c r="A118" s="48"/>
      <c r="B118" s="48"/>
      <c r="C118" s="48"/>
      <c r="D118" s="48"/>
      <c r="E118" s="48"/>
    </row>
    <row r="119" spans="1:5" ht="10.5">
      <c r="A119" s="48"/>
      <c r="B119" s="48"/>
      <c r="C119" s="48"/>
      <c r="D119" s="48"/>
      <c r="E119" s="48"/>
    </row>
    <row r="120" spans="1:5" ht="10.5">
      <c r="A120" s="48"/>
      <c r="B120" s="48"/>
      <c r="C120" s="48"/>
      <c r="D120" s="48"/>
      <c r="E120" s="48"/>
    </row>
  </sheetData>
  <sheetProtection/>
  <printOptions/>
  <pageMargins left="0.7" right="0.7" top="0.75" bottom="0.75" header="0.3" footer="0.3"/>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AP143"/>
  <sheetViews>
    <sheetView zoomScale="75" zoomScaleNormal="75" zoomScalePageLayoutView="0" workbookViewId="0" topLeftCell="A91">
      <pane xSplit="4" topLeftCell="W1" activePane="topRight" state="frozen"/>
      <selection pane="topLeft" activeCell="A1" sqref="A1"/>
      <selection pane="topRight" activeCell="AE5" sqref="AE4:AF5"/>
    </sheetView>
  </sheetViews>
  <sheetFormatPr defaultColWidth="8.16015625" defaultRowHeight="10.5"/>
  <cols>
    <col min="1" max="1" width="9.16015625" style="3" customWidth="1"/>
    <col min="2" max="2" width="43.16015625" style="3" customWidth="1"/>
    <col min="3" max="3" width="23.16015625" style="101" customWidth="1"/>
    <col min="4" max="4" width="12.16015625" style="24" customWidth="1"/>
    <col min="5" max="5" width="16.66015625" style="1" customWidth="1"/>
    <col min="6" max="13" width="17" style="1" bestFit="1" customWidth="1"/>
    <col min="14" max="14" width="18.66015625" style="1" bestFit="1" customWidth="1"/>
    <col min="15" max="25" width="17" style="1" bestFit="1" customWidth="1"/>
    <col min="26" max="26" width="20.33203125" style="1" bestFit="1" customWidth="1"/>
    <col min="27" max="27" width="17" style="1" bestFit="1" customWidth="1"/>
    <col min="28" max="28" width="20.33203125" style="1" bestFit="1" customWidth="1"/>
    <col min="29" max="29" width="2.33203125" style="3" customWidth="1"/>
    <col min="30" max="32" width="16.33203125" style="3" bestFit="1" customWidth="1"/>
    <col min="33" max="33" width="4" style="3" customWidth="1"/>
    <col min="34" max="34" width="17.16015625" style="3" customWidth="1"/>
    <col min="35" max="16384" width="8.16015625" style="3" customWidth="1"/>
  </cols>
  <sheetData>
    <row r="1" spans="1:29" s="28" customFormat="1" ht="12.75">
      <c r="A1" s="26" t="s">
        <v>9</v>
      </c>
      <c r="B1" s="27"/>
      <c r="C1" s="122"/>
      <c r="D1" s="27"/>
      <c r="E1" s="44"/>
      <c r="F1" s="44"/>
      <c r="G1" s="44"/>
      <c r="H1" s="44"/>
      <c r="I1" s="44"/>
      <c r="J1" s="44"/>
      <c r="K1" s="44"/>
      <c r="L1" s="44"/>
      <c r="M1" s="44"/>
      <c r="N1" s="44"/>
      <c r="O1" s="44"/>
      <c r="P1" s="44"/>
      <c r="Q1" s="44"/>
      <c r="R1" s="44"/>
      <c r="S1" s="44"/>
      <c r="T1" s="44"/>
      <c r="U1" s="44"/>
      <c r="V1" s="44"/>
      <c r="W1" s="44"/>
      <c r="X1" s="44"/>
      <c r="Y1" s="44"/>
      <c r="Z1" s="44"/>
      <c r="AA1" s="44"/>
      <c r="AB1" s="44"/>
      <c r="AC1" s="27"/>
    </row>
    <row r="2" spans="1:29" s="28" customFormat="1" ht="12.75">
      <c r="A2" s="26" t="s">
        <v>266</v>
      </c>
      <c r="B2" s="27"/>
      <c r="C2" s="122"/>
      <c r="D2" s="27"/>
      <c r="E2" s="436" t="s">
        <v>417</v>
      </c>
      <c r="F2" s="436"/>
      <c r="G2" s="436"/>
      <c r="H2" s="436"/>
      <c r="I2" s="436"/>
      <c r="J2" s="436"/>
      <c r="K2" s="436"/>
      <c r="L2" s="436"/>
      <c r="M2" s="436"/>
      <c r="N2" s="436"/>
      <c r="O2" s="436"/>
      <c r="P2" s="436"/>
      <c r="Q2" s="436" t="s">
        <v>418</v>
      </c>
      <c r="R2" s="436"/>
      <c r="S2" s="436"/>
      <c r="T2" s="436"/>
      <c r="U2" s="436"/>
      <c r="V2" s="436"/>
      <c r="W2" s="436"/>
      <c r="X2" s="436"/>
      <c r="Y2" s="436"/>
      <c r="Z2" s="436"/>
      <c r="AA2" s="436"/>
      <c r="AB2" s="436"/>
      <c r="AC2" s="27"/>
    </row>
    <row r="3" spans="1:32" s="28" customFormat="1" ht="12.75">
      <c r="A3" s="26" t="s">
        <v>161</v>
      </c>
      <c r="B3" s="27"/>
      <c r="C3" s="122"/>
      <c r="D3" s="27"/>
      <c r="E3" s="95">
        <v>1</v>
      </c>
      <c r="F3" s="95">
        <v>2</v>
      </c>
      <c r="G3" s="95">
        <v>3</v>
      </c>
      <c r="H3" s="95">
        <v>4</v>
      </c>
      <c r="I3" s="303">
        <v>5</v>
      </c>
      <c r="J3" s="303">
        <v>6</v>
      </c>
      <c r="K3" s="345">
        <v>7</v>
      </c>
      <c r="L3" s="356">
        <v>8</v>
      </c>
      <c r="M3" s="366">
        <v>9</v>
      </c>
      <c r="N3" s="375">
        <v>10</v>
      </c>
      <c r="O3" s="376">
        <v>11</v>
      </c>
      <c r="P3" s="377">
        <v>12</v>
      </c>
      <c r="Q3" s="378">
        <v>1</v>
      </c>
      <c r="R3" s="379">
        <v>2</v>
      </c>
      <c r="S3" s="380">
        <v>3</v>
      </c>
      <c r="T3" s="381">
        <v>4</v>
      </c>
      <c r="U3" s="382">
        <v>5</v>
      </c>
      <c r="V3" s="383">
        <v>6</v>
      </c>
      <c r="W3" s="384">
        <v>7</v>
      </c>
      <c r="X3" s="385">
        <v>8</v>
      </c>
      <c r="Y3" s="386">
        <v>9</v>
      </c>
      <c r="Z3" s="387">
        <v>10</v>
      </c>
      <c r="AA3" s="389">
        <v>11</v>
      </c>
      <c r="AB3" s="390">
        <v>12</v>
      </c>
      <c r="AC3" s="27"/>
      <c r="AD3" s="37" t="s">
        <v>3</v>
      </c>
      <c r="AE3" s="38" t="s">
        <v>1</v>
      </c>
      <c r="AF3" s="39" t="s">
        <v>2</v>
      </c>
    </row>
    <row r="4" spans="1:39" s="26" customFormat="1" ht="12.75">
      <c r="A4" s="28"/>
      <c r="B4" s="28"/>
      <c r="C4" s="123"/>
      <c r="E4" s="49" t="s">
        <v>1</v>
      </c>
      <c r="F4" s="143" t="s">
        <v>1</v>
      </c>
      <c r="G4" s="143" t="s">
        <v>1</v>
      </c>
      <c r="H4" s="143" t="s">
        <v>1</v>
      </c>
      <c r="I4" s="143" t="s">
        <v>1</v>
      </c>
      <c r="J4" s="143" t="s">
        <v>1</v>
      </c>
      <c r="K4" s="143" t="s">
        <v>1</v>
      </c>
      <c r="L4" s="143" t="s">
        <v>1</v>
      </c>
      <c r="M4" s="143" t="s">
        <v>1</v>
      </c>
      <c r="N4" s="143" t="s">
        <v>1</v>
      </c>
      <c r="O4" s="143" t="s">
        <v>1</v>
      </c>
      <c r="P4" s="143" t="s">
        <v>1</v>
      </c>
      <c r="Q4" s="143" t="s">
        <v>1</v>
      </c>
      <c r="R4" s="143" t="s">
        <v>1</v>
      </c>
      <c r="S4" s="143" t="s">
        <v>1</v>
      </c>
      <c r="T4" s="143" t="s">
        <v>1</v>
      </c>
      <c r="U4" s="143" t="s">
        <v>1</v>
      </c>
      <c r="V4" s="143" t="s">
        <v>1</v>
      </c>
      <c r="W4" s="143" t="s">
        <v>1</v>
      </c>
      <c r="X4" s="143" t="s">
        <v>1</v>
      </c>
      <c r="Y4" s="143" t="s">
        <v>1</v>
      </c>
      <c r="Z4" s="143" t="s">
        <v>1</v>
      </c>
      <c r="AA4" s="143" t="s">
        <v>1</v>
      </c>
      <c r="AB4" s="143" t="s">
        <v>1</v>
      </c>
      <c r="AC4" s="29"/>
      <c r="AD4" s="135" t="s">
        <v>267</v>
      </c>
      <c r="AE4" s="40" t="s">
        <v>268</v>
      </c>
      <c r="AF4" s="40" t="s">
        <v>485</v>
      </c>
      <c r="AG4" s="28"/>
      <c r="AH4" s="28"/>
      <c r="AI4" s="28"/>
      <c r="AJ4" s="28"/>
      <c r="AK4" s="28"/>
      <c r="AL4" s="28"/>
      <c r="AM4" s="28"/>
    </row>
    <row r="5" spans="1:39" s="26" customFormat="1" ht="12.75">
      <c r="A5" s="29"/>
      <c r="B5" s="29"/>
      <c r="C5" s="124"/>
      <c r="D5" s="30"/>
      <c r="E5" s="50">
        <v>42186</v>
      </c>
      <c r="F5" s="50">
        <v>42217</v>
      </c>
      <c r="G5" s="50">
        <v>42248</v>
      </c>
      <c r="H5" s="50">
        <v>42278</v>
      </c>
      <c r="I5" s="144">
        <v>42309</v>
      </c>
      <c r="J5" s="144">
        <v>42339</v>
      </c>
      <c r="K5" s="144">
        <v>42370</v>
      </c>
      <c r="L5" s="144">
        <v>42401</v>
      </c>
      <c r="M5" s="144">
        <v>42430</v>
      </c>
      <c r="N5" s="144">
        <v>42461</v>
      </c>
      <c r="O5" s="144">
        <v>42491</v>
      </c>
      <c r="P5" s="144">
        <v>42522</v>
      </c>
      <c r="Q5" s="144">
        <v>42552</v>
      </c>
      <c r="R5" s="144">
        <v>42583</v>
      </c>
      <c r="S5" s="144">
        <v>42614</v>
      </c>
      <c r="T5" s="144">
        <v>42644</v>
      </c>
      <c r="U5" s="144">
        <v>42675</v>
      </c>
      <c r="V5" s="144">
        <v>42705</v>
      </c>
      <c r="W5" s="144">
        <v>42736</v>
      </c>
      <c r="X5" s="144">
        <v>42767</v>
      </c>
      <c r="Y5" s="144">
        <v>42795</v>
      </c>
      <c r="Z5" s="144">
        <v>42826</v>
      </c>
      <c r="AA5" s="144">
        <v>42856</v>
      </c>
      <c r="AB5" s="144">
        <v>42887</v>
      </c>
      <c r="AC5" s="29"/>
      <c r="AD5" s="41" t="s">
        <v>0</v>
      </c>
      <c r="AE5" s="42" t="s">
        <v>269</v>
      </c>
      <c r="AF5" s="42" t="s">
        <v>269</v>
      </c>
      <c r="AG5" s="28"/>
      <c r="AH5" s="28"/>
      <c r="AI5" s="28"/>
      <c r="AJ5" s="28"/>
      <c r="AK5" s="28"/>
      <c r="AL5" s="28"/>
      <c r="AM5" s="28"/>
    </row>
    <row r="6" spans="1:32" ht="15.75">
      <c r="A6" s="33"/>
      <c r="B6" s="4" t="s">
        <v>161</v>
      </c>
      <c r="C6" s="102"/>
      <c r="D6" s="22"/>
      <c r="E6" s="51"/>
      <c r="F6" s="51"/>
      <c r="G6" s="51"/>
      <c r="H6" s="51"/>
      <c r="I6" s="145"/>
      <c r="J6" s="145"/>
      <c r="K6" s="145"/>
      <c r="L6" s="145"/>
      <c r="M6" s="145"/>
      <c r="N6" s="145"/>
      <c r="O6" s="145"/>
      <c r="P6" s="145"/>
      <c r="Q6" s="145"/>
      <c r="R6" s="145"/>
      <c r="S6" s="145"/>
      <c r="T6" s="145"/>
      <c r="U6" s="145"/>
      <c r="V6" s="145"/>
      <c r="W6" s="145"/>
      <c r="X6" s="145"/>
      <c r="Y6" s="145"/>
      <c r="Z6" s="145"/>
      <c r="AA6" s="145"/>
      <c r="AB6" s="145"/>
      <c r="AC6" s="5"/>
      <c r="AD6" s="6"/>
      <c r="AE6" s="6"/>
      <c r="AF6" s="6"/>
    </row>
    <row r="7" spans="1:32" ht="15">
      <c r="A7" s="33"/>
      <c r="B7" s="2"/>
      <c r="C7" s="100"/>
      <c r="D7" s="22"/>
      <c r="E7" s="87"/>
      <c r="F7" s="52"/>
      <c r="G7" s="52"/>
      <c r="H7" s="52"/>
      <c r="I7" s="146"/>
      <c r="J7" s="146"/>
      <c r="K7" s="146"/>
      <c r="L7" s="146"/>
      <c r="M7" s="146"/>
      <c r="N7" s="146"/>
      <c r="O7" s="146"/>
      <c r="P7" s="146"/>
      <c r="Q7" s="151"/>
      <c r="R7" s="146"/>
      <c r="S7" s="146"/>
      <c r="T7" s="146"/>
      <c r="U7" s="146"/>
      <c r="V7" s="146"/>
      <c r="W7" s="146"/>
      <c r="X7" s="146"/>
      <c r="Y7" s="146"/>
      <c r="Z7" s="146"/>
      <c r="AA7" s="146"/>
      <c r="AB7" s="146"/>
      <c r="AC7" s="7"/>
      <c r="AD7" s="6">
        <f>D20</f>
        <v>11819535.99</v>
      </c>
      <c r="AE7" s="6">
        <f>D20</f>
        <v>11819535.99</v>
      </c>
      <c r="AF7" s="6"/>
    </row>
    <row r="8" spans="1:39" s="8" customFormat="1" ht="15">
      <c r="A8" s="34" t="s">
        <v>162</v>
      </c>
      <c r="B8" s="8" t="s">
        <v>163</v>
      </c>
      <c r="C8" s="106"/>
      <c r="D8" s="23"/>
      <c r="E8" s="53">
        <v>1657964.47</v>
      </c>
      <c r="F8" s="53">
        <v>1722173.57</v>
      </c>
      <c r="G8" s="53">
        <v>1714825.99</v>
      </c>
      <c r="H8" s="53">
        <v>1690881.76</v>
      </c>
      <c r="I8" s="147">
        <v>1622915.74</v>
      </c>
      <c r="J8" s="147">
        <v>1617316.84</v>
      </c>
      <c r="K8" s="147">
        <v>1677629.73</v>
      </c>
      <c r="L8" s="147">
        <v>1689827.41</v>
      </c>
      <c r="M8" s="147">
        <v>1633942.18</v>
      </c>
      <c r="N8" s="147">
        <v>1604249.54</v>
      </c>
      <c r="O8" s="147">
        <v>1601727.63</v>
      </c>
      <c r="P8" s="147">
        <v>1612604.6</v>
      </c>
      <c r="Q8" s="147">
        <v>1665529.55</v>
      </c>
      <c r="R8" s="147">
        <v>1678202.49</v>
      </c>
      <c r="S8" s="147">
        <v>1691084.86</v>
      </c>
      <c r="T8" s="147">
        <v>1694556.23</v>
      </c>
      <c r="U8" s="147">
        <v>1636396.85</v>
      </c>
      <c r="V8" s="147">
        <v>1621844.33</v>
      </c>
      <c r="W8" s="147">
        <v>1670508.25</v>
      </c>
      <c r="X8" s="147">
        <v>1730711.48</v>
      </c>
      <c r="Y8" s="147">
        <v>1676728.25</v>
      </c>
      <c r="Z8" s="147">
        <v>1663214.58</v>
      </c>
      <c r="AA8" s="147">
        <v>1619693.02</v>
      </c>
      <c r="AB8" s="147">
        <v>1619986.51</v>
      </c>
      <c r="AC8" s="9"/>
      <c r="AD8" s="10">
        <f>SUM(E8:AB8)</f>
        <v>39814515.86</v>
      </c>
      <c r="AE8" s="10">
        <f>SUM(E8:AB8)</f>
        <v>39814515.86</v>
      </c>
      <c r="AF8" s="10">
        <f>AD8-AE8</f>
        <v>0</v>
      </c>
      <c r="AG8" s="9"/>
      <c r="AH8" s="3"/>
      <c r="AI8" s="11"/>
      <c r="AJ8" s="11"/>
      <c r="AK8" s="11"/>
      <c r="AL8" s="11"/>
      <c r="AM8" s="11"/>
    </row>
    <row r="9" spans="1:39" s="8" customFormat="1" ht="15">
      <c r="A9" s="34" t="s">
        <v>42</v>
      </c>
      <c r="B9" s="8" t="s">
        <v>43</v>
      </c>
      <c r="C9" s="106"/>
      <c r="D9" s="23"/>
      <c r="E9" s="53"/>
      <c r="F9" s="53"/>
      <c r="G9" s="53"/>
      <c r="H9" s="53"/>
      <c r="I9" s="147"/>
      <c r="J9" s="147">
        <v>0</v>
      </c>
      <c r="K9" s="147"/>
      <c r="L9" s="147"/>
      <c r="M9" s="147"/>
      <c r="N9" s="147"/>
      <c r="O9" s="147"/>
      <c r="P9" s="147"/>
      <c r="Q9" s="147"/>
      <c r="R9" s="147"/>
      <c r="S9" s="147"/>
      <c r="T9" s="147"/>
      <c r="U9" s="147"/>
      <c r="V9" s="147"/>
      <c r="W9" s="147"/>
      <c r="X9" s="147"/>
      <c r="Y9" s="147"/>
      <c r="Z9" s="147"/>
      <c r="AA9" s="147"/>
      <c r="AB9" s="147"/>
      <c r="AC9" s="9"/>
      <c r="AD9" s="10">
        <f>SUM(E9:AB9)</f>
        <v>0</v>
      </c>
      <c r="AE9" s="108">
        <f>SUM(E9:AB9)</f>
        <v>0</v>
      </c>
      <c r="AF9" s="10"/>
      <c r="AG9" s="9"/>
      <c r="AH9" s="3"/>
      <c r="AI9" s="11"/>
      <c r="AJ9" s="11"/>
      <c r="AK9" s="11"/>
      <c r="AL9" s="11"/>
      <c r="AM9" s="11"/>
    </row>
    <row r="10" spans="1:39" s="8" customFormat="1" ht="15">
      <c r="A10" s="35" t="s">
        <v>15</v>
      </c>
      <c r="B10" s="8" t="s">
        <v>16</v>
      </c>
      <c r="C10" s="106"/>
      <c r="D10" s="23"/>
      <c r="E10" s="53"/>
      <c r="F10" s="53"/>
      <c r="G10" s="53"/>
      <c r="H10" s="53">
        <v>0</v>
      </c>
      <c r="I10" s="147"/>
      <c r="J10" s="147"/>
      <c r="K10" s="147"/>
      <c r="L10" s="147"/>
      <c r="M10" s="147"/>
      <c r="N10" s="147"/>
      <c r="O10" s="147"/>
      <c r="P10" s="147"/>
      <c r="Q10" s="147"/>
      <c r="R10" s="147"/>
      <c r="S10" s="147"/>
      <c r="T10" s="147"/>
      <c r="U10" s="147"/>
      <c r="V10" s="147"/>
      <c r="W10" s="147"/>
      <c r="X10" s="147"/>
      <c r="Y10" s="147"/>
      <c r="Z10" s="147"/>
      <c r="AA10" s="147"/>
      <c r="AB10" s="147"/>
      <c r="AC10" s="12"/>
      <c r="AD10" s="10">
        <f>SUM(E10:AB10)</f>
        <v>0</v>
      </c>
      <c r="AE10" s="108">
        <f>SUM(E10:AB10)</f>
        <v>0</v>
      </c>
      <c r="AF10" s="10">
        <f>AD10-AE10</f>
        <v>0</v>
      </c>
      <c r="AG10" s="12"/>
      <c r="AH10" s="3"/>
      <c r="AI10" s="13"/>
      <c r="AJ10" s="13"/>
      <c r="AK10" s="13"/>
      <c r="AL10" s="13"/>
      <c r="AM10" s="13"/>
    </row>
    <row r="11" spans="1:39" s="8" customFormat="1" ht="15">
      <c r="A11" s="35" t="s">
        <v>17</v>
      </c>
      <c r="B11" s="8" t="s">
        <v>18</v>
      </c>
      <c r="C11" s="106"/>
      <c r="D11" s="23"/>
      <c r="E11" s="54">
        <v>5448.99</v>
      </c>
      <c r="F11" s="54">
        <v>5796.3</v>
      </c>
      <c r="G11" s="54">
        <v>5783.81</v>
      </c>
      <c r="H11" s="54">
        <v>6169.69</v>
      </c>
      <c r="I11" s="148">
        <v>5610.47</v>
      </c>
      <c r="J11" s="148">
        <v>6178.11</v>
      </c>
      <c r="K11" s="148">
        <v>6835.51</v>
      </c>
      <c r="L11" s="148">
        <v>6650.61</v>
      </c>
      <c r="M11" s="148">
        <v>7639.51</v>
      </c>
      <c r="N11" s="148">
        <v>7031.33</v>
      </c>
      <c r="O11" s="148">
        <v>7132.78</v>
      </c>
      <c r="P11" s="148">
        <v>7652.67</v>
      </c>
      <c r="Q11" s="148">
        <v>8061.86</v>
      </c>
      <c r="R11" s="148">
        <v>8841.05</v>
      </c>
      <c r="S11" s="148">
        <v>8749.56</v>
      </c>
      <c r="T11" s="148">
        <v>10562.91</v>
      </c>
      <c r="U11" s="148">
        <v>9537.7</v>
      </c>
      <c r="V11" s="148">
        <v>9851.64</v>
      </c>
      <c r="W11" s="148">
        <v>10876.71</v>
      </c>
      <c r="X11" s="148">
        <v>9085.5</v>
      </c>
      <c r="Y11" s="148">
        <v>9709.34</v>
      </c>
      <c r="Z11" s="148">
        <v>9055.14</v>
      </c>
      <c r="AA11" s="148">
        <v>8198.32</v>
      </c>
      <c r="AB11" s="148">
        <v>7076.08</v>
      </c>
      <c r="AC11" s="12"/>
      <c r="AD11" s="10">
        <f>SUM(E11:AB11)</f>
        <v>187535.59</v>
      </c>
      <c r="AE11" s="108">
        <f>SUM(E11:AB11)</f>
        <v>187535.59</v>
      </c>
      <c r="AF11" s="14">
        <f>AD11-AE11</f>
        <v>0</v>
      </c>
      <c r="AG11" s="12"/>
      <c r="AH11" s="3"/>
      <c r="AI11" s="13"/>
      <c r="AJ11" s="13"/>
      <c r="AK11" s="13"/>
      <c r="AL11" s="13"/>
      <c r="AM11" s="13"/>
    </row>
    <row r="12" spans="1:39" s="8" customFormat="1" ht="15.75">
      <c r="A12" s="36" t="s">
        <v>5</v>
      </c>
      <c r="C12" s="106"/>
      <c r="D12" s="23"/>
      <c r="E12" s="53">
        <f aca="true" t="shared" si="0" ref="E12:AB12">SUM(E8:E11)</f>
        <v>1663413.46</v>
      </c>
      <c r="F12" s="53">
        <f t="shared" si="0"/>
        <v>1727969.87</v>
      </c>
      <c r="G12" s="53">
        <f t="shared" si="0"/>
        <v>1720609.8</v>
      </c>
      <c r="H12" s="53">
        <f t="shared" si="0"/>
        <v>1697051.45</v>
      </c>
      <c r="I12" s="147">
        <f t="shared" si="0"/>
        <v>1628526.21</v>
      </c>
      <c r="J12" s="147">
        <f t="shared" si="0"/>
        <v>1623494.9500000002</v>
      </c>
      <c r="K12" s="147">
        <f t="shared" si="0"/>
        <v>1684465.24</v>
      </c>
      <c r="L12" s="147">
        <f t="shared" si="0"/>
        <v>1696478.02</v>
      </c>
      <c r="M12" s="147">
        <f t="shared" si="0"/>
        <v>1641581.69</v>
      </c>
      <c r="N12" s="147">
        <f t="shared" si="0"/>
        <v>1611280.87</v>
      </c>
      <c r="O12" s="147">
        <f t="shared" si="0"/>
        <v>1608860.41</v>
      </c>
      <c r="P12" s="147">
        <f t="shared" si="0"/>
        <v>1620257.27</v>
      </c>
      <c r="Q12" s="147">
        <f>SUM(Q8:Q11)</f>
        <v>1673591.4100000001</v>
      </c>
      <c r="R12" s="147">
        <f t="shared" si="0"/>
        <v>1687043.54</v>
      </c>
      <c r="S12" s="147">
        <f t="shared" si="0"/>
        <v>1699834.4200000002</v>
      </c>
      <c r="T12" s="147">
        <f t="shared" si="0"/>
        <v>1705119.14</v>
      </c>
      <c r="U12" s="147">
        <f t="shared" si="0"/>
        <v>1645934.55</v>
      </c>
      <c r="V12" s="147">
        <f t="shared" si="0"/>
        <v>1631695.97</v>
      </c>
      <c r="W12" s="147">
        <f t="shared" si="0"/>
        <v>1681384.96</v>
      </c>
      <c r="X12" s="147">
        <f t="shared" si="0"/>
        <v>1739796.98</v>
      </c>
      <c r="Y12" s="147">
        <f t="shared" si="0"/>
        <v>1686437.59</v>
      </c>
      <c r="Z12" s="147">
        <f t="shared" si="0"/>
        <v>1672269.72</v>
      </c>
      <c r="AA12" s="147">
        <f t="shared" si="0"/>
        <v>1627891.34</v>
      </c>
      <c r="AB12" s="147">
        <f t="shared" si="0"/>
        <v>1627062.59</v>
      </c>
      <c r="AC12" s="12"/>
      <c r="AD12" s="16">
        <f>SUM(AD7:AD11)</f>
        <v>51821587.440000005</v>
      </c>
      <c r="AE12" s="16">
        <f>SUM(AE7:AE11)</f>
        <v>51821587.440000005</v>
      </c>
      <c r="AF12" s="16">
        <f>SUM(AF8:AF11)</f>
        <v>0</v>
      </c>
      <c r="AG12" s="12"/>
      <c r="AH12" s="3"/>
      <c r="AI12" s="13"/>
      <c r="AJ12" s="13"/>
      <c r="AK12" s="13"/>
      <c r="AL12" s="13"/>
      <c r="AM12" s="13"/>
    </row>
    <row r="13" spans="1:39" s="8" customFormat="1" ht="15">
      <c r="A13" s="34"/>
      <c r="C13" s="106"/>
      <c r="D13" s="23"/>
      <c r="E13" s="55"/>
      <c r="F13" s="55"/>
      <c r="G13" s="55"/>
      <c r="H13" s="55"/>
      <c r="I13" s="149"/>
      <c r="J13" s="149"/>
      <c r="K13" s="149"/>
      <c r="L13" s="149"/>
      <c r="M13" s="149" t="s">
        <v>52</v>
      </c>
      <c r="N13" s="149"/>
      <c r="O13" s="149"/>
      <c r="P13" s="149"/>
      <c r="Q13" s="149"/>
      <c r="R13" s="149"/>
      <c r="S13" s="149"/>
      <c r="T13" s="149"/>
      <c r="U13" s="149"/>
      <c r="V13" s="149"/>
      <c r="W13" s="149"/>
      <c r="X13" s="149"/>
      <c r="Y13" s="149"/>
      <c r="Z13" s="149"/>
      <c r="AA13" s="149"/>
      <c r="AB13" s="149"/>
      <c r="AC13" s="12"/>
      <c r="AD13" s="17"/>
      <c r="AE13" s="17"/>
      <c r="AF13" s="17"/>
      <c r="AG13" s="12"/>
      <c r="AH13" s="3"/>
      <c r="AI13" s="13"/>
      <c r="AJ13" s="13"/>
      <c r="AK13" s="13"/>
      <c r="AL13" s="13"/>
      <c r="AM13" s="13"/>
    </row>
    <row r="14" spans="1:39" s="8" customFormat="1" ht="15">
      <c r="A14" s="34" t="s">
        <v>19</v>
      </c>
      <c r="B14" s="8" t="s">
        <v>20</v>
      </c>
      <c r="C14" s="106"/>
      <c r="D14" s="23"/>
      <c r="E14" s="55">
        <v>0</v>
      </c>
      <c r="F14" s="55">
        <v>0</v>
      </c>
      <c r="G14" s="55">
        <v>20590.94</v>
      </c>
      <c r="H14" s="55">
        <v>1021.09</v>
      </c>
      <c r="I14" s="149">
        <v>491.69</v>
      </c>
      <c r="J14" s="149">
        <v>-3477.55</v>
      </c>
      <c r="K14" s="149">
        <v>5457.24</v>
      </c>
      <c r="L14" s="149">
        <v>-4191.04</v>
      </c>
      <c r="M14" s="149">
        <v>3550.22</v>
      </c>
      <c r="N14" s="149">
        <v>4341.89</v>
      </c>
      <c r="O14" s="149">
        <v>-7934.95</v>
      </c>
      <c r="P14" s="149">
        <v>4130.59</v>
      </c>
      <c r="Q14" s="149">
        <v>-995.68</v>
      </c>
      <c r="R14" s="149">
        <v>-2656.32</v>
      </c>
      <c r="S14" s="149">
        <v>2466.4</v>
      </c>
      <c r="T14" s="149">
        <v>-990.99</v>
      </c>
      <c r="U14" s="149">
        <v>-769.45</v>
      </c>
      <c r="V14" s="149">
        <v>1513.3</v>
      </c>
      <c r="W14" s="149">
        <v>-334.14</v>
      </c>
      <c r="X14" s="149">
        <v>-448.07</v>
      </c>
      <c r="Y14" s="149">
        <v>6080.77</v>
      </c>
      <c r="Z14" s="149">
        <v>125.93</v>
      </c>
      <c r="AA14" s="149">
        <v>3403.27</v>
      </c>
      <c r="AB14" s="149">
        <v>-10117.89</v>
      </c>
      <c r="AC14" s="12"/>
      <c r="AD14" s="10">
        <f>SUM(E14:AC14)</f>
        <v>21257.249999999996</v>
      </c>
      <c r="AE14" s="108">
        <f>SUM(E14:AB14)</f>
        <v>21257.249999999996</v>
      </c>
      <c r="AF14" s="10">
        <f>AD14-AE14</f>
        <v>0</v>
      </c>
      <c r="AG14" s="12"/>
      <c r="AH14" s="3"/>
      <c r="AI14" s="13"/>
      <c r="AJ14" s="13"/>
      <c r="AK14" s="13"/>
      <c r="AL14" s="13"/>
      <c r="AM14" s="13"/>
    </row>
    <row r="15" spans="1:39" s="8" customFormat="1" ht="15">
      <c r="A15" s="34" t="s">
        <v>40</v>
      </c>
      <c r="B15" s="8" t="s">
        <v>21</v>
      </c>
      <c r="C15" s="106"/>
      <c r="D15" s="23"/>
      <c r="E15" s="55">
        <v>24666.02</v>
      </c>
      <c r="F15" s="55">
        <v>21853.6</v>
      </c>
      <c r="G15" s="55">
        <v>0</v>
      </c>
      <c r="H15" s="55">
        <v>21239.51</v>
      </c>
      <c r="I15" s="149">
        <v>22325.62</v>
      </c>
      <c r="J15" s="149">
        <v>22251.43</v>
      </c>
      <c r="K15" s="149">
        <v>18877</v>
      </c>
      <c r="L15" s="149">
        <v>24190.54</v>
      </c>
      <c r="M15" s="149">
        <v>20531.92</v>
      </c>
      <c r="N15" s="149">
        <v>24847.23</v>
      </c>
      <c r="O15" s="149">
        <v>5461.55</v>
      </c>
      <c r="P15" s="149">
        <v>10373.78</v>
      </c>
      <c r="Q15" s="149">
        <v>23980.12</v>
      </c>
      <c r="R15" s="149">
        <v>23691.46</v>
      </c>
      <c r="S15" s="149">
        <v>20325.3</v>
      </c>
      <c r="T15" s="149">
        <v>22821.88</v>
      </c>
      <c r="U15" s="149">
        <v>21803.53</v>
      </c>
      <c r="V15" s="149">
        <v>21033.82</v>
      </c>
      <c r="W15" s="149">
        <v>22631.55</v>
      </c>
      <c r="X15" s="149">
        <v>22306.99</v>
      </c>
      <c r="Y15" s="149">
        <v>21885.59</v>
      </c>
      <c r="Z15" s="149">
        <v>27988.01</v>
      </c>
      <c r="AA15" s="149">
        <v>19853.06</v>
      </c>
      <c r="AB15" s="149">
        <v>31515.63</v>
      </c>
      <c r="AC15" s="12"/>
      <c r="AD15" s="10">
        <f>SUM(E15:AC15)</f>
        <v>496455.14</v>
      </c>
      <c r="AE15" s="108">
        <f>SUM(E15:AB15)</f>
        <v>496455.14</v>
      </c>
      <c r="AF15" s="10">
        <f>AD15-AE15</f>
        <v>0</v>
      </c>
      <c r="AG15" s="12"/>
      <c r="AH15" s="3"/>
      <c r="AI15" s="13"/>
      <c r="AJ15" s="13"/>
      <c r="AK15" s="13"/>
      <c r="AL15" s="13"/>
      <c r="AM15" s="13"/>
    </row>
    <row r="16" spans="1:39" s="8" customFormat="1" ht="15">
      <c r="A16" s="34" t="s">
        <v>39</v>
      </c>
      <c r="B16" s="8" t="s">
        <v>22</v>
      </c>
      <c r="C16" s="106"/>
      <c r="D16" s="23" t="s">
        <v>52</v>
      </c>
      <c r="E16" s="55">
        <f>4668.02+344.55</f>
        <v>5012.570000000001</v>
      </c>
      <c r="F16" s="55">
        <f>3120.4+1.89</f>
        <v>3122.29</v>
      </c>
      <c r="G16" s="55">
        <f>16285.19+1270.21+0.38</f>
        <v>17555.780000000002</v>
      </c>
      <c r="H16" s="55">
        <v>4004.83</v>
      </c>
      <c r="I16" s="149">
        <v>2711.15</v>
      </c>
      <c r="J16" s="149">
        <v>6747.17</v>
      </c>
      <c r="K16" s="149">
        <v>1747.45</v>
      </c>
      <c r="L16" s="149">
        <v>3297.2</v>
      </c>
      <c r="M16" s="149">
        <v>2846.86</v>
      </c>
      <c r="N16" s="149">
        <v>5613.76</v>
      </c>
      <c r="O16" s="149">
        <v>-674.25</v>
      </c>
      <c r="P16" s="149">
        <v>2753.24</v>
      </c>
      <c r="Q16" s="149">
        <f>4682.31+42.76</f>
        <v>4725.070000000001</v>
      </c>
      <c r="R16" s="149">
        <v>4411.75</v>
      </c>
      <c r="S16" s="149">
        <v>12490.21</v>
      </c>
      <c r="T16" s="149">
        <v>4609.94</v>
      </c>
      <c r="U16" s="149">
        <v>3052.82</v>
      </c>
      <c r="V16" s="149">
        <v>1798.33</v>
      </c>
      <c r="W16" s="149">
        <v>4554.61</v>
      </c>
      <c r="X16" s="149">
        <v>3018.24</v>
      </c>
      <c r="Y16" s="149">
        <v>2394.66</v>
      </c>
      <c r="Z16" s="149">
        <v>3019.83</v>
      </c>
      <c r="AA16" s="149">
        <v>3254.3</v>
      </c>
      <c r="AB16" s="149">
        <v>3508.29</v>
      </c>
      <c r="AC16" s="12"/>
      <c r="AD16" s="10">
        <f>SUM(E16:AC16)</f>
        <v>105576.1</v>
      </c>
      <c r="AE16" s="108">
        <f>SUM(E16:AB16)</f>
        <v>105576.1</v>
      </c>
      <c r="AF16" s="10">
        <f>AD16-AE16</f>
        <v>0</v>
      </c>
      <c r="AG16" s="12"/>
      <c r="AH16" s="3"/>
      <c r="AI16" s="13"/>
      <c r="AJ16" s="13"/>
      <c r="AK16" s="13"/>
      <c r="AL16" s="13"/>
      <c r="AM16" s="13"/>
    </row>
    <row r="17" spans="1:39" s="8" customFormat="1" ht="15">
      <c r="A17" s="34" t="s">
        <v>38</v>
      </c>
      <c r="B17" s="8" t="s">
        <v>41</v>
      </c>
      <c r="C17" s="106"/>
      <c r="D17" s="23"/>
      <c r="E17" s="55">
        <v>1047926.22</v>
      </c>
      <c r="F17" s="55">
        <f>1407746.94</f>
        <v>1407746.94</v>
      </c>
      <c r="G17" s="55">
        <v>789739.29</v>
      </c>
      <c r="H17" s="55">
        <v>2463755.78</v>
      </c>
      <c r="I17" s="149">
        <v>2156645.23</v>
      </c>
      <c r="J17" s="149">
        <v>1279404.91</v>
      </c>
      <c r="K17" s="149">
        <f>89147.34+164633.66+1235616.07</f>
        <v>1489397.07</v>
      </c>
      <c r="L17" s="149">
        <v>1944609.32</v>
      </c>
      <c r="M17" s="149">
        <v>2684960.52</v>
      </c>
      <c r="N17" s="149">
        <v>2366194.89</v>
      </c>
      <c r="O17" s="149">
        <v>1178535.77</v>
      </c>
      <c r="P17" s="149">
        <v>2134453.25</v>
      </c>
      <c r="Q17" s="149">
        <v>1011437.35</v>
      </c>
      <c r="R17" s="149">
        <v>1691815.55</v>
      </c>
      <c r="S17" s="149">
        <v>1064308.76</v>
      </c>
      <c r="T17" s="149">
        <v>905393.27</v>
      </c>
      <c r="U17" s="149">
        <v>2512702.69</v>
      </c>
      <c r="V17" s="149">
        <v>1939431.86</v>
      </c>
      <c r="W17" s="149">
        <v>1723712.87</v>
      </c>
      <c r="X17" s="149">
        <v>2326501.47</v>
      </c>
      <c r="Y17" s="149">
        <v>3303880.67</v>
      </c>
      <c r="Z17" s="149">
        <v>2916777.12</v>
      </c>
      <c r="AA17" s="149">
        <v>1817453.77</v>
      </c>
      <c r="AB17" s="149">
        <v>2839943.37</v>
      </c>
      <c r="AC17" s="12"/>
      <c r="AD17" s="10">
        <f>SUM(E17:AC17)</f>
        <v>44996727.940000005</v>
      </c>
      <c r="AE17" s="108">
        <f>SUM(E17:AB17)</f>
        <v>44996727.940000005</v>
      </c>
      <c r="AF17" s="10">
        <f>AD17-AE17</f>
        <v>0</v>
      </c>
      <c r="AG17" s="12"/>
      <c r="AH17" s="3"/>
      <c r="AI17" s="13"/>
      <c r="AJ17" s="13"/>
      <c r="AK17" s="13"/>
      <c r="AL17" s="13"/>
      <c r="AM17" s="13"/>
    </row>
    <row r="18" spans="1:39" s="8" customFormat="1" ht="15.75">
      <c r="A18" s="15" t="s">
        <v>6</v>
      </c>
      <c r="C18" s="106"/>
      <c r="D18" s="23"/>
      <c r="E18" s="91">
        <f aca="true" t="shared" si="1" ref="E18:AB18">SUM(E14:E17)</f>
        <v>1077604.81</v>
      </c>
      <c r="F18" s="91">
        <f t="shared" si="1"/>
        <v>1432722.8299999998</v>
      </c>
      <c r="G18" s="91">
        <f t="shared" si="1"/>
        <v>827886.01</v>
      </c>
      <c r="H18" s="91">
        <f t="shared" si="1"/>
        <v>2490021.21</v>
      </c>
      <c r="I18" s="152">
        <f t="shared" si="1"/>
        <v>2182173.69</v>
      </c>
      <c r="J18" s="152">
        <f t="shared" si="1"/>
        <v>1304925.96</v>
      </c>
      <c r="K18" s="152">
        <f t="shared" si="1"/>
        <v>1515478.76</v>
      </c>
      <c r="L18" s="152">
        <f t="shared" si="1"/>
        <v>1967906.02</v>
      </c>
      <c r="M18" s="152">
        <f t="shared" si="1"/>
        <v>2711889.52</v>
      </c>
      <c r="N18" s="152">
        <f t="shared" si="1"/>
        <v>2400997.77</v>
      </c>
      <c r="O18" s="152">
        <f t="shared" si="1"/>
        <v>1175388.12</v>
      </c>
      <c r="P18" s="152">
        <f t="shared" si="1"/>
        <v>2151710.86</v>
      </c>
      <c r="Q18" s="152">
        <f t="shared" si="1"/>
        <v>1039146.86</v>
      </c>
      <c r="R18" s="152">
        <f t="shared" si="1"/>
        <v>1717262.44</v>
      </c>
      <c r="S18" s="152">
        <f t="shared" si="1"/>
        <v>1099590.67</v>
      </c>
      <c r="T18" s="152">
        <f t="shared" si="1"/>
        <v>931834.1</v>
      </c>
      <c r="U18" s="152">
        <f t="shared" si="1"/>
        <v>2536789.59</v>
      </c>
      <c r="V18" s="152">
        <f t="shared" si="1"/>
        <v>1963777.31</v>
      </c>
      <c r="W18" s="152">
        <f t="shared" si="1"/>
        <v>1750564.8900000001</v>
      </c>
      <c r="X18" s="152">
        <f t="shared" si="1"/>
        <v>2351378.6300000004</v>
      </c>
      <c r="Y18" s="152">
        <f t="shared" si="1"/>
        <v>3334241.69</v>
      </c>
      <c r="Z18" s="152">
        <f t="shared" si="1"/>
        <v>2947910.89</v>
      </c>
      <c r="AA18" s="152">
        <f t="shared" si="1"/>
        <v>1843964.4</v>
      </c>
      <c r="AB18" s="152">
        <f t="shared" si="1"/>
        <v>2864849.4</v>
      </c>
      <c r="AC18" s="12"/>
      <c r="AD18" s="16">
        <f>SUM(AD14:AD17)</f>
        <v>45620016.43000001</v>
      </c>
      <c r="AE18" s="16">
        <f>SUM(AE14:AE17)</f>
        <v>45620016.43000001</v>
      </c>
      <c r="AF18" s="16">
        <f>SUM(AF14:AF17)</f>
        <v>0</v>
      </c>
      <c r="AG18" s="12"/>
      <c r="AH18" s="3"/>
      <c r="AI18" s="13"/>
      <c r="AJ18" s="13"/>
      <c r="AK18" s="13"/>
      <c r="AL18" s="13"/>
      <c r="AM18" s="13"/>
    </row>
    <row r="19" spans="3:39" s="8" customFormat="1" ht="15">
      <c r="C19" s="106"/>
      <c r="D19" s="23"/>
      <c r="E19" s="53"/>
      <c r="F19" s="53"/>
      <c r="G19" s="53"/>
      <c r="H19" s="53"/>
      <c r="I19" s="147"/>
      <c r="J19" s="147"/>
      <c r="K19" s="147"/>
      <c r="L19" s="147"/>
      <c r="M19" s="147"/>
      <c r="N19" s="147"/>
      <c r="O19" s="147"/>
      <c r="P19" s="147"/>
      <c r="Q19" s="147"/>
      <c r="R19" s="147"/>
      <c r="S19" s="147"/>
      <c r="T19" s="147"/>
      <c r="U19" s="147"/>
      <c r="V19" s="147"/>
      <c r="W19" s="147"/>
      <c r="X19" s="147"/>
      <c r="Y19" s="147"/>
      <c r="Z19" s="147"/>
      <c r="AA19" s="147"/>
      <c r="AB19" s="147"/>
      <c r="AC19" s="12"/>
      <c r="AD19" s="17"/>
      <c r="AE19" s="17"/>
      <c r="AF19" s="17"/>
      <c r="AG19" s="12"/>
      <c r="AH19" s="3"/>
      <c r="AI19" s="13"/>
      <c r="AJ19" s="13"/>
      <c r="AK19" s="13"/>
      <c r="AL19" s="13"/>
      <c r="AM19" s="13"/>
    </row>
    <row r="20" spans="1:39" s="8" customFormat="1" ht="15.75">
      <c r="A20" s="15" t="s">
        <v>7</v>
      </c>
      <c r="C20" s="106"/>
      <c r="D20" s="31">
        <f>4962.83+11814573.16</f>
        <v>11819535.99</v>
      </c>
      <c r="E20" s="56">
        <f aca="true" t="shared" si="2" ref="E20:AB20">D20+E12-E18</f>
        <v>12405344.639999999</v>
      </c>
      <c r="F20" s="56">
        <f t="shared" si="2"/>
        <v>12700591.679999998</v>
      </c>
      <c r="G20" s="56">
        <f t="shared" si="2"/>
        <v>13593315.469999999</v>
      </c>
      <c r="H20" s="56">
        <f t="shared" si="2"/>
        <v>12800345.709999997</v>
      </c>
      <c r="I20" s="150">
        <f t="shared" si="2"/>
        <v>12246698.229999999</v>
      </c>
      <c r="J20" s="150">
        <f t="shared" si="2"/>
        <v>12565267.219999999</v>
      </c>
      <c r="K20" s="150">
        <f t="shared" si="2"/>
        <v>12734253.7</v>
      </c>
      <c r="L20" s="150">
        <f t="shared" si="2"/>
        <v>12462825.7</v>
      </c>
      <c r="M20" s="150">
        <f t="shared" si="2"/>
        <v>11392517.87</v>
      </c>
      <c r="N20" s="150">
        <f t="shared" si="2"/>
        <v>10602800.969999999</v>
      </c>
      <c r="O20" s="150">
        <f t="shared" si="2"/>
        <v>11036273.259999998</v>
      </c>
      <c r="P20" s="150">
        <f t="shared" si="2"/>
        <v>10504819.669999998</v>
      </c>
      <c r="Q20" s="150">
        <f t="shared" si="2"/>
        <v>11139264.219999999</v>
      </c>
      <c r="R20" s="150">
        <f t="shared" si="2"/>
        <v>11109045.319999998</v>
      </c>
      <c r="S20" s="150">
        <f t="shared" si="2"/>
        <v>11709289.069999998</v>
      </c>
      <c r="T20" s="150">
        <f t="shared" si="2"/>
        <v>12482574.11</v>
      </c>
      <c r="U20" s="150">
        <f t="shared" si="2"/>
        <v>11591719.07</v>
      </c>
      <c r="V20" s="150">
        <f t="shared" si="2"/>
        <v>11259637.73</v>
      </c>
      <c r="W20" s="150">
        <f t="shared" si="2"/>
        <v>11190457.8</v>
      </c>
      <c r="X20" s="150">
        <f t="shared" si="2"/>
        <v>10578876.15</v>
      </c>
      <c r="Y20" s="150">
        <f t="shared" si="2"/>
        <v>8931072.05</v>
      </c>
      <c r="Z20" s="388">
        <f t="shared" si="2"/>
        <v>7655430.880000001</v>
      </c>
      <c r="AA20" s="150">
        <f t="shared" si="2"/>
        <v>7439357.82</v>
      </c>
      <c r="AB20" s="388">
        <f t="shared" si="2"/>
        <v>6201571.01</v>
      </c>
      <c r="AC20" s="12"/>
      <c r="AD20" s="17">
        <f>AD12-AD18</f>
        <v>6201571.009999998</v>
      </c>
      <c r="AE20" s="17">
        <f>AE12-AE18</f>
        <v>6201571.009999998</v>
      </c>
      <c r="AF20" s="17">
        <f>AF12-AF18</f>
        <v>0</v>
      </c>
      <c r="AG20" s="12"/>
      <c r="AH20" s="3"/>
      <c r="AI20" s="13"/>
      <c r="AJ20" s="13"/>
      <c r="AK20" s="13"/>
      <c r="AL20" s="13"/>
      <c r="AM20" s="13"/>
    </row>
    <row r="21" spans="3:39" s="8" customFormat="1" ht="15">
      <c r="C21" s="106"/>
      <c r="D21" s="32"/>
      <c r="E21" s="45"/>
      <c r="F21" s="45"/>
      <c r="G21" s="45"/>
      <c r="H21" s="45"/>
      <c r="I21" s="45"/>
      <c r="J21" s="45"/>
      <c r="K21" s="45"/>
      <c r="L21" s="45"/>
      <c r="M21" s="45"/>
      <c r="N21" s="45"/>
      <c r="O21" s="45"/>
      <c r="P21" s="45"/>
      <c r="Q21" s="45"/>
      <c r="R21" s="45"/>
      <c r="S21" s="45"/>
      <c r="T21" s="45"/>
      <c r="U21" s="45"/>
      <c r="V21" s="45"/>
      <c r="W21" s="45"/>
      <c r="X21" s="45"/>
      <c r="Y21" s="45"/>
      <c r="Z21" s="45"/>
      <c r="AA21" s="45"/>
      <c r="AB21" s="45"/>
      <c r="AC21" s="12"/>
      <c r="AD21" s="17"/>
      <c r="AE21" s="17"/>
      <c r="AF21" s="17"/>
      <c r="AG21" s="12"/>
      <c r="AH21" s="3"/>
      <c r="AI21" s="13"/>
      <c r="AJ21" s="13"/>
      <c r="AK21" s="13"/>
      <c r="AL21" s="13"/>
      <c r="AM21" s="13"/>
    </row>
    <row r="22" spans="5:33" ht="15">
      <c r="E22" s="19"/>
      <c r="F22" s="19"/>
      <c r="G22" s="19"/>
      <c r="H22" s="19"/>
      <c r="I22" s="19"/>
      <c r="J22" s="19"/>
      <c r="K22" s="19"/>
      <c r="L22" s="19"/>
      <c r="M22" s="19"/>
      <c r="N22" s="19"/>
      <c r="O22" s="19"/>
      <c r="P22" s="19"/>
      <c r="Q22" s="19"/>
      <c r="R22" s="19"/>
      <c r="S22" s="19"/>
      <c r="T22" s="19"/>
      <c r="U22" s="19"/>
      <c r="V22" s="19"/>
      <c r="W22" s="19"/>
      <c r="X22" s="19"/>
      <c r="Y22" s="19"/>
      <c r="Z22" s="19"/>
      <c r="AA22" s="19"/>
      <c r="AB22" s="19"/>
      <c r="AC22" s="18"/>
      <c r="AD22" s="19"/>
      <c r="AE22" s="18"/>
      <c r="AF22" s="18"/>
      <c r="AG22" s="18"/>
    </row>
    <row r="23" spans="1:28" ht="15">
      <c r="A23" s="8"/>
      <c r="E23" s="21"/>
      <c r="F23" s="21"/>
      <c r="G23" s="21"/>
      <c r="H23" s="21"/>
      <c r="I23" s="21"/>
      <c r="J23" s="21"/>
      <c r="K23" s="21"/>
      <c r="L23" s="21"/>
      <c r="M23" s="21"/>
      <c r="N23" s="21"/>
      <c r="O23" s="21"/>
      <c r="P23" s="21"/>
      <c r="Q23" s="21"/>
      <c r="R23" s="21"/>
      <c r="S23" s="21"/>
      <c r="T23" s="21"/>
      <c r="U23" s="21"/>
      <c r="V23" s="21"/>
      <c r="W23" s="21"/>
      <c r="X23" s="21"/>
      <c r="Y23" s="21"/>
      <c r="Z23" s="21"/>
      <c r="AA23" s="21"/>
      <c r="AB23" s="21"/>
    </row>
    <row r="24" spans="1:33" ht="15">
      <c r="A24" s="8"/>
      <c r="E24" s="19"/>
      <c r="F24" s="19"/>
      <c r="G24" s="19"/>
      <c r="H24" s="19"/>
      <c r="I24" s="19"/>
      <c r="J24" s="19"/>
      <c r="K24" s="19"/>
      <c r="L24" s="19"/>
      <c r="M24" s="19"/>
      <c r="N24" s="19"/>
      <c r="O24" s="19"/>
      <c r="P24" s="19"/>
      <c r="Q24" s="19"/>
      <c r="R24" s="19"/>
      <c r="S24" s="19"/>
      <c r="T24" s="19"/>
      <c r="U24" s="19"/>
      <c r="V24" s="19"/>
      <c r="W24" s="19"/>
      <c r="X24" s="19"/>
      <c r="Y24" s="19"/>
      <c r="Z24" s="19"/>
      <c r="AA24" s="19"/>
      <c r="AB24" s="19"/>
      <c r="AC24" s="18"/>
      <c r="AD24" s="18"/>
      <c r="AE24" s="18"/>
      <c r="AF24" s="18"/>
      <c r="AG24" s="18"/>
    </row>
    <row r="25" spans="1:33" ht="15.75">
      <c r="A25" s="8"/>
      <c r="B25" s="112" t="s">
        <v>161</v>
      </c>
      <c r="D25" s="25"/>
      <c r="E25" s="46"/>
      <c r="F25" s="46"/>
      <c r="G25" s="46"/>
      <c r="H25" s="46"/>
      <c r="I25" s="46"/>
      <c r="J25" s="46"/>
      <c r="K25" s="46"/>
      <c r="L25" s="46"/>
      <c r="M25" s="46"/>
      <c r="N25" s="46"/>
      <c r="O25" s="46"/>
      <c r="P25" s="46"/>
      <c r="Q25" s="46"/>
      <c r="R25" s="46"/>
      <c r="S25" s="46"/>
      <c r="T25" s="46"/>
      <c r="U25" s="46"/>
      <c r="V25" s="46"/>
      <c r="W25" s="46"/>
      <c r="X25" s="46"/>
      <c r="Y25" s="46"/>
      <c r="Z25" s="46"/>
      <c r="AA25" s="46"/>
      <c r="AB25" s="46"/>
      <c r="AC25" s="18"/>
      <c r="AD25" s="18"/>
      <c r="AE25" s="18"/>
      <c r="AF25" s="18"/>
      <c r="AG25" s="18"/>
    </row>
    <row r="26" spans="1:33" ht="15">
      <c r="A26" s="92" t="s">
        <v>54</v>
      </c>
      <c r="B26" s="93"/>
      <c r="C26" s="186" t="s">
        <v>44</v>
      </c>
      <c r="D26" s="94"/>
      <c r="E26" s="175">
        <v>0</v>
      </c>
      <c r="F26" s="175">
        <v>0</v>
      </c>
      <c r="G26" s="175">
        <v>0</v>
      </c>
      <c r="H26" s="175">
        <v>0</v>
      </c>
      <c r="I26" s="175">
        <v>0</v>
      </c>
      <c r="J26" s="175">
        <v>0</v>
      </c>
      <c r="K26" s="175">
        <v>0</v>
      </c>
      <c r="L26" s="175">
        <v>0</v>
      </c>
      <c r="M26" s="175">
        <v>0</v>
      </c>
      <c r="N26" s="175">
        <v>0</v>
      </c>
      <c r="O26" s="175">
        <v>0</v>
      </c>
      <c r="P26" s="175">
        <v>0</v>
      </c>
      <c r="Q26" s="175">
        <v>0</v>
      </c>
      <c r="R26" s="175">
        <v>0</v>
      </c>
      <c r="S26" s="175">
        <v>0</v>
      </c>
      <c r="T26" s="175">
        <v>0</v>
      </c>
      <c r="U26" s="175">
        <v>0</v>
      </c>
      <c r="V26" s="175">
        <v>0</v>
      </c>
      <c r="W26" s="175">
        <v>0</v>
      </c>
      <c r="X26" s="175">
        <v>0</v>
      </c>
      <c r="Y26" s="175">
        <v>0</v>
      </c>
      <c r="Z26" s="175">
        <v>0</v>
      </c>
      <c r="AA26" s="175">
        <v>0</v>
      </c>
      <c r="AB26" s="175">
        <v>0</v>
      </c>
      <c r="AC26" s="18"/>
      <c r="AD26" s="18"/>
      <c r="AE26" s="18"/>
      <c r="AF26" s="18"/>
      <c r="AG26" s="18"/>
    </row>
    <row r="27" spans="1:33" ht="15">
      <c r="A27" s="92" t="s">
        <v>55</v>
      </c>
      <c r="B27" s="93"/>
      <c r="C27" s="186"/>
      <c r="D27" s="94">
        <v>4962.83</v>
      </c>
      <c r="E27" s="175">
        <v>5508.38</v>
      </c>
      <c r="F27" s="175">
        <v>5785.24</v>
      </c>
      <c r="G27" s="175">
        <v>5773.05</v>
      </c>
      <c r="H27" s="175">
        <v>6158.88</v>
      </c>
      <c r="I27" s="175">
        <v>5599.11</v>
      </c>
      <c r="J27" s="175">
        <v>6166.55</v>
      </c>
      <c r="K27" s="175">
        <v>6824.8</v>
      </c>
      <c r="L27" s="175">
        <v>6639.5</v>
      </c>
      <c r="M27" s="175">
        <v>7629.51</v>
      </c>
      <c r="N27" s="175">
        <v>7020.02</v>
      </c>
      <c r="O27" s="175">
        <v>7121.02</v>
      </c>
      <c r="P27" s="175">
        <v>7638.46</v>
      </c>
      <c r="Q27" s="175">
        <v>8050.8</v>
      </c>
      <c r="R27" s="175">
        <v>8829.64</v>
      </c>
      <c r="S27" s="175">
        <v>8738.45</v>
      </c>
      <c r="T27" s="175">
        <v>10551.75</v>
      </c>
      <c r="U27" s="175">
        <v>9526.44</v>
      </c>
      <c r="V27" s="175">
        <v>9840.38</v>
      </c>
      <c r="W27" s="175">
        <v>12327.9</v>
      </c>
      <c r="X27" s="175">
        <v>9074.54</v>
      </c>
      <c r="Y27" s="175">
        <v>-11.01</v>
      </c>
      <c r="Z27" s="175">
        <v>9044.28</v>
      </c>
      <c r="AA27" s="175">
        <v>8187.51</v>
      </c>
      <c r="AB27" s="175">
        <v>7064.72</v>
      </c>
      <c r="AC27" s="18"/>
      <c r="AD27" s="18"/>
      <c r="AE27" s="18"/>
      <c r="AF27" s="18"/>
      <c r="AG27" s="18"/>
    </row>
    <row r="28" spans="1:33" ht="15">
      <c r="A28" s="92" t="s">
        <v>56</v>
      </c>
      <c r="B28" s="93"/>
      <c r="C28" s="186"/>
      <c r="D28" s="94">
        <v>432089.66</v>
      </c>
      <c r="E28" s="175">
        <v>457053.46</v>
      </c>
      <c r="F28" s="175">
        <v>489262.24</v>
      </c>
      <c r="G28" s="175">
        <v>508356.3</v>
      </c>
      <c r="H28" s="175">
        <v>508849.32</v>
      </c>
      <c r="I28" s="175">
        <v>537004.42</v>
      </c>
      <c r="J28" s="175">
        <v>565613.54</v>
      </c>
      <c r="K28" s="175">
        <v>593515.63</v>
      </c>
      <c r="L28" s="175">
        <v>627749.68</v>
      </c>
      <c r="M28" s="175">
        <v>656488.46</v>
      </c>
      <c r="N28" s="175">
        <v>125929.49</v>
      </c>
      <c r="O28" s="175">
        <v>184160.74</v>
      </c>
      <c r="P28" s="175">
        <v>222435.88</v>
      </c>
      <c r="Q28" s="175">
        <v>252322.38</v>
      </c>
      <c r="R28" s="175">
        <v>285283.78</v>
      </c>
      <c r="S28" s="175">
        <v>309575.16</v>
      </c>
      <c r="T28" s="175">
        <v>342720.64</v>
      </c>
      <c r="U28" s="175">
        <v>367920.48</v>
      </c>
      <c r="V28" s="175">
        <v>401768.05</v>
      </c>
      <c r="W28" s="175">
        <v>133420.46</v>
      </c>
      <c r="X28" s="175">
        <v>172857.32</v>
      </c>
      <c r="Y28" s="175">
        <v>211539.27</v>
      </c>
      <c r="Z28" s="175">
        <v>230301.78</v>
      </c>
      <c r="AA28" s="175">
        <v>261437.07</v>
      </c>
      <c r="AB28" s="175">
        <v>267818.67</v>
      </c>
      <c r="AC28" s="18"/>
      <c r="AD28" s="18"/>
      <c r="AE28" s="18"/>
      <c r="AF28" s="18"/>
      <c r="AG28" s="18"/>
    </row>
    <row r="29" spans="1:33" ht="15">
      <c r="A29" s="92" t="s">
        <v>57</v>
      </c>
      <c r="B29" s="93"/>
      <c r="C29" s="186"/>
      <c r="D29" s="94">
        <v>0</v>
      </c>
      <c r="E29" s="175">
        <v>0</v>
      </c>
      <c r="F29" s="175">
        <v>0</v>
      </c>
      <c r="G29" s="175">
        <v>0</v>
      </c>
      <c r="H29" s="175">
        <v>0</v>
      </c>
      <c r="I29" s="175">
        <v>0</v>
      </c>
      <c r="J29" s="175">
        <v>0</v>
      </c>
      <c r="K29" s="175">
        <v>0</v>
      </c>
      <c r="L29" s="175">
        <v>0</v>
      </c>
      <c r="M29" s="175">
        <v>0</v>
      </c>
      <c r="N29" s="175">
        <v>0</v>
      </c>
      <c r="O29" s="175">
        <v>0</v>
      </c>
      <c r="P29" s="175">
        <v>0</v>
      </c>
      <c r="Q29" s="175">
        <v>0</v>
      </c>
      <c r="R29" s="175">
        <v>0</v>
      </c>
      <c r="S29" s="175">
        <v>0</v>
      </c>
      <c r="T29" s="175">
        <v>0</v>
      </c>
      <c r="U29" s="175">
        <v>0</v>
      </c>
      <c r="V29" s="175">
        <v>0</v>
      </c>
      <c r="W29" s="175">
        <v>0</v>
      </c>
      <c r="X29" s="175">
        <v>0</v>
      </c>
      <c r="Y29" s="175">
        <v>0</v>
      </c>
      <c r="Z29" s="175">
        <v>0</v>
      </c>
      <c r="AA29" s="175">
        <v>0</v>
      </c>
      <c r="AB29" s="175">
        <v>0</v>
      </c>
      <c r="AC29" s="18"/>
      <c r="AD29" s="18"/>
      <c r="AE29" s="18"/>
      <c r="AF29" s="18"/>
      <c r="AG29" s="18"/>
    </row>
    <row r="30" spans="1:33" ht="15">
      <c r="A30" s="92" t="s">
        <v>58</v>
      </c>
      <c r="B30" s="93"/>
      <c r="C30" s="186" t="s">
        <v>44</v>
      </c>
      <c r="D30" s="94">
        <v>0</v>
      </c>
      <c r="E30" s="175">
        <v>0</v>
      </c>
      <c r="F30" s="175">
        <v>0</v>
      </c>
      <c r="G30" s="175">
        <v>0</v>
      </c>
      <c r="H30" s="175">
        <v>0</v>
      </c>
      <c r="I30" s="175">
        <v>0</v>
      </c>
      <c r="J30" s="175">
        <v>0</v>
      </c>
      <c r="K30" s="175">
        <v>0</v>
      </c>
      <c r="L30" s="175">
        <v>0</v>
      </c>
      <c r="M30" s="175">
        <v>0</v>
      </c>
      <c r="N30" s="175">
        <v>0</v>
      </c>
      <c r="O30" s="175">
        <v>0</v>
      </c>
      <c r="P30" s="175">
        <v>-19.38</v>
      </c>
      <c r="Q30" s="175">
        <v>0</v>
      </c>
      <c r="R30" s="175">
        <v>0</v>
      </c>
      <c r="S30" s="175">
        <v>0</v>
      </c>
      <c r="T30" s="175">
        <v>0</v>
      </c>
      <c r="U30" s="175">
        <v>0</v>
      </c>
      <c r="V30" s="175">
        <v>0</v>
      </c>
      <c r="W30" s="175">
        <v>0</v>
      </c>
      <c r="X30" s="175">
        <v>-53.79</v>
      </c>
      <c r="Y30" s="175">
        <v>0</v>
      </c>
      <c r="Z30" s="175">
        <v>0</v>
      </c>
      <c r="AA30" s="175">
        <v>0</v>
      </c>
      <c r="AB30" s="175">
        <v>0</v>
      </c>
      <c r="AC30" s="18"/>
      <c r="AD30" s="18"/>
      <c r="AE30" s="18"/>
      <c r="AF30" s="18"/>
      <c r="AG30" s="18"/>
    </row>
    <row r="31" spans="1:33" ht="15">
      <c r="A31" s="8" t="s">
        <v>59</v>
      </c>
      <c r="C31" s="187" t="s">
        <v>166</v>
      </c>
      <c r="D31" s="25"/>
      <c r="E31" s="176">
        <v>0</v>
      </c>
      <c r="F31" s="176">
        <v>0</v>
      </c>
      <c r="G31" s="176">
        <v>0</v>
      </c>
      <c r="H31" s="176">
        <v>0</v>
      </c>
      <c r="I31" s="176">
        <v>0</v>
      </c>
      <c r="J31" s="176">
        <v>0</v>
      </c>
      <c r="K31" s="176">
        <v>0</v>
      </c>
      <c r="L31" s="176">
        <v>0</v>
      </c>
      <c r="M31" s="176">
        <v>0</v>
      </c>
      <c r="N31" s="176">
        <v>0</v>
      </c>
      <c r="O31" s="176">
        <v>0</v>
      </c>
      <c r="P31" s="176">
        <v>0</v>
      </c>
      <c r="Q31" s="176">
        <v>0</v>
      </c>
      <c r="R31" s="176">
        <v>0</v>
      </c>
      <c r="S31" s="176">
        <v>0</v>
      </c>
      <c r="T31" s="176">
        <v>0</v>
      </c>
      <c r="U31" s="176">
        <v>0</v>
      </c>
      <c r="V31" s="176">
        <v>0</v>
      </c>
      <c r="W31" s="176">
        <v>0</v>
      </c>
      <c r="X31" s="176">
        <v>0</v>
      </c>
      <c r="Y31" s="176">
        <v>0</v>
      </c>
      <c r="Z31" s="176">
        <v>0</v>
      </c>
      <c r="AA31" s="176">
        <v>0</v>
      </c>
      <c r="AB31" s="176">
        <v>0</v>
      </c>
      <c r="AC31" s="18"/>
      <c r="AD31" s="18"/>
      <c r="AE31" s="18"/>
      <c r="AF31" s="18"/>
      <c r="AG31" s="18"/>
    </row>
    <row r="32" spans="1:33" ht="15">
      <c r="A32" s="8" t="s">
        <v>60</v>
      </c>
      <c r="C32" s="187"/>
      <c r="D32" s="25"/>
      <c r="E32" s="176">
        <v>0</v>
      </c>
      <c r="F32" s="176">
        <v>0</v>
      </c>
      <c r="G32" s="176">
        <v>0</v>
      </c>
      <c r="H32" s="176">
        <v>0</v>
      </c>
      <c r="I32" s="176">
        <v>0</v>
      </c>
      <c r="J32" s="176">
        <v>0</v>
      </c>
      <c r="K32" s="176">
        <v>0</v>
      </c>
      <c r="L32" s="176">
        <v>0</v>
      </c>
      <c r="M32" s="176">
        <v>0</v>
      </c>
      <c r="N32" s="176">
        <v>0</v>
      </c>
      <c r="O32" s="176">
        <v>0</v>
      </c>
      <c r="P32" s="176">
        <v>0</v>
      </c>
      <c r="Q32" s="176">
        <v>0</v>
      </c>
      <c r="R32" s="176">
        <v>0</v>
      </c>
      <c r="S32" s="176">
        <v>0</v>
      </c>
      <c r="T32" s="176">
        <v>0</v>
      </c>
      <c r="U32" s="176">
        <v>0</v>
      </c>
      <c r="V32" s="176">
        <v>0</v>
      </c>
      <c r="W32" s="176">
        <v>0</v>
      </c>
      <c r="X32" s="176">
        <v>0</v>
      </c>
      <c r="Y32" s="176">
        <v>0</v>
      </c>
      <c r="Z32" s="176">
        <v>0</v>
      </c>
      <c r="AA32" s="176">
        <v>0</v>
      </c>
      <c r="AB32" s="176">
        <v>0</v>
      </c>
      <c r="AC32" s="18"/>
      <c r="AD32" s="18"/>
      <c r="AE32" s="18"/>
      <c r="AF32" s="18"/>
      <c r="AG32" s="18"/>
    </row>
    <row r="33" spans="1:33" ht="15">
      <c r="A33" s="8" t="s">
        <v>61</v>
      </c>
      <c r="C33" s="187"/>
      <c r="D33" s="25">
        <v>1533655.91</v>
      </c>
      <c r="E33" s="176">
        <v>1442507.79</v>
      </c>
      <c r="F33" s="176">
        <v>1637818.71</v>
      </c>
      <c r="G33" s="176">
        <v>1831133.64</v>
      </c>
      <c r="H33" s="176">
        <v>1651116.64</v>
      </c>
      <c r="I33" s="176">
        <v>1835160.78</v>
      </c>
      <c r="J33" s="176">
        <v>1698879.04</v>
      </c>
      <c r="K33" s="176">
        <v>1752988.13</v>
      </c>
      <c r="L33" s="176">
        <v>1665040.2</v>
      </c>
      <c r="M33" s="176">
        <v>1572249.18</v>
      </c>
      <c r="N33" s="176">
        <v>1625539.47</v>
      </c>
      <c r="O33" s="176">
        <v>1809520.29</v>
      </c>
      <c r="P33" s="176">
        <v>1595292.91</v>
      </c>
      <c r="Q33" s="176">
        <v>1786855.65</v>
      </c>
      <c r="R33" s="176">
        <v>1735156.84</v>
      </c>
      <c r="S33" s="176">
        <v>1823533.72</v>
      </c>
      <c r="T33" s="176">
        <v>1952090.12</v>
      </c>
      <c r="U33" s="176">
        <v>2041296.53</v>
      </c>
      <c r="V33" s="176">
        <v>2008103.38</v>
      </c>
      <c r="W33" s="176">
        <v>1921872.26</v>
      </c>
      <c r="X33" s="176">
        <v>1840055.17</v>
      </c>
      <c r="Y33" s="176">
        <v>1903767.79</v>
      </c>
      <c r="Z33" s="176">
        <v>2095790.69</v>
      </c>
      <c r="AA33" s="176">
        <v>1596322.53</v>
      </c>
      <c r="AB33" s="176">
        <v>1458765.78</v>
      </c>
      <c r="AC33" s="18"/>
      <c r="AD33" s="18"/>
      <c r="AE33" s="18"/>
      <c r="AF33" s="18"/>
      <c r="AG33" s="18"/>
    </row>
    <row r="34" spans="1:33" ht="15">
      <c r="A34" s="8" t="s">
        <v>62</v>
      </c>
      <c r="C34" s="187"/>
      <c r="D34" s="25">
        <v>0</v>
      </c>
      <c r="E34" s="176">
        <v>0</v>
      </c>
      <c r="F34" s="176">
        <v>0</v>
      </c>
      <c r="G34" s="176">
        <v>0</v>
      </c>
      <c r="H34" s="176"/>
      <c r="I34" s="176">
        <v>0</v>
      </c>
      <c r="J34" s="176">
        <v>0</v>
      </c>
      <c r="K34" s="176">
        <v>0</v>
      </c>
      <c r="L34" s="176">
        <v>0</v>
      </c>
      <c r="M34" s="176">
        <v>0</v>
      </c>
      <c r="N34" s="176">
        <v>0</v>
      </c>
      <c r="O34" s="176">
        <v>0</v>
      </c>
      <c r="P34" s="176">
        <v>0</v>
      </c>
      <c r="Q34" s="176">
        <v>0</v>
      </c>
      <c r="R34" s="176">
        <v>0</v>
      </c>
      <c r="S34" s="176">
        <v>0</v>
      </c>
      <c r="T34" s="176">
        <v>0</v>
      </c>
      <c r="U34" s="176">
        <v>0</v>
      </c>
      <c r="V34" s="176">
        <v>0</v>
      </c>
      <c r="W34" s="176">
        <v>0</v>
      </c>
      <c r="X34" s="176">
        <v>0</v>
      </c>
      <c r="Y34" s="176">
        <v>0</v>
      </c>
      <c r="Z34" s="176">
        <v>0</v>
      </c>
      <c r="AA34" s="176">
        <v>0</v>
      </c>
      <c r="AB34" s="176">
        <v>0</v>
      </c>
      <c r="AC34" s="18"/>
      <c r="AD34" s="18"/>
      <c r="AE34" s="18"/>
      <c r="AF34" s="18"/>
      <c r="AG34" s="18"/>
    </row>
    <row r="35" spans="1:33" ht="15">
      <c r="A35" s="8" t="s">
        <v>63</v>
      </c>
      <c r="C35" s="187" t="s">
        <v>35</v>
      </c>
      <c r="D35" s="25"/>
      <c r="E35" s="176">
        <v>0</v>
      </c>
      <c r="F35" s="176">
        <v>0</v>
      </c>
      <c r="G35" s="176">
        <v>0</v>
      </c>
      <c r="H35" s="176">
        <v>0</v>
      </c>
      <c r="I35" s="176">
        <v>0</v>
      </c>
      <c r="J35" s="176">
        <v>0</v>
      </c>
      <c r="K35" s="176">
        <v>0</v>
      </c>
      <c r="L35" s="176">
        <v>0</v>
      </c>
      <c r="M35" s="176">
        <v>0</v>
      </c>
      <c r="N35" s="176">
        <v>0</v>
      </c>
      <c r="O35" s="176">
        <v>0</v>
      </c>
      <c r="P35" s="176">
        <v>0</v>
      </c>
      <c r="Q35" s="176">
        <v>0</v>
      </c>
      <c r="R35" s="176">
        <v>0</v>
      </c>
      <c r="S35" s="176">
        <v>0</v>
      </c>
      <c r="T35" s="176">
        <v>0</v>
      </c>
      <c r="U35" s="176">
        <v>0</v>
      </c>
      <c r="V35" s="176">
        <v>0</v>
      </c>
      <c r="W35" s="176">
        <v>0</v>
      </c>
      <c r="X35" s="176">
        <v>0</v>
      </c>
      <c r="Y35" s="176">
        <v>0</v>
      </c>
      <c r="Z35" s="176">
        <v>0</v>
      </c>
      <c r="AA35" s="176">
        <v>0</v>
      </c>
      <c r="AB35" s="176">
        <v>0</v>
      </c>
      <c r="AC35" s="18"/>
      <c r="AD35" s="18"/>
      <c r="AE35" s="18"/>
      <c r="AF35" s="18"/>
      <c r="AG35" s="18"/>
    </row>
    <row r="36" spans="1:33" ht="15">
      <c r="A36" s="153" t="s">
        <v>64</v>
      </c>
      <c r="B36" s="154"/>
      <c r="C36" s="187" t="s">
        <v>167</v>
      </c>
      <c r="D36" s="94"/>
      <c r="E36" s="175">
        <v>0</v>
      </c>
      <c r="F36" s="175">
        <v>0</v>
      </c>
      <c r="G36" s="175">
        <v>0</v>
      </c>
      <c r="H36" s="175">
        <v>0</v>
      </c>
      <c r="I36" s="175">
        <v>0</v>
      </c>
      <c r="J36" s="175">
        <v>0</v>
      </c>
      <c r="K36" s="175">
        <v>0</v>
      </c>
      <c r="L36" s="175">
        <v>0</v>
      </c>
      <c r="M36" s="175">
        <v>0</v>
      </c>
      <c r="N36" s="175">
        <v>0</v>
      </c>
      <c r="O36" s="175">
        <v>0</v>
      </c>
      <c r="P36" s="175">
        <v>0</v>
      </c>
      <c r="Q36" s="175">
        <v>0</v>
      </c>
      <c r="R36" s="175">
        <v>0</v>
      </c>
      <c r="S36" s="175">
        <v>0</v>
      </c>
      <c r="T36" s="175">
        <v>0</v>
      </c>
      <c r="U36" s="175">
        <v>0</v>
      </c>
      <c r="V36" s="175">
        <v>0</v>
      </c>
      <c r="W36" s="175">
        <v>0</v>
      </c>
      <c r="X36" s="175">
        <v>0</v>
      </c>
      <c r="Y36" s="175">
        <v>0</v>
      </c>
      <c r="Z36" s="175">
        <v>0</v>
      </c>
      <c r="AA36" s="175">
        <v>0</v>
      </c>
      <c r="AB36" s="175">
        <v>0</v>
      </c>
      <c r="AC36" s="18"/>
      <c r="AD36" s="18"/>
      <c r="AE36" s="18"/>
      <c r="AF36" s="18"/>
      <c r="AG36" s="18"/>
    </row>
    <row r="37" spans="1:33" ht="15">
      <c r="A37" s="153" t="s">
        <v>65</v>
      </c>
      <c r="B37" s="154"/>
      <c r="C37" s="187"/>
      <c r="D37" s="94"/>
      <c r="E37" s="175">
        <v>0</v>
      </c>
      <c r="F37" s="175">
        <v>0</v>
      </c>
      <c r="G37" s="175">
        <v>0</v>
      </c>
      <c r="H37" s="175">
        <v>0</v>
      </c>
      <c r="I37" s="175">
        <v>0</v>
      </c>
      <c r="J37" s="175">
        <v>0</v>
      </c>
      <c r="K37" s="175">
        <v>0</v>
      </c>
      <c r="L37" s="175">
        <v>0</v>
      </c>
      <c r="M37" s="175">
        <v>0</v>
      </c>
      <c r="N37" s="175">
        <v>0</v>
      </c>
      <c r="O37" s="175">
        <v>0</v>
      </c>
      <c r="P37" s="175">
        <v>0</v>
      </c>
      <c r="Q37" s="175">
        <v>0</v>
      </c>
      <c r="R37" s="175">
        <v>0</v>
      </c>
      <c r="S37" s="175">
        <v>0</v>
      </c>
      <c r="T37" s="175">
        <v>0</v>
      </c>
      <c r="U37" s="175">
        <v>0</v>
      </c>
      <c r="V37" s="175">
        <v>0</v>
      </c>
      <c r="W37" s="175">
        <v>0</v>
      </c>
      <c r="X37" s="175">
        <v>0</v>
      </c>
      <c r="Y37" s="175">
        <v>0</v>
      </c>
      <c r="Z37" s="175">
        <v>0</v>
      </c>
      <c r="AA37" s="175">
        <v>0</v>
      </c>
      <c r="AB37" s="175">
        <v>0</v>
      </c>
      <c r="AC37" s="18"/>
      <c r="AD37" s="18"/>
      <c r="AE37" s="18"/>
      <c r="AF37" s="18"/>
      <c r="AG37" s="18"/>
    </row>
    <row r="38" spans="1:33" ht="15">
      <c r="A38" s="153" t="s">
        <v>66</v>
      </c>
      <c r="B38" s="154"/>
      <c r="C38" s="187"/>
      <c r="D38" s="94">
        <v>3567.11</v>
      </c>
      <c r="E38" s="175">
        <v>4133.34</v>
      </c>
      <c r="F38" s="175">
        <v>4695.22</v>
      </c>
      <c r="G38" s="175">
        <v>5256.69</v>
      </c>
      <c r="H38" s="175">
        <v>5823.55</v>
      </c>
      <c r="I38" s="175">
        <v>6402.9</v>
      </c>
      <c r="J38" s="175">
        <v>6983.63</v>
      </c>
      <c r="K38" s="175">
        <v>1180.73</v>
      </c>
      <c r="L38" s="175">
        <v>1872.57</v>
      </c>
      <c r="M38" s="175">
        <v>2520.23</v>
      </c>
      <c r="N38" s="175">
        <v>3357.23</v>
      </c>
      <c r="O38" s="175">
        <v>3981.63</v>
      </c>
      <c r="P38" s="175">
        <v>4554.77</v>
      </c>
      <c r="Q38" s="175">
        <v>5119.35</v>
      </c>
      <c r="R38" s="175">
        <v>5676.7</v>
      </c>
      <c r="S38" s="175">
        <v>6242.19</v>
      </c>
      <c r="T38" s="175">
        <v>6819.36</v>
      </c>
      <c r="U38" s="175">
        <v>7396.74</v>
      </c>
      <c r="V38" s="175">
        <v>7956.49</v>
      </c>
      <c r="W38" s="175">
        <v>8710.29</v>
      </c>
      <c r="X38" s="175">
        <v>9811.74</v>
      </c>
      <c r="Y38" s="175">
        <v>10462.82</v>
      </c>
      <c r="Z38" s="175">
        <v>11154.38</v>
      </c>
      <c r="AA38" s="175">
        <v>11865.91</v>
      </c>
      <c r="AB38" s="175">
        <v>12498.05</v>
      </c>
      <c r="AC38" s="18"/>
      <c r="AD38" s="18"/>
      <c r="AE38" s="18"/>
      <c r="AF38" s="18"/>
      <c r="AG38" s="18"/>
    </row>
    <row r="39" spans="1:33" ht="15">
      <c r="A39" s="153" t="s">
        <v>67</v>
      </c>
      <c r="B39" s="154"/>
      <c r="C39" s="187"/>
      <c r="D39" s="94">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75">
        <v>0</v>
      </c>
      <c r="U39" s="175">
        <v>0</v>
      </c>
      <c r="V39" s="175">
        <v>0</v>
      </c>
      <c r="W39" s="175">
        <v>0</v>
      </c>
      <c r="X39" s="175">
        <v>0</v>
      </c>
      <c r="Y39" s="175">
        <v>0</v>
      </c>
      <c r="Z39" s="175">
        <v>0</v>
      </c>
      <c r="AA39" s="175">
        <v>0</v>
      </c>
      <c r="AB39" s="175">
        <v>0</v>
      </c>
      <c r="AC39" s="18"/>
      <c r="AD39" s="18"/>
      <c r="AE39" s="18"/>
      <c r="AF39" s="18"/>
      <c r="AG39" s="18"/>
    </row>
    <row r="40" spans="1:33" ht="15">
      <c r="A40" s="153" t="s">
        <v>68</v>
      </c>
      <c r="B40" s="154"/>
      <c r="C40" s="187" t="s">
        <v>25</v>
      </c>
      <c r="D40" s="94"/>
      <c r="E40" s="175">
        <v>0</v>
      </c>
      <c r="F40" s="175">
        <v>0</v>
      </c>
      <c r="G40" s="175">
        <v>0</v>
      </c>
      <c r="H40" s="175">
        <v>0</v>
      </c>
      <c r="I40" s="175">
        <v>0</v>
      </c>
      <c r="J40" s="175">
        <v>0</v>
      </c>
      <c r="K40" s="175">
        <v>0</v>
      </c>
      <c r="L40" s="175">
        <v>0</v>
      </c>
      <c r="M40" s="175">
        <v>0</v>
      </c>
      <c r="N40" s="175">
        <v>0</v>
      </c>
      <c r="O40" s="175">
        <v>0</v>
      </c>
      <c r="P40" s="175">
        <v>0</v>
      </c>
      <c r="Q40" s="175">
        <v>0</v>
      </c>
      <c r="R40" s="175">
        <v>0</v>
      </c>
      <c r="S40" s="175">
        <v>0</v>
      </c>
      <c r="T40" s="175">
        <v>0</v>
      </c>
      <c r="U40" s="175">
        <v>0</v>
      </c>
      <c r="V40" s="175">
        <v>0</v>
      </c>
      <c r="W40" s="175">
        <v>0</v>
      </c>
      <c r="X40" s="175">
        <v>0</v>
      </c>
      <c r="Y40" s="175">
        <v>0</v>
      </c>
      <c r="Z40" s="175">
        <v>0</v>
      </c>
      <c r="AA40" s="175">
        <v>0</v>
      </c>
      <c r="AB40" s="175">
        <v>0</v>
      </c>
      <c r="AC40" s="18"/>
      <c r="AD40" s="18"/>
      <c r="AE40" s="18"/>
      <c r="AF40" s="18"/>
      <c r="AG40" s="18"/>
    </row>
    <row r="41" spans="1:33" ht="15">
      <c r="A41" s="106" t="s">
        <v>69</v>
      </c>
      <c r="B41" s="101"/>
      <c r="C41" s="188" t="s">
        <v>168</v>
      </c>
      <c r="D41" s="25"/>
      <c r="E41" s="176">
        <v>0</v>
      </c>
      <c r="F41" s="176">
        <v>0</v>
      </c>
      <c r="G41" s="176">
        <v>0</v>
      </c>
      <c r="H41" s="176">
        <v>0</v>
      </c>
      <c r="I41" s="176">
        <v>0</v>
      </c>
      <c r="J41" s="176">
        <v>0</v>
      </c>
      <c r="K41" s="176">
        <v>0</v>
      </c>
      <c r="L41" s="176">
        <v>0</v>
      </c>
      <c r="M41" s="176">
        <v>0</v>
      </c>
      <c r="N41" s="176">
        <v>0</v>
      </c>
      <c r="O41" s="176">
        <v>0</v>
      </c>
      <c r="P41" s="176">
        <v>0</v>
      </c>
      <c r="Q41" s="176">
        <v>0</v>
      </c>
      <c r="R41" s="176">
        <v>0</v>
      </c>
      <c r="S41" s="176">
        <v>0</v>
      </c>
      <c r="T41" s="176">
        <v>0</v>
      </c>
      <c r="U41" s="176">
        <v>0</v>
      </c>
      <c r="V41" s="176">
        <v>0</v>
      </c>
      <c r="W41" s="176">
        <v>0</v>
      </c>
      <c r="X41" s="176">
        <v>0</v>
      </c>
      <c r="Y41" s="176">
        <v>0</v>
      </c>
      <c r="Z41" s="176">
        <v>0</v>
      </c>
      <c r="AA41" s="176">
        <v>0</v>
      </c>
      <c r="AB41" s="176">
        <v>0</v>
      </c>
      <c r="AC41" s="18"/>
      <c r="AD41" s="18"/>
      <c r="AE41" s="18"/>
      <c r="AF41" s="18"/>
      <c r="AG41" s="18"/>
    </row>
    <row r="42" spans="1:33" ht="15">
      <c r="A42" s="106" t="s">
        <v>70</v>
      </c>
      <c r="B42" s="101"/>
      <c r="C42" s="188"/>
      <c r="D42" s="25"/>
      <c r="E42" s="176">
        <v>0</v>
      </c>
      <c r="F42" s="176">
        <v>0</v>
      </c>
      <c r="G42" s="176">
        <v>0</v>
      </c>
      <c r="H42" s="176">
        <v>0</v>
      </c>
      <c r="I42" s="176">
        <v>0</v>
      </c>
      <c r="J42" s="176">
        <v>0</v>
      </c>
      <c r="K42" s="176">
        <v>0</v>
      </c>
      <c r="L42" s="176">
        <v>0</v>
      </c>
      <c r="M42" s="176">
        <v>0</v>
      </c>
      <c r="N42" s="176">
        <v>0</v>
      </c>
      <c r="O42" s="176">
        <v>0</v>
      </c>
      <c r="P42" s="176">
        <v>0</v>
      </c>
      <c r="Q42" s="176">
        <v>0</v>
      </c>
      <c r="R42" s="176">
        <v>0</v>
      </c>
      <c r="S42" s="176">
        <v>0</v>
      </c>
      <c r="T42" s="176">
        <v>0</v>
      </c>
      <c r="U42" s="176">
        <v>0</v>
      </c>
      <c r="V42" s="176">
        <v>0</v>
      </c>
      <c r="W42" s="176">
        <v>0</v>
      </c>
      <c r="X42" s="176">
        <v>0</v>
      </c>
      <c r="Y42" s="176">
        <v>0</v>
      </c>
      <c r="Z42" s="176">
        <v>0</v>
      </c>
      <c r="AA42" s="176">
        <v>0</v>
      </c>
      <c r="AB42" s="176">
        <v>0</v>
      </c>
      <c r="AC42" s="18"/>
      <c r="AD42" s="18"/>
      <c r="AE42" s="18"/>
      <c r="AF42" s="18"/>
      <c r="AG42" s="18"/>
    </row>
    <row r="43" spans="1:33" ht="15">
      <c r="A43" s="106" t="s">
        <v>71</v>
      </c>
      <c r="B43" s="101"/>
      <c r="C43" s="188"/>
      <c r="D43" s="25">
        <v>156427.4</v>
      </c>
      <c r="E43" s="176">
        <v>181452.83</v>
      </c>
      <c r="F43" s="176">
        <v>177571.41</v>
      </c>
      <c r="G43" s="176">
        <v>180405.94</v>
      </c>
      <c r="H43" s="176">
        <v>173115.88</v>
      </c>
      <c r="I43" s="176">
        <v>184602.8</v>
      </c>
      <c r="J43" s="176">
        <v>183595.25</v>
      </c>
      <c r="K43" s="176">
        <v>197072.29</v>
      </c>
      <c r="L43" s="176">
        <v>191928.94</v>
      </c>
      <c r="M43" s="176">
        <v>161609.21</v>
      </c>
      <c r="N43" s="176">
        <v>153428.89</v>
      </c>
      <c r="O43" s="176">
        <v>110565.92</v>
      </c>
      <c r="P43" s="176">
        <v>97983.11</v>
      </c>
      <c r="Q43" s="176">
        <v>94647.19</v>
      </c>
      <c r="R43" s="176">
        <v>115465.43</v>
      </c>
      <c r="S43" s="176">
        <v>120463.01</v>
      </c>
      <c r="T43" s="176">
        <v>114383.32</v>
      </c>
      <c r="U43" s="176">
        <v>82141.77</v>
      </c>
      <c r="V43" s="176">
        <v>68904.82</v>
      </c>
      <c r="W43" s="176">
        <v>87014.98</v>
      </c>
      <c r="X43" s="176">
        <v>83568.2</v>
      </c>
      <c r="Y43" s="176">
        <v>79595.47</v>
      </c>
      <c r="Z43" s="176">
        <v>69647.63</v>
      </c>
      <c r="AA43" s="176">
        <v>61028.36</v>
      </c>
      <c r="AB43" s="176">
        <v>54979.78</v>
      </c>
      <c r="AC43" s="18"/>
      <c r="AD43" s="18"/>
      <c r="AE43" s="18"/>
      <c r="AF43" s="18"/>
      <c r="AG43" s="18"/>
    </row>
    <row r="44" spans="1:33" ht="15">
      <c r="A44" s="106" t="s">
        <v>72</v>
      </c>
      <c r="B44" s="101"/>
      <c r="C44" s="188"/>
      <c r="D44" s="25"/>
      <c r="E44" s="176">
        <v>0</v>
      </c>
      <c r="F44" s="176">
        <v>0</v>
      </c>
      <c r="G44" s="176">
        <v>0</v>
      </c>
      <c r="H44" s="176">
        <v>0</v>
      </c>
      <c r="I44" s="176">
        <v>0</v>
      </c>
      <c r="J44" s="176">
        <v>0</v>
      </c>
      <c r="K44" s="176">
        <v>0</v>
      </c>
      <c r="L44" s="176">
        <v>0</v>
      </c>
      <c r="M44" s="176">
        <v>0</v>
      </c>
      <c r="N44" s="176">
        <v>0</v>
      </c>
      <c r="O44" s="176">
        <v>0</v>
      </c>
      <c r="P44" s="176">
        <v>0</v>
      </c>
      <c r="Q44" s="176">
        <v>0</v>
      </c>
      <c r="R44" s="176">
        <v>0</v>
      </c>
      <c r="S44" s="176">
        <v>0</v>
      </c>
      <c r="T44" s="176">
        <v>0</v>
      </c>
      <c r="U44" s="176">
        <v>0</v>
      </c>
      <c r="V44" s="176">
        <v>0</v>
      </c>
      <c r="W44" s="176">
        <v>0</v>
      </c>
      <c r="X44" s="176">
        <v>0</v>
      </c>
      <c r="Y44" s="176">
        <v>0</v>
      </c>
      <c r="Z44" s="176">
        <v>0</v>
      </c>
      <c r="AA44" s="176">
        <v>0</v>
      </c>
      <c r="AB44" s="176">
        <v>0</v>
      </c>
      <c r="AC44" s="18"/>
      <c r="AD44" s="18"/>
      <c r="AE44" s="18"/>
      <c r="AF44" s="18"/>
      <c r="AG44" s="18"/>
    </row>
    <row r="45" spans="1:33" ht="15">
      <c r="A45" s="106" t="s">
        <v>73</v>
      </c>
      <c r="B45" s="101"/>
      <c r="C45" s="188" t="s">
        <v>32</v>
      </c>
      <c r="D45" s="25"/>
      <c r="E45" s="176">
        <v>0</v>
      </c>
      <c r="F45" s="176">
        <v>0</v>
      </c>
      <c r="G45" s="176">
        <v>0</v>
      </c>
      <c r="H45" s="176">
        <v>0</v>
      </c>
      <c r="I45" s="176">
        <v>0</v>
      </c>
      <c r="J45" s="176">
        <v>0</v>
      </c>
      <c r="K45" s="176">
        <v>0</v>
      </c>
      <c r="L45" s="176">
        <v>0</v>
      </c>
      <c r="M45" s="176">
        <v>0</v>
      </c>
      <c r="N45" s="176">
        <v>0</v>
      </c>
      <c r="O45" s="176">
        <v>0</v>
      </c>
      <c r="P45" s="176">
        <v>0</v>
      </c>
      <c r="Q45" s="176">
        <v>0</v>
      </c>
      <c r="R45" s="176">
        <v>0</v>
      </c>
      <c r="S45" s="176">
        <v>0</v>
      </c>
      <c r="T45" s="176">
        <v>0</v>
      </c>
      <c r="U45" s="176">
        <v>0</v>
      </c>
      <c r="V45" s="176">
        <v>0</v>
      </c>
      <c r="W45" s="176">
        <v>0</v>
      </c>
      <c r="X45" s="176">
        <v>0</v>
      </c>
      <c r="Y45" s="176">
        <v>0</v>
      </c>
      <c r="Z45" s="176">
        <v>0</v>
      </c>
      <c r="AA45" s="176">
        <v>0</v>
      </c>
      <c r="AB45" s="176">
        <v>0</v>
      </c>
      <c r="AC45" s="18"/>
      <c r="AD45" s="18"/>
      <c r="AE45" s="18"/>
      <c r="AF45" s="18"/>
      <c r="AG45" s="18"/>
    </row>
    <row r="46" spans="1:33" s="101" customFormat="1" ht="15">
      <c r="A46" s="153" t="s">
        <v>74</v>
      </c>
      <c r="B46" s="154"/>
      <c r="C46" s="188" t="s">
        <v>169</v>
      </c>
      <c r="D46" s="155"/>
      <c r="E46" s="175">
        <v>0</v>
      </c>
      <c r="F46" s="175">
        <v>0</v>
      </c>
      <c r="G46" s="175">
        <v>0</v>
      </c>
      <c r="H46" s="175">
        <v>0</v>
      </c>
      <c r="I46" s="175">
        <v>0</v>
      </c>
      <c r="J46" s="175">
        <v>0</v>
      </c>
      <c r="K46" s="175">
        <v>0</v>
      </c>
      <c r="L46" s="175">
        <v>0</v>
      </c>
      <c r="M46" s="175">
        <v>0</v>
      </c>
      <c r="N46" s="175">
        <v>0</v>
      </c>
      <c r="O46" s="175">
        <v>0</v>
      </c>
      <c r="P46" s="175">
        <v>0</v>
      </c>
      <c r="Q46" s="175">
        <v>0</v>
      </c>
      <c r="R46" s="175">
        <v>0</v>
      </c>
      <c r="S46" s="175">
        <v>0</v>
      </c>
      <c r="T46" s="175">
        <v>0</v>
      </c>
      <c r="U46" s="175">
        <v>0</v>
      </c>
      <c r="V46" s="175">
        <v>0</v>
      </c>
      <c r="W46" s="175">
        <v>0</v>
      </c>
      <c r="X46" s="175">
        <v>0</v>
      </c>
      <c r="Y46" s="175">
        <v>0</v>
      </c>
      <c r="Z46" s="175">
        <v>0</v>
      </c>
      <c r="AA46" s="175">
        <v>0</v>
      </c>
      <c r="AB46" s="175">
        <v>0</v>
      </c>
      <c r="AC46" s="171"/>
      <c r="AD46" s="115"/>
      <c r="AE46" s="115"/>
      <c r="AF46" s="115"/>
      <c r="AG46" s="115"/>
    </row>
    <row r="47" spans="1:33" s="101" customFormat="1" ht="15">
      <c r="A47" s="153" t="s">
        <v>75</v>
      </c>
      <c r="B47" s="154"/>
      <c r="C47" s="188"/>
      <c r="D47" s="155"/>
      <c r="E47" s="175">
        <v>0</v>
      </c>
      <c r="F47" s="175">
        <v>0</v>
      </c>
      <c r="G47" s="175">
        <v>0</v>
      </c>
      <c r="H47" s="175">
        <v>0</v>
      </c>
      <c r="I47" s="175">
        <v>0</v>
      </c>
      <c r="J47" s="175">
        <v>0</v>
      </c>
      <c r="K47" s="175">
        <v>0</v>
      </c>
      <c r="L47" s="175">
        <v>0</v>
      </c>
      <c r="M47" s="175">
        <v>0</v>
      </c>
      <c r="N47" s="175">
        <v>0</v>
      </c>
      <c r="O47" s="175">
        <v>0</v>
      </c>
      <c r="P47" s="175">
        <v>0</v>
      </c>
      <c r="Q47" s="175">
        <v>0</v>
      </c>
      <c r="R47" s="175">
        <v>0</v>
      </c>
      <c r="S47" s="175">
        <v>0</v>
      </c>
      <c r="T47" s="175">
        <v>0</v>
      </c>
      <c r="U47" s="175">
        <v>0</v>
      </c>
      <c r="V47" s="175">
        <v>0</v>
      </c>
      <c r="W47" s="175">
        <v>0</v>
      </c>
      <c r="X47" s="175">
        <v>0</v>
      </c>
      <c r="Y47" s="175">
        <v>0</v>
      </c>
      <c r="Z47" s="175">
        <v>0</v>
      </c>
      <c r="AA47" s="175">
        <v>0</v>
      </c>
      <c r="AB47" s="175">
        <v>0</v>
      </c>
      <c r="AC47" s="171"/>
      <c r="AD47" s="115"/>
      <c r="AE47" s="115"/>
      <c r="AF47" s="115"/>
      <c r="AG47" s="115"/>
    </row>
    <row r="48" spans="1:33" s="101" customFormat="1" ht="15">
      <c r="A48" s="153" t="s">
        <v>77</v>
      </c>
      <c r="B48" s="154"/>
      <c r="C48" s="188"/>
      <c r="D48" s="155">
        <v>292152.93</v>
      </c>
      <c r="E48" s="175">
        <v>341304.48</v>
      </c>
      <c r="F48" s="175">
        <v>380064.99</v>
      </c>
      <c r="G48" s="175">
        <v>339588.78</v>
      </c>
      <c r="H48" s="175">
        <v>295997.65</v>
      </c>
      <c r="I48" s="175">
        <v>327977</v>
      </c>
      <c r="J48" s="175">
        <v>310716.53</v>
      </c>
      <c r="K48" s="175">
        <v>334200.09</v>
      </c>
      <c r="L48" s="175">
        <v>281656.41</v>
      </c>
      <c r="M48" s="175">
        <v>215175.5</v>
      </c>
      <c r="N48" s="175">
        <v>240791.78</v>
      </c>
      <c r="O48" s="175">
        <v>220266.15</v>
      </c>
      <c r="P48" s="175">
        <v>165341.64</v>
      </c>
      <c r="Q48" s="175">
        <v>208872.79</v>
      </c>
      <c r="R48" s="175">
        <v>238979.4</v>
      </c>
      <c r="S48" s="175">
        <v>204276.16</v>
      </c>
      <c r="T48" s="175">
        <v>189220.45</v>
      </c>
      <c r="U48" s="175">
        <v>215772.97</v>
      </c>
      <c r="V48" s="175">
        <v>132686.68</v>
      </c>
      <c r="W48" s="175">
        <v>199700.61</v>
      </c>
      <c r="X48" s="175">
        <v>167420.61</v>
      </c>
      <c r="Y48" s="175">
        <v>134174.5</v>
      </c>
      <c r="Z48" s="175">
        <v>128036.1</v>
      </c>
      <c r="AA48" s="175">
        <v>154040.11</v>
      </c>
      <c r="AB48" s="175">
        <v>130917.73</v>
      </c>
      <c r="AC48" s="171"/>
      <c r="AD48" s="115"/>
      <c r="AE48" s="115"/>
      <c r="AF48" s="115"/>
      <c r="AG48" s="115"/>
    </row>
    <row r="49" spans="1:33" s="101" customFormat="1" ht="15">
      <c r="A49" s="153" t="s">
        <v>78</v>
      </c>
      <c r="B49" s="154"/>
      <c r="C49" s="188"/>
      <c r="D49" s="155"/>
      <c r="E49" s="175">
        <v>0</v>
      </c>
      <c r="F49" s="175">
        <v>0</v>
      </c>
      <c r="G49" s="175">
        <v>0</v>
      </c>
      <c r="H49" s="175">
        <v>0</v>
      </c>
      <c r="I49" s="175">
        <v>0</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71"/>
      <c r="AD49" s="115"/>
      <c r="AE49" s="115"/>
      <c r="AF49" s="115"/>
      <c r="AG49" s="115"/>
    </row>
    <row r="50" spans="1:33" s="101" customFormat="1" ht="15">
      <c r="A50" s="153" t="s">
        <v>79</v>
      </c>
      <c r="B50" s="154"/>
      <c r="C50" s="188" t="s">
        <v>33</v>
      </c>
      <c r="D50" s="155"/>
      <c r="E50" s="175">
        <v>0</v>
      </c>
      <c r="F50" s="175">
        <v>0</v>
      </c>
      <c r="G50" s="175">
        <v>0</v>
      </c>
      <c r="H50" s="175">
        <v>0</v>
      </c>
      <c r="I50" s="175">
        <v>0</v>
      </c>
      <c r="J50" s="175">
        <v>0</v>
      </c>
      <c r="K50" s="175">
        <v>0</v>
      </c>
      <c r="L50" s="175">
        <v>0</v>
      </c>
      <c r="M50" s="175">
        <v>0</v>
      </c>
      <c r="N50" s="175">
        <v>0</v>
      </c>
      <c r="O50" s="175">
        <v>0</v>
      </c>
      <c r="P50" s="175">
        <v>0</v>
      </c>
      <c r="Q50" s="175">
        <v>0</v>
      </c>
      <c r="R50" s="175">
        <v>0</v>
      </c>
      <c r="S50" s="175">
        <v>0</v>
      </c>
      <c r="T50" s="175">
        <v>0</v>
      </c>
      <c r="U50" s="175">
        <v>0</v>
      </c>
      <c r="V50" s="175">
        <v>0</v>
      </c>
      <c r="W50" s="175">
        <v>0</v>
      </c>
      <c r="X50" s="175">
        <v>0</v>
      </c>
      <c r="Y50" s="175">
        <v>0</v>
      </c>
      <c r="Z50" s="175">
        <v>0</v>
      </c>
      <c r="AA50" s="175">
        <v>0</v>
      </c>
      <c r="AB50" s="175">
        <v>0</v>
      </c>
      <c r="AC50" s="171"/>
      <c r="AD50" s="115"/>
      <c r="AE50" s="115"/>
      <c r="AF50" s="115"/>
      <c r="AG50" s="115"/>
    </row>
    <row r="51" spans="1:33" s="101" customFormat="1" ht="15">
      <c r="A51" s="106" t="s">
        <v>80</v>
      </c>
      <c r="C51" s="188" t="s">
        <v>170</v>
      </c>
      <c r="D51" s="120"/>
      <c r="E51" s="176">
        <v>0</v>
      </c>
      <c r="F51" s="176">
        <v>0</v>
      </c>
      <c r="G51" s="176">
        <v>0</v>
      </c>
      <c r="H51" s="176">
        <v>0</v>
      </c>
      <c r="I51" s="176">
        <v>0</v>
      </c>
      <c r="J51" s="176">
        <v>0</v>
      </c>
      <c r="K51" s="176">
        <v>0</v>
      </c>
      <c r="L51" s="176">
        <v>0</v>
      </c>
      <c r="M51" s="176">
        <v>0</v>
      </c>
      <c r="N51" s="176">
        <v>0</v>
      </c>
      <c r="O51" s="176">
        <v>0</v>
      </c>
      <c r="P51" s="176">
        <v>0</v>
      </c>
      <c r="Q51" s="176">
        <v>0</v>
      </c>
      <c r="R51" s="176">
        <v>0</v>
      </c>
      <c r="S51" s="176">
        <v>0</v>
      </c>
      <c r="T51" s="176">
        <v>0</v>
      </c>
      <c r="U51" s="176">
        <v>0</v>
      </c>
      <c r="V51" s="176">
        <v>0</v>
      </c>
      <c r="W51" s="176">
        <v>0</v>
      </c>
      <c r="X51" s="176">
        <v>0</v>
      </c>
      <c r="Y51" s="176">
        <v>0</v>
      </c>
      <c r="Z51" s="176">
        <v>0</v>
      </c>
      <c r="AA51" s="176">
        <v>0</v>
      </c>
      <c r="AB51" s="176">
        <v>0</v>
      </c>
      <c r="AC51" s="115"/>
      <c r="AD51" s="115"/>
      <c r="AE51" s="115"/>
      <c r="AF51" s="115"/>
      <c r="AG51" s="115"/>
    </row>
    <row r="52" spans="1:33" s="101" customFormat="1" ht="15">
      <c r="A52" s="106" t="s">
        <v>81</v>
      </c>
      <c r="C52" s="188"/>
      <c r="D52" s="120"/>
      <c r="E52" s="176">
        <v>0</v>
      </c>
      <c r="F52" s="176">
        <v>0</v>
      </c>
      <c r="G52" s="176">
        <v>0</v>
      </c>
      <c r="H52" s="176">
        <v>0</v>
      </c>
      <c r="I52" s="176">
        <v>0</v>
      </c>
      <c r="J52" s="176">
        <v>0</v>
      </c>
      <c r="K52" s="176">
        <v>0</v>
      </c>
      <c r="L52" s="176">
        <v>0</v>
      </c>
      <c r="M52" s="176">
        <v>0</v>
      </c>
      <c r="N52" s="176">
        <v>0</v>
      </c>
      <c r="O52" s="176">
        <v>0</v>
      </c>
      <c r="P52" s="176">
        <v>0</v>
      </c>
      <c r="Q52" s="176">
        <v>0</v>
      </c>
      <c r="R52" s="176">
        <v>0</v>
      </c>
      <c r="S52" s="176">
        <v>0</v>
      </c>
      <c r="T52" s="176">
        <v>0</v>
      </c>
      <c r="U52" s="176">
        <v>0</v>
      </c>
      <c r="V52" s="176">
        <v>0</v>
      </c>
      <c r="W52" s="176">
        <v>0</v>
      </c>
      <c r="X52" s="176">
        <v>0</v>
      </c>
      <c r="Y52" s="176">
        <v>0</v>
      </c>
      <c r="Z52" s="176">
        <v>0</v>
      </c>
      <c r="AA52" s="176">
        <v>0</v>
      </c>
      <c r="AB52" s="176">
        <v>0</v>
      </c>
      <c r="AC52" s="115"/>
      <c r="AD52" s="115"/>
      <c r="AE52" s="115"/>
      <c r="AF52" s="115"/>
      <c r="AG52" s="115"/>
    </row>
    <row r="53" spans="1:33" s="101" customFormat="1" ht="15">
      <c r="A53" s="106" t="s">
        <v>82</v>
      </c>
      <c r="C53" s="188"/>
      <c r="D53" s="120">
        <v>592131.24</v>
      </c>
      <c r="E53" s="176">
        <v>625723.32</v>
      </c>
      <c r="F53" s="176">
        <v>661992.5</v>
      </c>
      <c r="G53" s="176">
        <v>679138.42</v>
      </c>
      <c r="H53" s="176">
        <v>701556.74</v>
      </c>
      <c r="I53" s="176">
        <v>663637.14</v>
      </c>
      <c r="J53" s="176">
        <v>723995.4</v>
      </c>
      <c r="K53" s="176">
        <v>799638.42</v>
      </c>
      <c r="L53" s="176">
        <v>788705.14</v>
      </c>
      <c r="M53" s="176">
        <v>763833.66</v>
      </c>
      <c r="N53" s="176">
        <v>643389.83</v>
      </c>
      <c r="O53" s="176">
        <v>615333.72</v>
      </c>
      <c r="P53" s="176">
        <v>625095.79</v>
      </c>
      <c r="Q53" s="176">
        <v>664954.11</v>
      </c>
      <c r="R53" s="176">
        <v>697015.91</v>
      </c>
      <c r="S53" s="176">
        <v>692262.22</v>
      </c>
      <c r="T53" s="176">
        <v>713890.2</v>
      </c>
      <c r="U53" s="176">
        <v>794756.87</v>
      </c>
      <c r="V53" s="176">
        <v>549022.99</v>
      </c>
      <c r="W53" s="176">
        <v>422316.52</v>
      </c>
      <c r="X53" s="176">
        <v>387287.1</v>
      </c>
      <c r="Y53" s="176">
        <v>237303.97</v>
      </c>
      <c r="Z53" s="176">
        <v>296614.45</v>
      </c>
      <c r="AA53" s="176">
        <v>315858.79</v>
      </c>
      <c r="AB53" s="176">
        <v>362366.8</v>
      </c>
      <c r="AC53" s="115"/>
      <c r="AD53" s="115"/>
      <c r="AE53" s="115"/>
      <c r="AF53" s="115"/>
      <c r="AG53" s="115"/>
    </row>
    <row r="54" spans="1:33" s="101" customFormat="1" ht="15">
      <c r="A54" s="106" t="s">
        <v>83</v>
      </c>
      <c r="C54" s="188"/>
      <c r="D54" s="120"/>
      <c r="E54" s="176">
        <v>0</v>
      </c>
      <c r="F54" s="176">
        <v>0</v>
      </c>
      <c r="G54" s="176">
        <v>0</v>
      </c>
      <c r="H54" s="176">
        <v>0</v>
      </c>
      <c r="I54" s="176">
        <v>0</v>
      </c>
      <c r="J54" s="176">
        <v>0</v>
      </c>
      <c r="K54" s="176">
        <v>0</v>
      </c>
      <c r="L54" s="176">
        <v>0</v>
      </c>
      <c r="M54" s="176">
        <v>0</v>
      </c>
      <c r="N54" s="176">
        <v>0</v>
      </c>
      <c r="O54" s="176">
        <v>0</v>
      </c>
      <c r="P54" s="176">
        <v>0</v>
      </c>
      <c r="Q54" s="176">
        <v>0</v>
      </c>
      <c r="R54" s="176">
        <v>0</v>
      </c>
      <c r="S54" s="176">
        <v>0</v>
      </c>
      <c r="T54" s="176">
        <v>0</v>
      </c>
      <c r="U54" s="176">
        <v>0</v>
      </c>
      <c r="V54" s="176">
        <v>0</v>
      </c>
      <c r="W54" s="176">
        <v>0</v>
      </c>
      <c r="X54" s="176">
        <v>0</v>
      </c>
      <c r="Y54" s="176">
        <v>0</v>
      </c>
      <c r="Z54" s="176">
        <v>0</v>
      </c>
      <c r="AA54" s="176">
        <v>0</v>
      </c>
      <c r="AB54" s="176">
        <v>0</v>
      </c>
      <c r="AC54" s="115"/>
      <c r="AD54" s="115"/>
      <c r="AE54" s="115"/>
      <c r="AF54" s="115"/>
      <c r="AG54" s="115"/>
    </row>
    <row r="55" spans="1:33" s="101" customFormat="1" ht="15">
      <c r="A55" s="106" t="s">
        <v>84</v>
      </c>
      <c r="C55" s="188" t="s">
        <v>23</v>
      </c>
      <c r="D55" s="120"/>
      <c r="E55" s="176">
        <v>0</v>
      </c>
      <c r="F55" s="176">
        <v>0</v>
      </c>
      <c r="G55" s="176">
        <v>0</v>
      </c>
      <c r="H55" s="176">
        <v>0</v>
      </c>
      <c r="I55" s="176">
        <v>0</v>
      </c>
      <c r="J55" s="176">
        <v>0</v>
      </c>
      <c r="K55" s="176">
        <v>0</v>
      </c>
      <c r="L55" s="176">
        <v>0</v>
      </c>
      <c r="M55" s="176">
        <v>0</v>
      </c>
      <c r="N55" s="176">
        <v>0</v>
      </c>
      <c r="O55" s="176">
        <v>0</v>
      </c>
      <c r="P55" s="176">
        <v>0</v>
      </c>
      <c r="Q55" s="176">
        <v>0</v>
      </c>
      <c r="R55" s="176">
        <v>0</v>
      </c>
      <c r="S55" s="176">
        <v>0</v>
      </c>
      <c r="T55" s="176">
        <v>0</v>
      </c>
      <c r="U55" s="176">
        <v>0</v>
      </c>
      <c r="V55" s="176">
        <v>0</v>
      </c>
      <c r="W55" s="176">
        <v>0</v>
      </c>
      <c r="X55" s="176">
        <v>0</v>
      </c>
      <c r="Y55" s="176">
        <v>0</v>
      </c>
      <c r="Z55" s="176">
        <v>0</v>
      </c>
      <c r="AA55" s="176">
        <v>0</v>
      </c>
      <c r="AB55" s="176">
        <v>0</v>
      </c>
      <c r="AC55" s="115"/>
      <c r="AD55" s="115"/>
      <c r="AE55" s="115"/>
      <c r="AF55" s="115"/>
      <c r="AG55" s="115"/>
    </row>
    <row r="56" spans="1:33" s="101" customFormat="1" ht="15">
      <c r="A56" s="153" t="s">
        <v>87</v>
      </c>
      <c r="B56" s="154"/>
      <c r="C56" s="188" t="s">
        <v>171</v>
      </c>
      <c r="D56" s="155">
        <v>0</v>
      </c>
      <c r="E56" s="175">
        <v>0</v>
      </c>
      <c r="F56" s="175">
        <v>0</v>
      </c>
      <c r="G56" s="175">
        <v>0</v>
      </c>
      <c r="H56" s="175">
        <v>0</v>
      </c>
      <c r="I56" s="175">
        <v>0</v>
      </c>
      <c r="J56" s="175">
        <v>0</v>
      </c>
      <c r="K56" s="175">
        <v>0</v>
      </c>
      <c r="L56" s="175">
        <v>0</v>
      </c>
      <c r="M56" s="175">
        <v>0</v>
      </c>
      <c r="N56" s="175">
        <v>0</v>
      </c>
      <c r="O56" s="175">
        <v>0</v>
      </c>
      <c r="P56" s="175">
        <v>0</v>
      </c>
      <c r="Q56" s="175">
        <v>0</v>
      </c>
      <c r="R56" s="175">
        <v>0</v>
      </c>
      <c r="S56" s="175">
        <v>0</v>
      </c>
      <c r="T56" s="175">
        <v>0</v>
      </c>
      <c r="U56" s="175">
        <v>0</v>
      </c>
      <c r="V56" s="175">
        <v>0</v>
      </c>
      <c r="W56" s="175">
        <v>0</v>
      </c>
      <c r="X56" s="175">
        <v>0</v>
      </c>
      <c r="Y56" s="175">
        <v>0</v>
      </c>
      <c r="Z56" s="175">
        <v>0</v>
      </c>
      <c r="AA56" s="175">
        <v>0</v>
      </c>
      <c r="AB56" s="175">
        <v>0</v>
      </c>
      <c r="AC56" s="115"/>
      <c r="AD56" s="115"/>
      <c r="AE56" s="115"/>
      <c r="AF56" s="115"/>
      <c r="AG56" s="115"/>
    </row>
    <row r="57" spans="1:33" s="101" customFormat="1" ht="15">
      <c r="A57" s="153" t="s">
        <v>88</v>
      </c>
      <c r="B57" s="154"/>
      <c r="C57" s="188"/>
      <c r="D57" s="155">
        <v>0</v>
      </c>
      <c r="E57" s="175">
        <v>0</v>
      </c>
      <c r="F57" s="175">
        <v>0</v>
      </c>
      <c r="G57" s="175">
        <v>0</v>
      </c>
      <c r="H57" s="175">
        <v>0</v>
      </c>
      <c r="I57" s="175">
        <v>0</v>
      </c>
      <c r="J57" s="175">
        <v>0</v>
      </c>
      <c r="K57" s="175">
        <v>0</v>
      </c>
      <c r="L57" s="175">
        <v>0</v>
      </c>
      <c r="M57" s="175">
        <v>0</v>
      </c>
      <c r="N57" s="175">
        <v>0</v>
      </c>
      <c r="O57" s="175">
        <v>0</v>
      </c>
      <c r="P57" s="175">
        <v>0</v>
      </c>
      <c r="Q57" s="175">
        <v>0</v>
      </c>
      <c r="R57" s="175">
        <v>0</v>
      </c>
      <c r="S57" s="175">
        <v>0</v>
      </c>
      <c r="T57" s="175">
        <v>0</v>
      </c>
      <c r="U57" s="175">
        <v>0</v>
      </c>
      <c r="V57" s="175">
        <v>0</v>
      </c>
      <c r="W57" s="175">
        <v>0</v>
      </c>
      <c r="X57" s="175">
        <v>0</v>
      </c>
      <c r="Y57" s="175">
        <v>0</v>
      </c>
      <c r="Z57" s="175">
        <v>0</v>
      </c>
      <c r="AA57" s="175">
        <v>0</v>
      </c>
      <c r="AB57" s="175">
        <v>0</v>
      </c>
      <c r="AC57" s="115"/>
      <c r="AD57" s="115"/>
      <c r="AE57" s="115"/>
      <c r="AF57" s="115"/>
      <c r="AG57" s="115"/>
    </row>
    <row r="58" spans="1:33" s="101" customFormat="1" ht="15">
      <c r="A58" s="153" t="s">
        <v>76</v>
      </c>
      <c r="B58" s="154"/>
      <c r="C58" s="188"/>
      <c r="D58" s="155">
        <v>538970.45</v>
      </c>
      <c r="E58" s="175">
        <v>596739.2</v>
      </c>
      <c r="F58" s="175">
        <v>672014.86</v>
      </c>
      <c r="G58" s="175">
        <v>741620.24</v>
      </c>
      <c r="H58" s="175">
        <v>803726.4</v>
      </c>
      <c r="I58" s="175">
        <v>722402.36</v>
      </c>
      <c r="J58" s="175">
        <v>636586.08</v>
      </c>
      <c r="K58" s="175">
        <v>551944.62</v>
      </c>
      <c r="L58" s="175">
        <v>510805.44</v>
      </c>
      <c r="M58" s="175">
        <v>436481.56</v>
      </c>
      <c r="N58" s="175">
        <v>444397.58</v>
      </c>
      <c r="O58" s="175">
        <v>503929.82</v>
      </c>
      <c r="P58" s="175">
        <v>531198.24</v>
      </c>
      <c r="Q58" s="175">
        <v>602647.11</v>
      </c>
      <c r="R58" s="175">
        <v>586796.45</v>
      </c>
      <c r="S58" s="175">
        <v>481152.94</v>
      </c>
      <c r="T58" s="175">
        <v>443936.24</v>
      </c>
      <c r="U58" s="175">
        <v>457050.74</v>
      </c>
      <c r="V58" s="175">
        <v>396100.39</v>
      </c>
      <c r="W58" s="175">
        <v>299737.65</v>
      </c>
      <c r="X58" s="175">
        <v>269973.52</v>
      </c>
      <c r="Y58" s="175">
        <v>272267.77</v>
      </c>
      <c r="Z58" s="175">
        <v>245712.13</v>
      </c>
      <c r="AA58" s="175">
        <v>277105.47</v>
      </c>
      <c r="AB58" s="175">
        <v>271806.65</v>
      </c>
      <c r="AC58" s="115"/>
      <c r="AD58" s="115"/>
      <c r="AE58" s="115"/>
      <c r="AF58" s="115"/>
      <c r="AG58" s="115"/>
    </row>
    <row r="59" spans="1:33" s="101" customFormat="1" ht="15">
      <c r="A59" s="153" t="s">
        <v>89</v>
      </c>
      <c r="B59" s="154"/>
      <c r="C59" s="188"/>
      <c r="D59" s="155"/>
      <c r="E59" s="175">
        <v>0</v>
      </c>
      <c r="F59" s="175">
        <v>0</v>
      </c>
      <c r="G59" s="175">
        <v>0</v>
      </c>
      <c r="H59" s="175">
        <v>0</v>
      </c>
      <c r="I59" s="175">
        <v>0</v>
      </c>
      <c r="J59" s="175">
        <v>0</v>
      </c>
      <c r="K59" s="175">
        <v>0</v>
      </c>
      <c r="L59" s="175">
        <v>0</v>
      </c>
      <c r="M59" s="175">
        <v>0</v>
      </c>
      <c r="N59" s="175">
        <v>0</v>
      </c>
      <c r="O59" s="175">
        <v>0</v>
      </c>
      <c r="P59" s="175">
        <v>0</v>
      </c>
      <c r="Q59" s="175">
        <v>0</v>
      </c>
      <c r="R59" s="175">
        <v>0</v>
      </c>
      <c r="S59" s="175">
        <v>0</v>
      </c>
      <c r="T59" s="175">
        <v>0</v>
      </c>
      <c r="U59" s="175">
        <v>0</v>
      </c>
      <c r="V59" s="175">
        <v>0</v>
      </c>
      <c r="W59" s="175">
        <v>0</v>
      </c>
      <c r="X59" s="175">
        <v>0</v>
      </c>
      <c r="Y59" s="175">
        <v>0</v>
      </c>
      <c r="Z59" s="175">
        <v>0</v>
      </c>
      <c r="AA59" s="175">
        <v>0</v>
      </c>
      <c r="AB59" s="175">
        <v>0</v>
      </c>
      <c r="AC59" s="115"/>
      <c r="AD59" s="115"/>
      <c r="AE59" s="115"/>
      <c r="AF59" s="115"/>
      <c r="AG59" s="115"/>
    </row>
    <row r="60" spans="1:33" s="101" customFormat="1" ht="15">
      <c r="A60" s="153" t="s">
        <v>90</v>
      </c>
      <c r="B60" s="154"/>
      <c r="C60" s="188" t="s">
        <v>31</v>
      </c>
      <c r="D60" s="155"/>
      <c r="E60" s="175">
        <v>0</v>
      </c>
      <c r="F60" s="175">
        <v>0</v>
      </c>
      <c r="G60" s="175">
        <v>0</v>
      </c>
      <c r="H60" s="175">
        <v>0</v>
      </c>
      <c r="I60" s="175">
        <v>0</v>
      </c>
      <c r="J60" s="175">
        <v>0</v>
      </c>
      <c r="K60" s="175">
        <v>0</v>
      </c>
      <c r="L60" s="175">
        <v>0</v>
      </c>
      <c r="M60" s="175">
        <v>0</v>
      </c>
      <c r="N60" s="175">
        <v>0</v>
      </c>
      <c r="O60" s="175">
        <v>0</v>
      </c>
      <c r="P60" s="175">
        <v>0</v>
      </c>
      <c r="Q60" s="175">
        <v>0</v>
      </c>
      <c r="R60" s="175">
        <v>0</v>
      </c>
      <c r="S60" s="175">
        <v>0</v>
      </c>
      <c r="T60" s="175">
        <v>0</v>
      </c>
      <c r="U60" s="175">
        <v>0</v>
      </c>
      <c r="V60" s="175">
        <v>0</v>
      </c>
      <c r="W60" s="175">
        <v>0</v>
      </c>
      <c r="X60" s="175">
        <v>0</v>
      </c>
      <c r="Y60" s="175">
        <v>0</v>
      </c>
      <c r="Z60" s="175">
        <v>0</v>
      </c>
      <c r="AA60" s="175">
        <v>0</v>
      </c>
      <c r="AB60" s="175">
        <v>0</v>
      </c>
      <c r="AC60" s="115"/>
      <c r="AD60" s="115"/>
      <c r="AE60" s="115"/>
      <c r="AF60" s="115"/>
      <c r="AG60" s="115"/>
    </row>
    <row r="61" spans="1:33" s="101" customFormat="1" ht="15">
      <c r="A61" s="106" t="s">
        <v>91</v>
      </c>
      <c r="C61" s="188" t="s">
        <v>172</v>
      </c>
      <c r="D61" s="120"/>
      <c r="E61" s="176">
        <v>0</v>
      </c>
      <c r="F61" s="176">
        <v>0</v>
      </c>
      <c r="G61" s="176">
        <v>0</v>
      </c>
      <c r="H61" s="176">
        <v>0</v>
      </c>
      <c r="I61" s="176">
        <v>0</v>
      </c>
      <c r="J61" s="176">
        <v>0</v>
      </c>
      <c r="K61" s="176">
        <v>0</v>
      </c>
      <c r="L61" s="176">
        <v>0</v>
      </c>
      <c r="M61" s="176">
        <v>0</v>
      </c>
      <c r="N61" s="176">
        <v>0</v>
      </c>
      <c r="O61" s="176">
        <v>0</v>
      </c>
      <c r="P61" s="176">
        <v>0</v>
      </c>
      <c r="Q61" s="176">
        <v>0</v>
      </c>
      <c r="R61" s="176">
        <v>0</v>
      </c>
      <c r="S61" s="176">
        <v>0</v>
      </c>
      <c r="T61" s="176">
        <v>0</v>
      </c>
      <c r="U61" s="176">
        <v>0</v>
      </c>
      <c r="V61" s="176">
        <v>0</v>
      </c>
      <c r="W61" s="176">
        <v>0</v>
      </c>
      <c r="X61" s="176">
        <v>0</v>
      </c>
      <c r="Y61" s="176">
        <v>0</v>
      </c>
      <c r="Z61" s="176">
        <v>0</v>
      </c>
      <c r="AA61" s="176">
        <v>0</v>
      </c>
      <c r="AB61" s="176">
        <v>0</v>
      </c>
      <c r="AC61" s="115"/>
      <c r="AD61" s="115"/>
      <c r="AE61" s="115"/>
      <c r="AF61" s="115"/>
      <c r="AG61" s="115"/>
    </row>
    <row r="62" spans="1:33" s="101" customFormat="1" ht="15">
      <c r="A62" s="106" t="s">
        <v>92</v>
      </c>
      <c r="C62" s="188"/>
      <c r="D62" s="120"/>
      <c r="E62" s="176">
        <v>0</v>
      </c>
      <c r="F62" s="176">
        <v>0</v>
      </c>
      <c r="G62" s="176">
        <v>0</v>
      </c>
      <c r="H62" s="176">
        <v>0</v>
      </c>
      <c r="I62" s="176">
        <v>0</v>
      </c>
      <c r="J62" s="176">
        <v>0</v>
      </c>
      <c r="K62" s="176">
        <v>0</v>
      </c>
      <c r="L62" s="176">
        <v>0</v>
      </c>
      <c r="M62" s="176">
        <v>0</v>
      </c>
      <c r="N62" s="176">
        <v>0</v>
      </c>
      <c r="O62" s="176">
        <v>0</v>
      </c>
      <c r="P62" s="176">
        <v>0</v>
      </c>
      <c r="Q62" s="176">
        <v>0</v>
      </c>
      <c r="R62" s="176">
        <v>0</v>
      </c>
      <c r="S62" s="176">
        <v>0</v>
      </c>
      <c r="T62" s="176">
        <v>0</v>
      </c>
      <c r="U62" s="176">
        <v>0</v>
      </c>
      <c r="V62" s="176">
        <v>0</v>
      </c>
      <c r="W62" s="176">
        <v>0</v>
      </c>
      <c r="X62" s="176">
        <v>0</v>
      </c>
      <c r="Y62" s="176">
        <v>0</v>
      </c>
      <c r="Z62" s="176">
        <v>0</v>
      </c>
      <c r="AA62" s="176">
        <v>0</v>
      </c>
      <c r="AB62" s="176">
        <v>0</v>
      </c>
      <c r="AC62" s="115"/>
      <c r="AD62" s="115"/>
      <c r="AE62" s="115"/>
      <c r="AF62" s="115"/>
      <c r="AG62" s="115"/>
    </row>
    <row r="63" spans="1:33" s="101" customFormat="1" ht="15">
      <c r="A63" s="106" t="s">
        <v>93</v>
      </c>
      <c r="C63" s="188"/>
      <c r="D63" s="120">
        <v>91591.52</v>
      </c>
      <c r="E63" s="176">
        <v>117655.27</v>
      </c>
      <c r="F63" s="176">
        <v>120864.13</v>
      </c>
      <c r="G63" s="176">
        <v>108764.01</v>
      </c>
      <c r="H63" s="176">
        <v>116006.85</v>
      </c>
      <c r="I63" s="176">
        <v>104243.42</v>
      </c>
      <c r="J63" s="176">
        <v>94047.05</v>
      </c>
      <c r="K63" s="176">
        <v>82053.15</v>
      </c>
      <c r="L63" s="176">
        <v>83311.75</v>
      </c>
      <c r="M63" s="176">
        <v>91261.29</v>
      </c>
      <c r="N63" s="176">
        <v>119968.21</v>
      </c>
      <c r="O63" s="176">
        <v>125138.01</v>
      </c>
      <c r="P63" s="176">
        <v>140849.95</v>
      </c>
      <c r="Q63" s="176">
        <v>157333.79</v>
      </c>
      <c r="R63" s="176">
        <v>173329.52</v>
      </c>
      <c r="S63" s="176">
        <v>171920.63</v>
      </c>
      <c r="T63" s="176">
        <v>158529.05</v>
      </c>
      <c r="U63" s="176">
        <v>87345.64</v>
      </c>
      <c r="V63" s="176">
        <v>78456.26</v>
      </c>
      <c r="W63" s="176">
        <v>93322.52</v>
      </c>
      <c r="X63" s="176">
        <v>92350.69</v>
      </c>
      <c r="Y63" s="176">
        <v>80458.1</v>
      </c>
      <c r="Z63" s="176">
        <v>72674.17</v>
      </c>
      <c r="AA63" s="176">
        <v>73273.74</v>
      </c>
      <c r="AB63" s="176">
        <v>59568.64</v>
      </c>
      <c r="AC63" s="115"/>
      <c r="AD63" s="115"/>
      <c r="AE63" s="115"/>
      <c r="AF63" s="115"/>
      <c r="AG63" s="115"/>
    </row>
    <row r="64" spans="1:33" s="101" customFormat="1" ht="15">
      <c r="A64" s="106" t="s">
        <v>94</v>
      </c>
      <c r="C64" s="188"/>
      <c r="D64" s="120"/>
      <c r="E64" s="176">
        <v>0</v>
      </c>
      <c r="F64" s="176">
        <v>0</v>
      </c>
      <c r="G64" s="176">
        <v>0</v>
      </c>
      <c r="H64" s="176">
        <v>0</v>
      </c>
      <c r="I64" s="176">
        <v>0</v>
      </c>
      <c r="J64" s="176">
        <v>0</v>
      </c>
      <c r="K64" s="176">
        <v>0</v>
      </c>
      <c r="L64" s="176">
        <v>0</v>
      </c>
      <c r="M64" s="176">
        <v>0</v>
      </c>
      <c r="N64" s="176">
        <v>0</v>
      </c>
      <c r="O64" s="176">
        <v>0</v>
      </c>
      <c r="P64" s="176">
        <v>0</v>
      </c>
      <c r="Q64" s="176">
        <v>0</v>
      </c>
      <c r="R64" s="176">
        <v>0</v>
      </c>
      <c r="S64" s="176">
        <v>0</v>
      </c>
      <c r="T64" s="176">
        <v>0</v>
      </c>
      <c r="U64" s="176">
        <v>0</v>
      </c>
      <c r="V64" s="176">
        <v>0</v>
      </c>
      <c r="W64" s="176">
        <v>0</v>
      </c>
      <c r="X64" s="176">
        <v>0</v>
      </c>
      <c r="Y64" s="176">
        <v>0</v>
      </c>
      <c r="Z64" s="176">
        <v>0</v>
      </c>
      <c r="AA64" s="176">
        <v>0</v>
      </c>
      <c r="AB64" s="176">
        <v>0</v>
      </c>
      <c r="AC64" s="115"/>
      <c r="AD64" s="115"/>
      <c r="AE64" s="115"/>
      <c r="AF64" s="115"/>
      <c r="AG64" s="115"/>
    </row>
    <row r="65" spans="1:33" s="101" customFormat="1" ht="15">
      <c r="A65" s="106" t="s">
        <v>95</v>
      </c>
      <c r="C65" s="188" t="s">
        <v>165</v>
      </c>
      <c r="D65" s="120"/>
      <c r="E65" s="176">
        <v>0</v>
      </c>
      <c r="F65" s="176">
        <v>0</v>
      </c>
      <c r="G65" s="176">
        <v>0</v>
      </c>
      <c r="H65" s="176">
        <v>0</v>
      </c>
      <c r="I65" s="176">
        <v>0</v>
      </c>
      <c r="J65" s="176">
        <v>0</v>
      </c>
      <c r="K65" s="176">
        <v>0</v>
      </c>
      <c r="L65" s="176">
        <v>0</v>
      </c>
      <c r="M65" s="176">
        <v>0</v>
      </c>
      <c r="N65" s="176">
        <v>0</v>
      </c>
      <c r="O65" s="176">
        <v>0</v>
      </c>
      <c r="P65" s="176">
        <v>0</v>
      </c>
      <c r="Q65" s="176">
        <v>0</v>
      </c>
      <c r="R65" s="176">
        <v>0</v>
      </c>
      <c r="S65" s="176">
        <v>0</v>
      </c>
      <c r="T65" s="176">
        <v>0</v>
      </c>
      <c r="U65" s="176">
        <v>0</v>
      </c>
      <c r="V65" s="176">
        <v>0</v>
      </c>
      <c r="W65" s="176">
        <v>0</v>
      </c>
      <c r="X65" s="176">
        <v>0</v>
      </c>
      <c r="Y65" s="176">
        <v>0</v>
      </c>
      <c r="Z65" s="176">
        <v>0</v>
      </c>
      <c r="AA65" s="176">
        <v>0</v>
      </c>
      <c r="AB65" s="176">
        <v>0</v>
      </c>
      <c r="AC65" s="115"/>
      <c r="AD65" s="115"/>
      <c r="AE65" s="115"/>
      <c r="AF65" s="115"/>
      <c r="AG65" s="115"/>
    </row>
    <row r="66" spans="1:33" s="101" customFormat="1" ht="15">
      <c r="A66" s="153" t="s">
        <v>96</v>
      </c>
      <c r="B66" s="154"/>
      <c r="C66" s="188" t="s">
        <v>173</v>
      </c>
      <c r="D66" s="155"/>
      <c r="E66" s="175">
        <v>0</v>
      </c>
      <c r="F66" s="175">
        <v>0</v>
      </c>
      <c r="G66" s="175">
        <v>0</v>
      </c>
      <c r="H66" s="175">
        <v>0</v>
      </c>
      <c r="I66" s="175">
        <v>0</v>
      </c>
      <c r="J66" s="175">
        <v>0</v>
      </c>
      <c r="K66" s="175">
        <v>0</v>
      </c>
      <c r="L66" s="175">
        <v>0</v>
      </c>
      <c r="M66" s="175">
        <v>0</v>
      </c>
      <c r="N66" s="175">
        <v>0</v>
      </c>
      <c r="O66" s="175">
        <v>0</v>
      </c>
      <c r="P66" s="175">
        <v>0</v>
      </c>
      <c r="Q66" s="175">
        <v>0</v>
      </c>
      <c r="R66" s="175">
        <v>0</v>
      </c>
      <c r="S66" s="175">
        <v>0</v>
      </c>
      <c r="T66" s="175">
        <v>0</v>
      </c>
      <c r="U66" s="175">
        <v>0</v>
      </c>
      <c r="V66" s="175">
        <v>0</v>
      </c>
      <c r="W66" s="175">
        <v>0</v>
      </c>
      <c r="X66" s="175">
        <v>0</v>
      </c>
      <c r="Y66" s="175">
        <v>0</v>
      </c>
      <c r="Z66" s="175">
        <v>0</v>
      </c>
      <c r="AA66" s="175">
        <v>0</v>
      </c>
      <c r="AB66" s="175">
        <v>0</v>
      </c>
      <c r="AC66" s="115"/>
      <c r="AD66" s="115"/>
      <c r="AE66" s="115"/>
      <c r="AF66" s="115"/>
      <c r="AG66" s="115"/>
    </row>
    <row r="67" spans="1:33" s="101" customFormat="1" ht="15">
      <c r="A67" s="153" t="s">
        <v>97</v>
      </c>
      <c r="B67" s="154"/>
      <c r="C67" s="188"/>
      <c r="D67" s="155"/>
      <c r="E67" s="175">
        <v>0</v>
      </c>
      <c r="F67" s="175">
        <v>0</v>
      </c>
      <c r="G67" s="175">
        <v>0</v>
      </c>
      <c r="H67" s="175">
        <v>0</v>
      </c>
      <c r="I67" s="175">
        <v>0</v>
      </c>
      <c r="J67" s="175">
        <v>0</v>
      </c>
      <c r="K67" s="175">
        <v>0</v>
      </c>
      <c r="L67" s="175">
        <v>0</v>
      </c>
      <c r="M67" s="175">
        <v>0</v>
      </c>
      <c r="N67" s="175">
        <v>0</v>
      </c>
      <c r="O67" s="175">
        <v>0</v>
      </c>
      <c r="P67" s="175">
        <v>0</v>
      </c>
      <c r="Q67" s="175">
        <v>0</v>
      </c>
      <c r="R67" s="175">
        <v>0</v>
      </c>
      <c r="S67" s="175">
        <v>0</v>
      </c>
      <c r="T67" s="175">
        <v>0</v>
      </c>
      <c r="U67" s="175">
        <v>0</v>
      </c>
      <c r="V67" s="175">
        <v>0</v>
      </c>
      <c r="W67" s="175">
        <v>0</v>
      </c>
      <c r="X67" s="175">
        <v>0</v>
      </c>
      <c r="Y67" s="175">
        <v>0</v>
      </c>
      <c r="Z67" s="175">
        <v>0</v>
      </c>
      <c r="AA67" s="175">
        <v>0</v>
      </c>
      <c r="AB67" s="175">
        <v>0</v>
      </c>
      <c r="AC67" s="115"/>
      <c r="AD67" s="115"/>
      <c r="AE67" s="115"/>
      <c r="AF67" s="115"/>
      <c r="AG67" s="115"/>
    </row>
    <row r="68" spans="1:33" s="101" customFormat="1" ht="15">
      <c r="A68" s="153" t="s">
        <v>98</v>
      </c>
      <c r="B68" s="154"/>
      <c r="C68" s="188"/>
      <c r="D68" s="155">
        <v>32078.07</v>
      </c>
      <c r="E68" s="175">
        <v>35995.95</v>
      </c>
      <c r="F68" s="175">
        <v>34164.48</v>
      </c>
      <c r="G68" s="175">
        <v>41582.02</v>
      </c>
      <c r="H68" s="175">
        <v>41743.98</v>
      </c>
      <c r="I68" s="175">
        <v>46348.81</v>
      </c>
      <c r="J68" s="175">
        <v>47190.13</v>
      </c>
      <c r="K68" s="175">
        <v>42522.95</v>
      </c>
      <c r="L68" s="175">
        <v>39554.77</v>
      </c>
      <c r="M68" s="175">
        <v>32339.48</v>
      </c>
      <c r="N68" s="175">
        <v>38653.3</v>
      </c>
      <c r="O68" s="175">
        <v>32449.86</v>
      </c>
      <c r="P68" s="175">
        <v>30184.69</v>
      </c>
      <c r="Q68" s="175">
        <v>33596.89</v>
      </c>
      <c r="R68" s="175">
        <v>38092.77</v>
      </c>
      <c r="S68" s="175">
        <v>37807.69</v>
      </c>
      <c r="T68" s="175">
        <v>41117.33</v>
      </c>
      <c r="U68" s="175">
        <v>45570.26</v>
      </c>
      <c r="V68" s="175">
        <v>44212.14</v>
      </c>
      <c r="W68" s="175">
        <v>44965.99</v>
      </c>
      <c r="X68" s="175">
        <v>34610.05</v>
      </c>
      <c r="Y68" s="175">
        <v>21012</v>
      </c>
      <c r="Z68" s="175">
        <v>20868.79</v>
      </c>
      <c r="AA68" s="175">
        <v>21059.87</v>
      </c>
      <c r="AB68" s="175">
        <v>16985.4</v>
      </c>
      <c r="AC68" s="115"/>
      <c r="AD68" s="115"/>
      <c r="AE68" s="115"/>
      <c r="AF68" s="115"/>
      <c r="AG68" s="115"/>
    </row>
    <row r="69" spans="1:33" s="101" customFormat="1" ht="15">
      <c r="A69" s="153" t="s">
        <v>99</v>
      </c>
      <c r="B69" s="154"/>
      <c r="C69" s="188"/>
      <c r="D69" s="155"/>
      <c r="E69" s="175">
        <v>0</v>
      </c>
      <c r="F69" s="175">
        <v>0</v>
      </c>
      <c r="G69" s="175">
        <v>0</v>
      </c>
      <c r="H69" s="175">
        <v>0</v>
      </c>
      <c r="I69" s="175">
        <v>0</v>
      </c>
      <c r="J69" s="175">
        <v>0</v>
      </c>
      <c r="K69" s="175">
        <v>0</v>
      </c>
      <c r="L69" s="175">
        <v>0</v>
      </c>
      <c r="M69" s="175">
        <v>0</v>
      </c>
      <c r="N69" s="175">
        <v>0</v>
      </c>
      <c r="O69" s="175">
        <v>0</v>
      </c>
      <c r="P69" s="175">
        <v>0</v>
      </c>
      <c r="Q69" s="175">
        <v>0</v>
      </c>
      <c r="R69" s="175">
        <v>0</v>
      </c>
      <c r="S69" s="175">
        <v>0</v>
      </c>
      <c r="T69" s="175">
        <v>0</v>
      </c>
      <c r="U69" s="175">
        <v>0</v>
      </c>
      <c r="V69" s="175">
        <v>0</v>
      </c>
      <c r="W69" s="175">
        <v>0</v>
      </c>
      <c r="X69" s="175">
        <v>0</v>
      </c>
      <c r="Y69" s="175">
        <v>0</v>
      </c>
      <c r="Z69" s="175">
        <v>0</v>
      </c>
      <c r="AA69" s="175">
        <v>0</v>
      </c>
      <c r="AB69" s="175">
        <v>0</v>
      </c>
      <c r="AC69" s="115"/>
      <c r="AD69" s="115"/>
      <c r="AE69" s="115"/>
      <c r="AF69" s="115"/>
      <c r="AG69" s="115"/>
    </row>
    <row r="70" spans="1:33" s="101" customFormat="1" ht="15">
      <c r="A70" s="153" t="s">
        <v>100</v>
      </c>
      <c r="B70" s="154"/>
      <c r="C70" s="188" t="s">
        <v>37</v>
      </c>
      <c r="D70" s="155"/>
      <c r="E70" s="175">
        <v>0</v>
      </c>
      <c r="F70" s="175">
        <v>0</v>
      </c>
      <c r="G70" s="175">
        <v>0</v>
      </c>
      <c r="H70" s="175">
        <v>0</v>
      </c>
      <c r="I70" s="175">
        <v>0</v>
      </c>
      <c r="J70" s="175">
        <v>0</v>
      </c>
      <c r="K70" s="175">
        <v>0</v>
      </c>
      <c r="L70" s="175">
        <v>0</v>
      </c>
      <c r="M70" s="175">
        <v>0</v>
      </c>
      <c r="N70" s="175">
        <v>0</v>
      </c>
      <c r="O70" s="175">
        <v>0</v>
      </c>
      <c r="P70" s="175">
        <v>0</v>
      </c>
      <c r="Q70" s="175">
        <v>0</v>
      </c>
      <c r="R70" s="175">
        <v>0</v>
      </c>
      <c r="S70" s="175">
        <v>0</v>
      </c>
      <c r="T70" s="175">
        <v>0</v>
      </c>
      <c r="U70" s="175">
        <v>0</v>
      </c>
      <c r="V70" s="175">
        <v>0</v>
      </c>
      <c r="W70" s="175">
        <v>0</v>
      </c>
      <c r="X70" s="175">
        <v>0</v>
      </c>
      <c r="Y70" s="175">
        <v>0</v>
      </c>
      <c r="Z70" s="175">
        <v>0</v>
      </c>
      <c r="AA70" s="175">
        <v>0</v>
      </c>
      <c r="AB70" s="175">
        <v>0</v>
      </c>
      <c r="AC70" s="115"/>
      <c r="AD70" s="115"/>
      <c r="AE70" s="115"/>
      <c r="AF70" s="115"/>
      <c r="AG70" s="115"/>
    </row>
    <row r="71" spans="1:33" s="101" customFormat="1" ht="15">
      <c r="A71" s="106" t="s">
        <v>101</v>
      </c>
      <c r="C71" s="188" t="s">
        <v>174</v>
      </c>
      <c r="D71" s="120"/>
      <c r="E71" s="176">
        <v>0</v>
      </c>
      <c r="F71" s="176">
        <v>0</v>
      </c>
      <c r="G71" s="176">
        <v>0</v>
      </c>
      <c r="H71" s="176">
        <v>0</v>
      </c>
      <c r="I71" s="176">
        <v>0</v>
      </c>
      <c r="J71" s="176">
        <v>0</v>
      </c>
      <c r="K71" s="176">
        <v>0</v>
      </c>
      <c r="L71" s="176">
        <v>0</v>
      </c>
      <c r="M71" s="176">
        <v>0</v>
      </c>
      <c r="N71" s="176">
        <v>0</v>
      </c>
      <c r="O71" s="176">
        <v>0</v>
      </c>
      <c r="P71" s="176">
        <v>0</v>
      </c>
      <c r="Q71" s="176">
        <v>0</v>
      </c>
      <c r="R71" s="176">
        <v>0</v>
      </c>
      <c r="S71" s="176">
        <v>0</v>
      </c>
      <c r="T71" s="176">
        <v>0</v>
      </c>
      <c r="U71" s="176">
        <v>0</v>
      </c>
      <c r="V71" s="176">
        <v>0</v>
      </c>
      <c r="W71" s="176">
        <v>0</v>
      </c>
      <c r="X71" s="176">
        <v>0</v>
      </c>
      <c r="Y71" s="176">
        <v>0</v>
      </c>
      <c r="Z71" s="176">
        <v>0</v>
      </c>
      <c r="AA71" s="176">
        <v>0</v>
      </c>
      <c r="AB71" s="176">
        <v>0</v>
      </c>
      <c r="AC71" s="115"/>
      <c r="AD71" s="115"/>
      <c r="AE71" s="115"/>
      <c r="AF71" s="115"/>
      <c r="AG71" s="115"/>
    </row>
    <row r="72" spans="1:33" s="101" customFormat="1" ht="15">
      <c r="A72" s="106" t="s">
        <v>102</v>
      </c>
      <c r="C72" s="188"/>
      <c r="D72" s="120"/>
      <c r="E72" s="176">
        <v>0</v>
      </c>
      <c r="F72" s="176">
        <v>0</v>
      </c>
      <c r="G72" s="176">
        <v>0</v>
      </c>
      <c r="H72" s="176">
        <v>0</v>
      </c>
      <c r="I72" s="176">
        <v>0</v>
      </c>
      <c r="J72" s="176">
        <v>0</v>
      </c>
      <c r="K72" s="176">
        <v>0</v>
      </c>
      <c r="L72" s="176">
        <v>0</v>
      </c>
      <c r="M72" s="176">
        <v>0</v>
      </c>
      <c r="N72" s="176">
        <v>0</v>
      </c>
      <c r="O72" s="176">
        <v>0</v>
      </c>
      <c r="P72" s="176">
        <v>0</v>
      </c>
      <c r="Q72" s="176">
        <v>0</v>
      </c>
      <c r="R72" s="176">
        <v>0</v>
      </c>
      <c r="S72" s="176">
        <v>0</v>
      </c>
      <c r="T72" s="176">
        <v>0</v>
      </c>
      <c r="U72" s="176">
        <v>0</v>
      </c>
      <c r="V72" s="176">
        <v>0</v>
      </c>
      <c r="W72" s="176">
        <v>0</v>
      </c>
      <c r="X72" s="176">
        <v>0</v>
      </c>
      <c r="Y72" s="176">
        <v>0</v>
      </c>
      <c r="Z72" s="176">
        <v>0</v>
      </c>
      <c r="AA72" s="176">
        <v>0</v>
      </c>
      <c r="AB72" s="176">
        <v>0</v>
      </c>
      <c r="AC72" s="115"/>
      <c r="AD72" s="115"/>
      <c r="AE72" s="115"/>
      <c r="AF72" s="115"/>
      <c r="AG72" s="115"/>
    </row>
    <row r="73" spans="1:33" s="101" customFormat="1" ht="15">
      <c r="A73" s="106" t="s">
        <v>103</v>
      </c>
      <c r="C73" s="188"/>
      <c r="D73" s="120">
        <v>790018.54</v>
      </c>
      <c r="E73" s="176">
        <v>854287.74</v>
      </c>
      <c r="F73" s="176">
        <v>927261.61</v>
      </c>
      <c r="G73" s="176">
        <v>934004.74</v>
      </c>
      <c r="H73" s="176">
        <v>945442.88</v>
      </c>
      <c r="I73" s="176">
        <v>940960.77</v>
      </c>
      <c r="J73" s="176">
        <v>968150.12</v>
      </c>
      <c r="K73" s="176">
        <v>981203.71</v>
      </c>
      <c r="L73" s="176">
        <v>865374.73</v>
      </c>
      <c r="M73" s="176">
        <v>535414.29</v>
      </c>
      <c r="N73" s="176">
        <v>563566.2</v>
      </c>
      <c r="O73" s="176">
        <v>558111.09</v>
      </c>
      <c r="P73" s="176">
        <v>551892.43</v>
      </c>
      <c r="Q73" s="176">
        <v>614692.28</v>
      </c>
      <c r="R73" s="176">
        <v>684938.25</v>
      </c>
      <c r="S73" s="176">
        <v>754459.1</v>
      </c>
      <c r="T73" s="176">
        <v>761694.04</v>
      </c>
      <c r="U73" s="176">
        <v>840486.01</v>
      </c>
      <c r="V73" s="176">
        <v>845831.97</v>
      </c>
      <c r="W73" s="176">
        <v>749969.94</v>
      </c>
      <c r="X73" s="176">
        <v>545402.48</v>
      </c>
      <c r="Y73" s="176">
        <v>275715.74</v>
      </c>
      <c r="Z73" s="176">
        <v>205169.77</v>
      </c>
      <c r="AA73" s="176">
        <v>207881.35</v>
      </c>
      <c r="AB73" s="176">
        <v>216353.35</v>
      </c>
      <c r="AC73" s="115"/>
      <c r="AD73" s="115"/>
      <c r="AE73" s="115"/>
      <c r="AF73" s="115"/>
      <c r="AG73" s="115"/>
    </row>
    <row r="74" spans="1:33" s="101" customFormat="1" ht="15">
      <c r="A74" s="106" t="s">
        <v>104</v>
      </c>
      <c r="C74" s="188"/>
      <c r="D74" s="120"/>
      <c r="E74" s="176">
        <v>0</v>
      </c>
      <c r="F74" s="176">
        <v>0</v>
      </c>
      <c r="G74" s="176">
        <v>0</v>
      </c>
      <c r="H74" s="176">
        <v>0</v>
      </c>
      <c r="I74" s="176">
        <v>0</v>
      </c>
      <c r="J74" s="176">
        <v>0</v>
      </c>
      <c r="K74" s="176">
        <v>0</v>
      </c>
      <c r="L74" s="176">
        <v>0</v>
      </c>
      <c r="M74" s="176">
        <v>0</v>
      </c>
      <c r="N74" s="176">
        <v>0</v>
      </c>
      <c r="O74" s="176">
        <v>0</v>
      </c>
      <c r="P74" s="176">
        <v>0</v>
      </c>
      <c r="Q74" s="176">
        <v>0</v>
      </c>
      <c r="R74" s="176">
        <v>0</v>
      </c>
      <c r="S74" s="176">
        <v>0</v>
      </c>
      <c r="T74" s="176">
        <v>0</v>
      </c>
      <c r="U74" s="176">
        <v>0</v>
      </c>
      <c r="V74" s="176">
        <v>0</v>
      </c>
      <c r="W74" s="176">
        <v>0</v>
      </c>
      <c r="X74" s="176">
        <v>0</v>
      </c>
      <c r="Y74" s="176">
        <v>0</v>
      </c>
      <c r="Z74" s="176">
        <v>0</v>
      </c>
      <c r="AA74" s="176">
        <v>0</v>
      </c>
      <c r="AB74" s="176">
        <v>0</v>
      </c>
      <c r="AC74" s="115"/>
      <c r="AD74" s="115"/>
      <c r="AE74" s="115"/>
      <c r="AF74" s="115"/>
      <c r="AG74" s="115"/>
    </row>
    <row r="75" spans="1:33" s="101" customFormat="1" ht="15">
      <c r="A75" s="106" t="s">
        <v>105</v>
      </c>
      <c r="C75" s="188" t="s">
        <v>27</v>
      </c>
      <c r="D75" s="120"/>
      <c r="E75" s="176">
        <v>0</v>
      </c>
      <c r="F75" s="176">
        <v>0</v>
      </c>
      <c r="G75" s="176">
        <v>0</v>
      </c>
      <c r="H75" s="176">
        <v>0</v>
      </c>
      <c r="I75" s="176">
        <v>0</v>
      </c>
      <c r="J75" s="176">
        <v>0</v>
      </c>
      <c r="K75" s="176">
        <v>0</v>
      </c>
      <c r="L75" s="176">
        <v>0</v>
      </c>
      <c r="M75" s="176">
        <v>0</v>
      </c>
      <c r="N75" s="176">
        <v>0</v>
      </c>
      <c r="O75" s="176">
        <v>0</v>
      </c>
      <c r="P75" s="176">
        <v>0</v>
      </c>
      <c r="Q75" s="176">
        <v>0</v>
      </c>
      <c r="R75" s="176">
        <v>0</v>
      </c>
      <c r="S75" s="176">
        <v>0</v>
      </c>
      <c r="T75" s="176">
        <v>0</v>
      </c>
      <c r="U75" s="176">
        <v>0</v>
      </c>
      <c r="V75" s="176">
        <v>0</v>
      </c>
      <c r="W75" s="176">
        <v>0</v>
      </c>
      <c r="X75" s="176">
        <v>0</v>
      </c>
      <c r="Y75" s="176">
        <v>0</v>
      </c>
      <c r="Z75" s="176">
        <v>0</v>
      </c>
      <c r="AA75" s="176">
        <v>0</v>
      </c>
      <c r="AB75" s="176">
        <v>0</v>
      </c>
      <c r="AC75" s="115"/>
      <c r="AD75" s="115"/>
      <c r="AE75" s="115"/>
      <c r="AF75" s="115"/>
      <c r="AG75" s="115"/>
    </row>
    <row r="76" spans="1:33" s="101" customFormat="1" ht="15">
      <c r="A76" s="153" t="s">
        <v>106</v>
      </c>
      <c r="B76" s="154"/>
      <c r="C76" s="188" t="s">
        <v>175</v>
      </c>
      <c r="D76" s="155"/>
      <c r="E76" s="175">
        <v>0</v>
      </c>
      <c r="F76" s="175">
        <v>0</v>
      </c>
      <c r="G76" s="175">
        <v>0</v>
      </c>
      <c r="H76" s="175">
        <v>0</v>
      </c>
      <c r="I76" s="175">
        <v>0</v>
      </c>
      <c r="J76" s="175">
        <v>0</v>
      </c>
      <c r="K76" s="175">
        <v>0</v>
      </c>
      <c r="L76" s="175">
        <v>0</v>
      </c>
      <c r="M76" s="175">
        <v>0</v>
      </c>
      <c r="N76" s="175">
        <v>0</v>
      </c>
      <c r="O76" s="175">
        <v>0</v>
      </c>
      <c r="P76" s="175">
        <v>0</v>
      </c>
      <c r="Q76" s="175">
        <v>0</v>
      </c>
      <c r="R76" s="175">
        <v>0</v>
      </c>
      <c r="S76" s="175">
        <v>0</v>
      </c>
      <c r="T76" s="175">
        <v>0</v>
      </c>
      <c r="U76" s="175">
        <v>0</v>
      </c>
      <c r="V76" s="175">
        <v>0</v>
      </c>
      <c r="W76" s="175">
        <v>0</v>
      </c>
      <c r="X76" s="175">
        <v>0</v>
      </c>
      <c r="Y76" s="175">
        <v>0</v>
      </c>
      <c r="Z76" s="175">
        <v>0</v>
      </c>
      <c r="AA76" s="175">
        <v>0</v>
      </c>
      <c r="AB76" s="175">
        <v>0</v>
      </c>
      <c r="AC76" s="115"/>
      <c r="AD76" s="115"/>
      <c r="AE76" s="115"/>
      <c r="AF76" s="115"/>
      <c r="AG76" s="115"/>
    </row>
    <row r="77" spans="1:33" s="101" customFormat="1" ht="15">
      <c r="A77" s="153" t="s">
        <v>107</v>
      </c>
      <c r="B77" s="154"/>
      <c r="C77" s="188"/>
      <c r="D77" s="155"/>
      <c r="E77" s="175">
        <v>0</v>
      </c>
      <c r="F77" s="175">
        <v>0</v>
      </c>
      <c r="G77" s="175">
        <v>0</v>
      </c>
      <c r="H77" s="175">
        <v>0</v>
      </c>
      <c r="I77" s="175">
        <v>0</v>
      </c>
      <c r="J77" s="175">
        <v>0</v>
      </c>
      <c r="K77" s="175">
        <v>0</v>
      </c>
      <c r="L77" s="175">
        <v>0</v>
      </c>
      <c r="M77" s="175">
        <v>0</v>
      </c>
      <c r="N77" s="175">
        <v>0</v>
      </c>
      <c r="O77" s="175">
        <v>0</v>
      </c>
      <c r="P77" s="175">
        <v>0</v>
      </c>
      <c r="Q77" s="175">
        <v>0</v>
      </c>
      <c r="R77" s="175">
        <v>0</v>
      </c>
      <c r="S77" s="175">
        <v>0</v>
      </c>
      <c r="T77" s="175">
        <v>0</v>
      </c>
      <c r="U77" s="175">
        <v>0</v>
      </c>
      <c r="V77" s="175">
        <v>0</v>
      </c>
      <c r="W77" s="175">
        <v>0</v>
      </c>
      <c r="X77" s="175">
        <v>0</v>
      </c>
      <c r="Y77" s="175">
        <v>0</v>
      </c>
      <c r="Z77" s="175">
        <v>0</v>
      </c>
      <c r="AA77" s="175">
        <v>0</v>
      </c>
      <c r="AB77" s="175">
        <v>0</v>
      </c>
      <c r="AC77" s="115"/>
      <c r="AD77" s="115"/>
      <c r="AE77" s="115"/>
      <c r="AF77" s="115"/>
      <c r="AG77" s="115"/>
    </row>
    <row r="78" spans="1:33" s="101" customFormat="1" ht="15">
      <c r="A78" s="153" t="s">
        <v>108</v>
      </c>
      <c r="B78" s="154"/>
      <c r="C78" s="188"/>
      <c r="D78" s="155">
        <v>1099764.63</v>
      </c>
      <c r="E78" s="175">
        <v>1107340.49</v>
      </c>
      <c r="F78" s="175">
        <v>1072548.44</v>
      </c>
      <c r="G78" s="175">
        <v>1182833.97</v>
      </c>
      <c r="H78" s="175">
        <v>1114808.89</v>
      </c>
      <c r="I78" s="175">
        <v>1006158.67</v>
      </c>
      <c r="J78" s="175">
        <v>1098957.52</v>
      </c>
      <c r="K78" s="175">
        <v>1146610.95</v>
      </c>
      <c r="L78" s="175">
        <v>1124627.85</v>
      </c>
      <c r="M78" s="175">
        <v>1034184</v>
      </c>
      <c r="N78" s="175">
        <v>1004264.52</v>
      </c>
      <c r="O78" s="175">
        <v>1106419.84</v>
      </c>
      <c r="P78" s="175">
        <v>1124311.04</v>
      </c>
      <c r="Q78" s="175">
        <v>1070965.29</v>
      </c>
      <c r="R78" s="175">
        <v>1026260.01</v>
      </c>
      <c r="S78" s="175">
        <v>1135301.95</v>
      </c>
      <c r="T78" s="175">
        <v>1242983.43</v>
      </c>
      <c r="U78" s="175">
        <v>1060764.71</v>
      </c>
      <c r="V78" s="175">
        <v>1145988.25</v>
      </c>
      <c r="W78" s="175">
        <v>1211196.28</v>
      </c>
      <c r="X78" s="175">
        <v>1232544.57</v>
      </c>
      <c r="Y78" s="175">
        <v>1048315.85</v>
      </c>
      <c r="Z78" s="175">
        <v>821976.64</v>
      </c>
      <c r="AA78" s="175">
        <v>925072.05</v>
      </c>
      <c r="AB78" s="175">
        <v>657775.29</v>
      </c>
      <c r="AC78" s="115"/>
      <c r="AD78" s="115"/>
      <c r="AE78" s="115"/>
      <c r="AF78" s="115"/>
      <c r="AG78" s="115"/>
    </row>
    <row r="79" spans="1:33" s="101" customFormat="1" ht="15">
      <c r="A79" s="153" t="s">
        <v>109</v>
      </c>
      <c r="B79" s="154"/>
      <c r="C79" s="188"/>
      <c r="D79" s="155"/>
      <c r="E79" s="175">
        <v>0</v>
      </c>
      <c r="F79" s="175">
        <v>0</v>
      </c>
      <c r="G79" s="175">
        <v>0</v>
      </c>
      <c r="H79" s="175">
        <v>0</v>
      </c>
      <c r="I79" s="175">
        <v>0</v>
      </c>
      <c r="J79" s="175">
        <v>0</v>
      </c>
      <c r="K79" s="175">
        <v>0</v>
      </c>
      <c r="L79" s="175">
        <v>0</v>
      </c>
      <c r="M79" s="175">
        <v>0</v>
      </c>
      <c r="N79" s="175">
        <v>0</v>
      </c>
      <c r="O79" s="175">
        <v>0</v>
      </c>
      <c r="P79" s="175">
        <v>0</v>
      </c>
      <c r="Q79" s="175">
        <v>0</v>
      </c>
      <c r="R79" s="175">
        <v>0</v>
      </c>
      <c r="S79" s="175">
        <v>0</v>
      </c>
      <c r="T79" s="175">
        <v>0</v>
      </c>
      <c r="U79" s="175">
        <v>0</v>
      </c>
      <c r="V79" s="175">
        <v>0</v>
      </c>
      <c r="W79" s="175">
        <v>0</v>
      </c>
      <c r="X79" s="175">
        <v>0</v>
      </c>
      <c r="Y79" s="175">
        <v>0</v>
      </c>
      <c r="Z79" s="175">
        <v>0</v>
      </c>
      <c r="AA79" s="175">
        <v>0</v>
      </c>
      <c r="AB79" s="175">
        <v>0</v>
      </c>
      <c r="AC79" s="115"/>
      <c r="AD79" s="115"/>
      <c r="AE79" s="115"/>
      <c r="AF79" s="115"/>
      <c r="AG79" s="115"/>
    </row>
    <row r="80" spans="1:33" s="101" customFormat="1" ht="15">
      <c r="A80" s="153" t="s">
        <v>110</v>
      </c>
      <c r="B80" s="154"/>
      <c r="C80" s="188" t="s">
        <v>29</v>
      </c>
      <c r="D80" s="155"/>
      <c r="E80" s="175">
        <v>0</v>
      </c>
      <c r="F80" s="175">
        <v>0</v>
      </c>
      <c r="G80" s="175">
        <v>0</v>
      </c>
      <c r="H80" s="175">
        <v>0</v>
      </c>
      <c r="I80" s="175">
        <v>0</v>
      </c>
      <c r="J80" s="175">
        <v>0</v>
      </c>
      <c r="K80" s="175">
        <v>0</v>
      </c>
      <c r="L80" s="175">
        <v>0</v>
      </c>
      <c r="M80" s="175">
        <v>0</v>
      </c>
      <c r="N80" s="175">
        <v>0</v>
      </c>
      <c r="O80" s="175">
        <v>0</v>
      </c>
      <c r="P80" s="175">
        <v>0</v>
      </c>
      <c r="Q80" s="175">
        <v>0</v>
      </c>
      <c r="R80" s="175">
        <v>0</v>
      </c>
      <c r="S80" s="175">
        <v>0</v>
      </c>
      <c r="T80" s="175">
        <v>0</v>
      </c>
      <c r="U80" s="175">
        <v>0</v>
      </c>
      <c r="V80" s="175">
        <v>0</v>
      </c>
      <c r="W80" s="175">
        <v>0</v>
      </c>
      <c r="X80" s="175">
        <v>0</v>
      </c>
      <c r="Y80" s="175">
        <v>0</v>
      </c>
      <c r="Z80" s="175">
        <v>0</v>
      </c>
      <c r="AA80" s="175">
        <v>0</v>
      </c>
      <c r="AB80" s="175">
        <v>0</v>
      </c>
      <c r="AC80" s="115"/>
      <c r="AD80" s="115"/>
      <c r="AE80" s="115"/>
      <c r="AF80" s="115"/>
      <c r="AG80" s="115"/>
    </row>
    <row r="81" spans="1:33" s="101" customFormat="1" ht="15">
      <c r="A81" s="106" t="s">
        <v>111</v>
      </c>
      <c r="C81" s="188" t="s">
        <v>176</v>
      </c>
      <c r="D81" s="120"/>
      <c r="E81" s="176">
        <v>0</v>
      </c>
      <c r="F81" s="176">
        <v>0</v>
      </c>
      <c r="G81" s="176">
        <v>0</v>
      </c>
      <c r="H81" s="176">
        <v>0</v>
      </c>
      <c r="I81" s="176">
        <v>0</v>
      </c>
      <c r="J81" s="176">
        <v>0</v>
      </c>
      <c r="K81" s="176">
        <v>0</v>
      </c>
      <c r="L81" s="176">
        <v>0</v>
      </c>
      <c r="M81" s="176">
        <v>0</v>
      </c>
      <c r="N81" s="176">
        <v>0</v>
      </c>
      <c r="O81" s="176">
        <v>0</v>
      </c>
      <c r="P81" s="176">
        <v>0</v>
      </c>
      <c r="Q81" s="176">
        <v>0</v>
      </c>
      <c r="R81" s="176">
        <v>0</v>
      </c>
      <c r="S81" s="176">
        <v>0</v>
      </c>
      <c r="T81" s="176">
        <v>0</v>
      </c>
      <c r="U81" s="176">
        <v>0</v>
      </c>
      <c r="V81" s="176">
        <v>0</v>
      </c>
      <c r="W81" s="176">
        <v>0</v>
      </c>
      <c r="X81" s="176">
        <v>0</v>
      </c>
      <c r="Y81" s="176">
        <v>0</v>
      </c>
      <c r="Z81" s="176">
        <v>0</v>
      </c>
      <c r="AA81" s="176">
        <v>0</v>
      </c>
      <c r="AB81" s="176">
        <v>0</v>
      </c>
      <c r="AC81" s="115"/>
      <c r="AD81" s="115"/>
      <c r="AE81" s="115"/>
      <c r="AF81" s="115"/>
      <c r="AG81" s="115"/>
    </row>
    <row r="82" spans="1:33" s="101" customFormat="1" ht="15">
      <c r="A82" s="106" t="s">
        <v>112</v>
      </c>
      <c r="C82" s="188"/>
      <c r="D82" s="120"/>
      <c r="E82" s="176">
        <v>0</v>
      </c>
      <c r="F82" s="176">
        <v>0</v>
      </c>
      <c r="G82" s="176">
        <v>0</v>
      </c>
      <c r="H82" s="176">
        <v>0</v>
      </c>
      <c r="I82" s="176">
        <v>0</v>
      </c>
      <c r="J82" s="176">
        <v>0</v>
      </c>
      <c r="K82" s="176">
        <v>0</v>
      </c>
      <c r="L82" s="176">
        <v>0</v>
      </c>
      <c r="M82" s="176">
        <v>0</v>
      </c>
      <c r="N82" s="176">
        <v>0</v>
      </c>
      <c r="O82" s="176">
        <v>0</v>
      </c>
      <c r="P82" s="176">
        <v>0</v>
      </c>
      <c r="Q82" s="176">
        <v>0</v>
      </c>
      <c r="R82" s="176">
        <v>0</v>
      </c>
      <c r="S82" s="176">
        <v>0</v>
      </c>
      <c r="T82" s="176">
        <v>0</v>
      </c>
      <c r="U82" s="176">
        <v>0</v>
      </c>
      <c r="V82" s="176">
        <v>0</v>
      </c>
      <c r="W82" s="176">
        <v>0</v>
      </c>
      <c r="X82" s="176">
        <v>0</v>
      </c>
      <c r="Y82" s="176">
        <v>0</v>
      </c>
      <c r="Z82" s="176">
        <v>0</v>
      </c>
      <c r="AA82" s="176">
        <v>0</v>
      </c>
      <c r="AB82" s="176">
        <v>0</v>
      </c>
      <c r="AC82" s="115"/>
      <c r="AD82" s="115"/>
      <c r="AE82" s="115"/>
      <c r="AF82" s="115"/>
      <c r="AG82" s="115"/>
    </row>
    <row r="83" spans="1:33" s="101" customFormat="1" ht="15">
      <c r="A83" s="106" t="s">
        <v>113</v>
      </c>
      <c r="C83" s="188"/>
      <c r="D83" s="120">
        <v>162769.17</v>
      </c>
      <c r="E83" s="176">
        <v>174201.26</v>
      </c>
      <c r="F83" s="176">
        <v>182975.47</v>
      </c>
      <c r="G83" s="176">
        <v>187490.27</v>
      </c>
      <c r="H83" s="176">
        <v>191900.77</v>
      </c>
      <c r="I83" s="176">
        <v>192995.65</v>
      </c>
      <c r="J83" s="176">
        <v>194680.34</v>
      </c>
      <c r="K83" s="176">
        <v>189195.23</v>
      </c>
      <c r="L83" s="176">
        <v>188113.56</v>
      </c>
      <c r="M83" s="176">
        <v>183717.73</v>
      </c>
      <c r="N83" s="176">
        <v>190440.53</v>
      </c>
      <c r="O83" s="176">
        <v>181489.79</v>
      </c>
      <c r="P83" s="176">
        <v>192245.11</v>
      </c>
      <c r="Q83" s="176">
        <v>193558.48</v>
      </c>
      <c r="R83" s="176">
        <v>203464.76</v>
      </c>
      <c r="S83" s="176">
        <v>215756.2</v>
      </c>
      <c r="T83" s="176">
        <v>235032.41</v>
      </c>
      <c r="U83" s="176">
        <v>228543.44</v>
      </c>
      <c r="V83" s="176">
        <v>195529.3</v>
      </c>
      <c r="W83" s="176">
        <v>193422.78</v>
      </c>
      <c r="X83" s="176">
        <v>170343.62</v>
      </c>
      <c r="Y83" s="176">
        <v>116912.31</v>
      </c>
      <c r="Z83" s="176">
        <v>105534.12</v>
      </c>
      <c r="AA83" s="176">
        <v>80797.25</v>
      </c>
      <c r="AB83" s="176">
        <v>65922.87</v>
      </c>
      <c r="AC83" s="115"/>
      <c r="AD83" s="115"/>
      <c r="AE83" s="115"/>
      <c r="AF83" s="115"/>
      <c r="AG83" s="115"/>
    </row>
    <row r="84" spans="1:33" s="101" customFormat="1" ht="15">
      <c r="A84" s="106" t="s">
        <v>114</v>
      </c>
      <c r="C84" s="188"/>
      <c r="D84" s="120"/>
      <c r="E84" s="176">
        <v>0</v>
      </c>
      <c r="F84" s="176">
        <v>0</v>
      </c>
      <c r="G84" s="176">
        <v>0</v>
      </c>
      <c r="H84" s="176">
        <v>0</v>
      </c>
      <c r="I84" s="176">
        <v>0</v>
      </c>
      <c r="J84" s="176">
        <v>0</v>
      </c>
      <c r="K84" s="176">
        <v>0</v>
      </c>
      <c r="L84" s="176">
        <v>0</v>
      </c>
      <c r="M84" s="176">
        <v>0</v>
      </c>
      <c r="N84" s="176">
        <v>0</v>
      </c>
      <c r="O84" s="176">
        <v>0</v>
      </c>
      <c r="P84" s="176">
        <v>0</v>
      </c>
      <c r="Q84" s="176">
        <v>0</v>
      </c>
      <c r="R84" s="176">
        <v>0</v>
      </c>
      <c r="S84" s="176">
        <v>0</v>
      </c>
      <c r="T84" s="176">
        <v>0</v>
      </c>
      <c r="U84" s="176">
        <v>0</v>
      </c>
      <c r="V84" s="176">
        <v>0</v>
      </c>
      <c r="W84" s="176">
        <v>0</v>
      </c>
      <c r="X84" s="176">
        <v>0</v>
      </c>
      <c r="Y84" s="176">
        <v>0</v>
      </c>
      <c r="Z84" s="176">
        <v>0</v>
      </c>
      <c r="AA84" s="176">
        <v>0</v>
      </c>
      <c r="AB84" s="176">
        <v>0</v>
      </c>
      <c r="AC84" s="115"/>
      <c r="AD84" s="115"/>
      <c r="AE84" s="115"/>
      <c r="AF84" s="115"/>
      <c r="AG84" s="115"/>
    </row>
    <row r="85" spans="1:33" s="101" customFormat="1" ht="15">
      <c r="A85" s="106" t="s">
        <v>115</v>
      </c>
      <c r="C85" s="188" t="s">
        <v>30</v>
      </c>
      <c r="D85" s="120"/>
      <c r="E85" s="176">
        <v>0</v>
      </c>
      <c r="F85" s="176">
        <v>0</v>
      </c>
      <c r="G85" s="176">
        <v>0</v>
      </c>
      <c r="H85" s="176">
        <v>0</v>
      </c>
      <c r="I85" s="176">
        <v>0</v>
      </c>
      <c r="J85" s="176">
        <v>0</v>
      </c>
      <c r="K85" s="176">
        <v>0</v>
      </c>
      <c r="L85" s="176">
        <v>0</v>
      </c>
      <c r="M85" s="176">
        <v>0</v>
      </c>
      <c r="N85" s="176">
        <v>0</v>
      </c>
      <c r="O85" s="176">
        <v>0</v>
      </c>
      <c r="P85" s="176">
        <v>0</v>
      </c>
      <c r="Q85" s="176">
        <v>0</v>
      </c>
      <c r="R85" s="176">
        <v>0</v>
      </c>
      <c r="S85" s="176">
        <v>0</v>
      </c>
      <c r="T85" s="176">
        <v>0</v>
      </c>
      <c r="U85" s="176">
        <v>0</v>
      </c>
      <c r="V85" s="176">
        <v>0</v>
      </c>
      <c r="W85" s="176">
        <v>0</v>
      </c>
      <c r="X85" s="176">
        <v>0</v>
      </c>
      <c r="Y85" s="176">
        <v>0</v>
      </c>
      <c r="Z85" s="176">
        <v>0</v>
      </c>
      <c r="AA85" s="176">
        <v>0</v>
      </c>
      <c r="AB85" s="176">
        <v>0</v>
      </c>
      <c r="AC85" s="115"/>
      <c r="AD85" s="115"/>
      <c r="AE85" s="115"/>
      <c r="AF85" s="115"/>
      <c r="AG85" s="115"/>
    </row>
    <row r="86" spans="1:33" s="101" customFormat="1" ht="15">
      <c r="A86" s="153" t="s">
        <v>116</v>
      </c>
      <c r="B86" s="154"/>
      <c r="C86" s="188" t="s">
        <v>177</v>
      </c>
      <c r="D86" s="155"/>
      <c r="E86" s="175">
        <v>0</v>
      </c>
      <c r="F86" s="175">
        <v>0</v>
      </c>
      <c r="G86" s="175">
        <v>0</v>
      </c>
      <c r="H86" s="175">
        <v>0</v>
      </c>
      <c r="I86" s="175">
        <v>0</v>
      </c>
      <c r="J86" s="175">
        <v>0</v>
      </c>
      <c r="K86" s="175">
        <v>0</v>
      </c>
      <c r="L86" s="175">
        <v>0</v>
      </c>
      <c r="M86" s="175">
        <v>0</v>
      </c>
      <c r="N86" s="175">
        <v>0</v>
      </c>
      <c r="O86" s="175">
        <v>0</v>
      </c>
      <c r="P86" s="175">
        <v>0</v>
      </c>
      <c r="Q86" s="175">
        <v>0</v>
      </c>
      <c r="R86" s="175">
        <v>0</v>
      </c>
      <c r="S86" s="175">
        <v>0</v>
      </c>
      <c r="T86" s="175">
        <v>0</v>
      </c>
      <c r="U86" s="175">
        <v>0</v>
      </c>
      <c r="V86" s="175">
        <v>0</v>
      </c>
      <c r="W86" s="175">
        <v>0</v>
      </c>
      <c r="X86" s="175">
        <v>0</v>
      </c>
      <c r="Y86" s="175">
        <v>0</v>
      </c>
      <c r="Z86" s="175">
        <v>0</v>
      </c>
      <c r="AA86" s="175">
        <v>0</v>
      </c>
      <c r="AB86" s="175">
        <v>0</v>
      </c>
      <c r="AC86" s="115"/>
      <c r="AD86" s="115"/>
      <c r="AE86" s="115"/>
      <c r="AF86" s="115"/>
      <c r="AG86" s="115"/>
    </row>
    <row r="87" spans="1:33" s="101" customFormat="1" ht="15">
      <c r="A87" s="153" t="s">
        <v>117</v>
      </c>
      <c r="B87" s="154"/>
      <c r="C87" s="188"/>
      <c r="D87" s="155"/>
      <c r="E87" s="175">
        <v>0</v>
      </c>
      <c r="F87" s="175">
        <v>0</v>
      </c>
      <c r="G87" s="175">
        <v>0</v>
      </c>
      <c r="H87" s="175">
        <v>0</v>
      </c>
      <c r="I87" s="175">
        <v>0</v>
      </c>
      <c r="J87" s="175">
        <v>0</v>
      </c>
      <c r="K87" s="175">
        <v>0</v>
      </c>
      <c r="L87" s="175">
        <v>0</v>
      </c>
      <c r="M87" s="175">
        <v>0</v>
      </c>
      <c r="N87" s="175">
        <v>0</v>
      </c>
      <c r="O87" s="175">
        <v>0</v>
      </c>
      <c r="P87" s="175">
        <v>0</v>
      </c>
      <c r="Q87" s="175">
        <v>0</v>
      </c>
      <c r="R87" s="175">
        <v>0</v>
      </c>
      <c r="S87" s="175">
        <v>0</v>
      </c>
      <c r="T87" s="175">
        <v>0</v>
      </c>
      <c r="U87" s="175">
        <v>0</v>
      </c>
      <c r="V87" s="175">
        <v>0</v>
      </c>
      <c r="W87" s="175">
        <v>0</v>
      </c>
      <c r="X87" s="175">
        <v>0</v>
      </c>
      <c r="Y87" s="175">
        <v>0</v>
      </c>
      <c r="Z87" s="175">
        <v>0</v>
      </c>
      <c r="AA87" s="175">
        <v>0</v>
      </c>
      <c r="AB87" s="175">
        <v>0</v>
      </c>
      <c r="AC87" s="115"/>
      <c r="AD87" s="115"/>
      <c r="AE87" s="115"/>
      <c r="AF87" s="115"/>
      <c r="AG87" s="115"/>
    </row>
    <row r="88" spans="1:33" s="101" customFormat="1" ht="15">
      <c r="A88" s="153" t="s">
        <v>118</v>
      </c>
      <c r="B88" s="154"/>
      <c r="C88" s="188"/>
      <c r="D88" s="155">
        <v>157746.97</v>
      </c>
      <c r="E88" s="175">
        <v>174330.61</v>
      </c>
      <c r="F88" s="175">
        <v>186499.19</v>
      </c>
      <c r="G88" s="175">
        <v>197316.6</v>
      </c>
      <c r="H88" s="175">
        <v>215101.18</v>
      </c>
      <c r="I88" s="175">
        <v>221160.83</v>
      </c>
      <c r="J88" s="175">
        <v>207484.52</v>
      </c>
      <c r="K88" s="175">
        <v>222780.1</v>
      </c>
      <c r="L88" s="175">
        <v>238743.27</v>
      </c>
      <c r="M88" s="175">
        <v>232711.28</v>
      </c>
      <c r="N88" s="175">
        <v>252689.71</v>
      </c>
      <c r="O88" s="175">
        <v>245010.41</v>
      </c>
      <c r="P88" s="175">
        <v>260465.94</v>
      </c>
      <c r="Q88" s="175">
        <v>279902.95</v>
      </c>
      <c r="R88" s="175">
        <v>300042.59</v>
      </c>
      <c r="S88" s="175">
        <v>294457.47</v>
      </c>
      <c r="T88" s="175">
        <v>308420.82</v>
      </c>
      <c r="U88" s="175">
        <v>319464.85</v>
      </c>
      <c r="V88" s="175">
        <v>263693.94</v>
      </c>
      <c r="W88" s="175">
        <v>293389.76</v>
      </c>
      <c r="X88" s="175">
        <v>258825.64</v>
      </c>
      <c r="Y88" s="175">
        <v>187121.45</v>
      </c>
      <c r="Z88" s="175">
        <v>202605.67</v>
      </c>
      <c r="AA88" s="175">
        <v>184898.89</v>
      </c>
      <c r="AB88" s="175">
        <v>153814.93</v>
      </c>
      <c r="AC88" s="115"/>
      <c r="AD88" s="115"/>
      <c r="AE88" s="115"/>
      <c r="AF88" s="115"/>
      <c r="AG88" s="115"/>
    </row>
    <row r="89" spans="1:33" s="101" customFormat="1" ht="15">
      <c r="A89" s="153" t="s">
        <v>119</v>
      </c>
      <c r="B89" s="154"/>
      <c r="C89" s="188"/>
      <c r="D89" s="155">
        <v>0</v>
      </c>
      <c r="E89" s="175">
        <v>0</v>
      </c>
      <c r="F89" s="175">
        <v>0</v>
      </c>
      <c r="G89" s="175">
        <v>0</v>
      </c>
      <c r="H89" s="175">
        <v>0</v>
      </c>
      <c r="I89" s="175">
        <v>0</v>
      </c>
      <c r="J89" s="175">
        <v>0</v>
      </c>
      <c r="K89" s="175">
        <v>0</v>
      </c>
      <c r="L89" s="175">
        <v>0</v>
      </c>
      <c r="M89" s="175">
        <v>0</v>
      </c>
      <c r="N89" s="175">
        <v>0</v>
      </c>
      <c r="O89" s="175">
        <v>0</v>
      </c>
      <c r="P89" s="175">
        <v>0</v>
      </c>
      <c r="Q89" s="175">
        <v>0</v>
      </c>
      <c r="R89" s="175">
        <v>0</v>
      </c>
      <c r="S89" s="175">
        <v>0</v>
      </c>
      <c r="T89" s="175">
        <v>0</v>
      </c>
      <c r="U89" s="175">
        <v>0</v>
      </c>
      <c r="V89" s="175">
        <v>0</v>
      </c>
      <c r="W89" s="175">
        <v>0</v>
      </c>
      <c r="X89" s="175">
        <v>0</v>
      </c>
      <c r="Y89" s="175">
        <v>0</v>
      </c>
      <c r="Z89" s="175">
        <v>0</v>
      </c>
      <c r="AA89" s="175">
        <v>0</v>
      </c>
      <c r="AB89" s="175">
        <v>0</v>
      </c>
      <c r="AC89" s="115"/>
      <c r="AD89" s="115"/>
      <c r="AE89" s="115"/>
      <c r="AF89" s="115"/>
      <c r="AG89" s="115"/>
    </row>
    <row r="90" spans="1:33" s="101" customFormat="1" ht="15">
      <c r="A90" s="153" t="s">
        <v>120</v>
      </c>
      <c r="B90" s="154"/>
      <c r="C90" s="188" t="s">
        <v>25</v>
      </c>
      <c r="D90" s="155"/>
      <c r="E90" s="175">
        <v>0</v>
      </c>
      <c r="F90" s="175">
        <v>0</v>
      </c>
      <c r="G90" s="175">
        <v>0</v>
      </c>
      <c r="H90" s="175">
        <v>0</v>
      </c>
      <c r="I90" s="175">
        <v>0</v>
      </c>
      <c r="J90" s="175">
        <v>0</v>
      </c>
      <c r="K90" s="175">
        <v>0</v>
      </c>
      <c r="L90" s="175">
        <v>0</v>
      </c>
      <c r="M90" s="175">
        <v>0</v>
      </c>
      <c r="N90" s="175">
        <v>0</v>
      </c>
      <c r="O90" s="175">
        <v>0</v>
      </c>
      <c r="P90" s="175">
        <v>0</v>
      </c>
      <c r="Q90" s="175">
        <v>0</v>
      </c>
      <c r="R90" s="175">
        <v>0</v>
      </c>
      <c r="S90" s="175">
        <v>0</v>
      </c>
      <c r="T90" s="175">
        <v>0</v>
      </c>
      <c r="U90" s="175">
        <v>0</v>
      </c>
      <c r="V90" s="175">
        <v>0</v>
      </c>
      <c r="W90" s="175">
        <v>0</v>
      </c>
      <c r="X90" s="175">
        <v>0</v>
      </c>
      <c r="Y90" s="175">
        <v>0</v>
      </c>
      <c r="Z90" s="175">
        <v>0</v>
      </c>
      <c r="AA90" s="175">
        <v>0</v>
      </c>
      <c r="AB90" s="175">
        <v>0</v>
      </c>
      <c r="AC90" s="115"/>
      <c r="AD90" s="115"/>
      <c r="AE90" s="115"/>
      <c r="AF90" s="115"/>
      <c r="AG90" s="115"/>
    </row>
    <row r="91" spans="1:33" s="101" customFormat="1" ht="15">
      <c r="A91" s="106" t="s">
        <v>121</v>
      </c>
      <c r="C91" s="188" t="s">
        <v>178</v>
      </c>
      <c r="D91" s="120">
        <v>0</v>
      </c>
      <c r="E91" s="176">
        <v>0</v>
      </c>
      <c r="F91" s="176">
        <v>0</v>
      </c>
      <c r="G91" s="176">
        <v>0</v>
      </c>
      <c r="H91" s="176">
        <v>0</v>
      </c>
      <c r="I91" s="176">
        <v>0</v>
      </c>
      <c r="J91" s="176">
        <v>0</v>
      </c>
      <c r="K91" s="176">
        <v>0</v>
      </c>
      <c r="L91" s="176">
        <v>0</v>
      </c>
      <c r="M91" s="176">
        <v>0</v>
      </c>
      <c r="N91" s="176">
        <v>0</v>
      </c>
      <c r="O91" s="176">
        <v>0</v>
      </c>
      <c r="P91" s="176">
        <v>0</v>
      </c>
      <c r="Q91" s="176">
        <v>0</v>
      </c>
      <c r="R91" s="176">
        <v>0</v>
      </c>
      <c r="S91" s="176">
        <v>0</v>
      </c>
      <c r="T91" s="176">
        <v>0</v>
      </c>
      <c r="U91" s="176">
        <v>0</v>
      </c>
      <c r="V91" s="176">
        <v>0</v>
      </c>
      <c r="W91" s="176">
        <v>0</v>
      </c>
      <c r="X91" s="176">
        <v>0</v>
      </c>
      <c r="Y91" s="176">
        <v>0</v>
      </c>
      <c r="Z91" s="176">
        <v>0</v>
      </c>
      <c r="AA91" s="176">
        <v>0</v>
      </c>
      <c r="AB91" s="176">
        <v>0</v>
      </c>
      <c r="AC91" s="115"/>
      <c r="AD91" s="115"/>
      <c r="AE91" s="115"/>
      <c r="AF91" s="115"/>
      <c r="AG91" s="115"/>
    </row>
    <row r="92" spans="1:33" s="101" customFormat="1" ht="15">
      <c r="A92" s="106" t="s">
        <v>122</v>
      </c>
      <c r="C92" s="188"/>
      <c r="D92" s="120">
        <v>0</v>
      </c>
      <c r="E92" s="176">
        <v>0</v>
      </c>
      <c r="F92" s="176">
        <v>0</v>
      </c>
      <c r="G92" s="176">
        <v>0</v>
      </c>
      <c r="H92" s="176">
        <v>0</v>
      </c>
      <c r="I92" s="176">
        <v>0</v>
      </c>
      <c r="J92" s="176">
        <v>0</v>
      </c>
      <c r="K92" s="176">
        <v>0</v>
      </c>
      <c r="L92" s="176">
        <v>0</v>
      </c>
      <c r="M92" s="176">
        <v>0</v>
      </c>
      <c r="N92" s="176">
        <v>0</v>
      </c>
      <c r="O92" s="176">
        <v>0</v>
      </c>
      <c r="P92" s="176">
        <v>0</v>
      </c>
      <c r="Q92" s="176">
        <v>0</v>
      </c>
      <c r="R92" s="176">
        <v>0</v>
      </c>
      <c r="S92" s="176">
        <v>0</v>
      </c>
      <c r="T92" s="176">
        <v>0</v>
      </c>
      <c r="U92" s="176">
        <v>0</v>
      </c>
      <c r="V92" s="176">
        <v>0</v>
      </c>
      <c r="W92" s="176">
        <v>0</v>
      </c>
      <c r="X92" s="176">
        <v>0</v>
      </c>
      <c r="Y92" s="176">
        <v>0</v>
      </c>
      <c r="Z92" s="176">
        <v>0</v>
      </c>
      <c r="AA92" s="176">
        <v>0</v>
      </c>
      <c r="AB92" s="176">
        <v>0</v>
      </c>
      <c r="AC92" s="115"/>
      <c r="AD92" s="115"/>
      <c r="AE92" s="115"/>
      <c r="AF92" s="115"/>
      <c r="AG92" s="115"/>
    </row>
    <row r="93" spans="1:33" s="101" customFormat="1" ht="15">
      <c r="A93" s="106" t="s">
        <v>123</v>
      </c>
      <c r="C93" s="188"/>
      <c r="D93" s="120">
        <v>302391.85</v>
      </c>
      <c r="E93" s="176">
        <v>329708.53</v>
      </c>
      <c r="F93" s="176">
        <v>339902.32</v>
      </c>
      <c r="G93" s="176">
        <v>356773.83</v>
      </c>
      <c r="H93" s="176">
        <v>365176.54</v>
      </c>
      <c r="I93" s="176">
        <v>383062.72</v>
      </c>
      <c r="J93" s="176">
        <v>406906.44</v>
      </c>
      <c r="K93" s="176">
        <v>414149.76</v>
      </c>
      <c r="L93" s="176">
        <v>417485.51</v>
      </c>
      <c r="M93" s="176">
        <v>361546.83</v>
      </c>
      <c r="N93" s="176">
        <v>360729.27</v>
      </c>
      <c r="O93" s="176">
        <v>301098.54</v>
      </c>
      <c r="P93" s="176">
        <v>277246.76</v>
      </c>
      <c r="Q93" s="176">
        <v>277691.82</v>
      </c>
      <c r="R93" s="176">
        <v>288636.03</v>
      </c>
      <c r="S93" s="176">
        <v>279892.03</v>
      </c>
      <c r="T93" s="176">
        <v>292995.36</v>
      </c>
      <c r="U93" s="176">
        <v>282166.18</v>
      </c>
      <c r="V93" s="176">
        <v>271539.21</v>
      </c>
      <c r="W93" s="176">
        <v>270642.87</v>
      </c>
      <c r="X93" s="176">
        <v>274049.22</v>
      </c>
      <c r="Y93" s="176">
        <v>222139.89</v>
      </c>
      <c r="Z93" s="176">
        <v>159581.09</v>
      </c>
      <c r="AA93" s="176">
        <v>139121.6</v>
      </c>
      <c r="AB93" s="176">
        <v>122646.48</v>
      </c>
      <c r="AC93" s="115"/>
      <c r="AD93" s="115"/>
      <c r="AE93" s="115"/>
      <c r="AF93" s="115"/>
      <c r="AG93" s="115"/>
    </row>
    <row r="94" spans="1:33" s="101" customFormat="1" ht="15">
      <c r="A94" s="106" t="s">
        <v>124</v>
      </c>
      <c r="C94" s="188"/>
      <c r="D94" s="120"/>
      <c r="E94" s="176">
        <v>0</v>
      </c>
      <c r="F94" s="176">
        <v>0</v>
      </c>
      <c r="G94" s="176">
        <v>0</v>
      </c>
      <c r="H94" s="176">
        <v>0</v>
      </c>
      <c r="I94" s="176">
        <v>0</v>
      </c>
      <c r="J94" s="176">
        <v>0</v>
      </c>
      <c r="K94" s="176">
        <v>0</v>
      </c>
      <c r="L94" s="176">
        <v>0</v>
      </c>
      <c r="M94" s="176">
        <v>0</v>
      </c>
      <c r="N94" s="176">
        <v>0</v>
      </c>
      <c r="O94" s="176">
        <v>0</v>
      </c>
      <c r="P94" s="176">
        <v>0</v>
      </c>
      <c r="Q94" s="176">
        <v>0</v>
      </c>
      <c r="R94" s="176">
        <v>0</v>
      </c>
      <c r="S94" s="176">
        <v>0</v>
      </c>
      <c r="T94" s="176">
        <v>0</v>
      </c>
      <c r="U94" s="176">
        <v>0</v>
      </c>
      <c r="V94" s="176">
        <v>0</v>
      </c>
      <c r="W94" s="176">
        <v>0</v>
      </c>
      <c r="X94" s="176">
        <v>0</v>
      </c>
      <c r="Y94" s="176">
        <v>0</v>
      </c>
      <c r="Z94" s="176">
        <v>0</v>
      </c>
      <c r="AA94" s="176">
        <v>0</v>
      </c>
      <c r="AB94" s="176">
        <v>0</v>
      </c>
      <c r="AC94" s="115"/>
      <c r="AD94" s="115"/>
      <c r="AE94" s="115"/>
      <c r="AF94" s="115"/>
      <c r="AG94" s="115"/>
    </row>
    <row r="95" spans="1:33" s="101" customFormat="1" ht="15">
      <c r="A95" s="106" t="s">
        <v>125</v>
      </c>
      <c r="C95" s="188" t="s">
        <v>24</v>
      </c>
      <c r="D95" s="120"/>
      <c r="E95" s="176">
        <v>0</v>
      </c>
      <c r="F95" s="176">
        <v>0</v>
      </c>
      <c r="G95" s="176">
        <v>0</v>
      </c>
      <c r="H95" s="176">
        <v>0</v>
      </c>
      <c r="I95" s="176">
        <v>0</v>
      </c>
      <c r="J95" s="176">
        <v>0</v>
      </c>
      <c r="K95" s="176">
        <v>0</v>
      </c>
      <c r="L95" s="176">
        <v>0</v>
      </c>
      <c r="M95" s="176">
        <v>0</v>
      </c>
      <c r="N95" s="176">
        <v>0</v>
      </c>
      <c r="O95" s="176">
        <v>0</v>
      </c>
      <c r="P95" s="176">
        <v>0</v>
      </c>
      <c r="Q95" s="176">
        <v>0</v>
      </c>
      <c r="R95" s="176">
        <v>0</v>
      </c>
      <c r="S95" s="176">
        <v>0</v>
      </c>
      <c r="T95" s="176">
        <v>0</v>
      </c>
      <c r="U95" s="176">
        <v>0</v>
      </c>
      <c r="V95" s="176">
        <v>0</v>
      </c>
      <c r="W95" s="176">
        <v>0</v>
      </c>
      <c r="X95" s="176">
        <v>0</v>
      </c>
      <c r="Y95" s="176">
        <v>0</v>
      </c>
      <c r="Z95" s="176">
        <v>0</v>
      </c>
      <c r="AA95" s="176">
        <v>0</v>
      </c>
      <c r="AB95" s="176">
        <v>0</v>
      </c>
      <c r="AC95" s="115"/>
      <c r="AD95" s="115"/>
      <c r="AE95" s="115"/>
      <c r="AF95" s="115"/>
      <c r="AG95" s="115"/>
    </row>
    <row r="96" spans="1:33" s="101" customFormat="1" ht="15">
      <c r="A96" s="153" t="s">
        <v>126</v>
      </c>
      <c r="B96" s="154"/>
      <c r="C96" s="188" t="s">
        <v>179</v>
      </c>
      <c r="D96" s="155"/>
      <c r="E96" s="175">
        <v>0</v>
      </c>
      <c r="F96" s="175">
        <v>0</v>
      </c>
      <c r="G96" s="175">
        <v>0</v>
      </c>
      <c r="H96" s="175">
        <v>0</v>
      </c>
      <c r="I96" s="175">
        <v>0</v>
      </c>
      <c r="J96" s="175">
        <v>0</v>
      </c>
      <c r="K96" s="175">
        <v>0</v>
      </c>
      <c r="L96" s="175">
        <v>0</v>
      </c>
      <c r="M96" s="175">
        <v>0</v>
      </c>
      <c r="N96" s="175">
        <v>0</v>
      </c>
      <c r="O96" s="175">
        <v>0</v>
      </c>
      <c r="P96" s="175">
        <v>0</v>
      </c>
      <c r="Q96" s="175">
        <v>0</v>
      </c>
      <c r="R96" s="175">
        <v>0</v>
      </c>
      <c r="S96" s="175">
        <v>0</v>
      </c>
      <c r="T96" s="175">
        <v>0</v>
      </c>
      <c r="U96" s="175">
        <v>0</v>
      </c>
      <c r="V96" s="175">
        <v>0</v>
      </c>
      <c r="W96" s="175">
        <v>0</v>
      </c>
      <c r="X96" s="175">
        <v>0</v>
      </c>
      <c r="Y96" s="175">
        <v>0</v>
      </c>
      <c r="Z96" s="175">
        <v>0</v>
      </c>
      <c r="AA96" s="175">
        <v>0</v>
      </c>
      <c r="AB96" s="175">
        <v>0</v>
      </c>
      <c r="AC96" s="115"/>
      <c r="AD96" s="115"/>
      <c r="AE96" s="115"/>
      <c r="AF96" s="115"/>
      <c r="AG96" s="115"/>
    </row>
    <row r="97" spans="1:33" s="101" customFormat="1" ht="15">
      <c r="A97" s="153" t="s">
        <v>127</v>
      </c>
      <c r="B97" s="154"/>
      <c r="C97" s="188"/>
      <c r="D97" s="155"/>
      <c r="E97" s="175">
        <v>0</v>
      </c>
      <c r="F97" s="175">
        <v>0</v>
      </c>
      <c r="G97" s="175">
        <v>0</v>
      </c>
      <c r="H97" s="175">
        <v>0</v>
      </c>
      <c r="I97" s="175">
        <v>0</v>
      </c>
      <c r="J97" s="175">
        <v>0</v>
      </c>
      <c r="K97" s="175">
        <v>0</v>
      </c>
      <c r="L97" s="175">
        <v>0</v>
      </c>
      <c r="M97" s="175">
        <v>0</v>
      </c>
      <c r="N97" s="175">
        <v>0</v>
      </c>
      <c r="O97" s="175">
        <v>0</v>
      </c>
      <c r="P97" s="175">
        <v>0</v>
      </c>
      <c r="Q97" s="175">
        <v>0</v>
      </c>
      <c r="R97" s="175">
        <v>0</v>
      </c>
      <c r="S97" s="175">
        <v>0</v>
      </c>
      <c r="T97" s="175">
        <v>0</v>
      </c>
      <c r="U97" s="175">
        <v>0</v>
      </c>
      <c r="V97" s="175">
        <v>0</v>
      </c>
      <c r="W97" s="175">
        <v>0</v>
      </c>
      <c r="X97" s="175">
        <v>0</v>
      </c>
      <c r="Y97" s="175">
        <v>0</v>
      </c>
      <c r="Z97" s="175">
        <v>0</v>
      </c>
      <c r="AA97" s="175">
        <v>0</v>
      </c>
      <c r="AB97" s="175">
        <v>0</v>
      </c>
      <c r="AC97" s="115"/>
      <c r="AD97" s="115"/>
      <c r="AE97" s="115"/>
      <c r="AF97" s="115"/>
      <c r="AG97" s="115"/>
    </row>
    <row r="98" spans="1:33" s="101" customFormat="1" ht="15">
      <c r="A98" s="153" t="s">
        <v>128</v>
      </c>
      <c r="B98" s="154"/>
      <c r="C98" s="188"/>
      <c r="D98" s="155">
        <v>24986.88</v>
      </c>
      <c r="E98" s="175">
        <v>26572.93</v>
      </c>
      <c r="F98" s="175">
        <v>30612.74</v>
      </c>
      <c r="G98" s="175">
        <v>27581.47</v>
      </c>
      <c r="H98" s="175">
        <v>32070.53</v>
      </c>
      <c r="I98" s="175">
        <v>21975.88</v>
      </c>
      <c r="J98" s="175">
        <v>16033.77</v>
      </c>
      <c r="K98" s="175">
        <v>20534.81</v>
      </c>
      <c r="L98" s="175">
        <v>14822.85</v>
      </c>
      <c r="M98" s="175">
        <v>10486.27</v>
      </c>
      <c r="N98" s="175">
        <v>14366.18</v>
      </c>
      <c r="O98" s="175">
        <v>12261.29</v>
      </c>
      <c r="P98" s="175">
        <v>10654.76</v>
      </c>
      <c r="Q98" s="175">
        <v>12955.03</v>
      </c>
      <c r="R98" s="175">
        <v>17010.58</v>
      </c>
      <c r="S98" s="175">
        <v>22178.31</v>
      </c>
      <c r="T98" s="175">
        <v>19993.58</v>
      </c>
      <c r="U98" s="175">
        <v>13891.52</v>
      </c>
      <c r="V98" s="175">
        <v>18037.75</v>
      </c>
      <c r="W98" s="175">
        <v>23174.48</v>
      </c>
      <c r="X98" s="175">
        <v>10552.88</v>
      </c>
      <c r="Y98" s="175">
        <v>12910.07</v>
      </c>
      <c r="Z98" s="175">
        <v>9810.15</v>
      </c>
      <c r="AA98" s="175">
        <v>8557.95</v>
      </c>
      <c r="AB98" s="175">
        <v>10888.1</v>
      </c>
      <c r="AC98" s="115"/>
      <c r="AD98" s="115"/>
      <c r="AE98" s="115"/>
      <c r="AF98" s="115"/>
      <c r="AG98" s="115"/>
    </row>
    <row r="99" spans="1:33" s="101" customFormat="1" ht="15">
      <c r="A99" s="153" t="s">
        <v>129</v>
      </c>
      <c r="B99" s="154"/>
      <c r="C99" s="188"/>
      <c r="D99" s="155"/>
      <c r="E99" s="175">
        <v>0</v>
      </c>
      <c r="F99" s="175">
        <v>0</v>
      </c>
      <c r="G99" s="175">
        <v>0</v>
      </c>
      <c r="H99" s="175">
        <v>0</v>
      </c>
      <c r="I99" s="175">
        <v>0</v>
      </c>
      <c r="J99" s="175">
        <v>0</v>
      </c>
      <c r="K99" s="175">
        <v>0</v>
      </c>
      <c r="L99" s="175">
        <v>0</v>
      </c>
      <c r="M99" s="175">
        <v>0</v>
      </c>
      <c r="N99" s="175">
        <v>0</v>
      </c>
      <c r="O99" s="175">
        <v>0</v>
      </c>
      <c r="P99" s="175">
        <v>0</v>
      </c>
      <c r="Q99" s="175">
        <v>0</v>
      </c>
      <c r="R99" s="175">
        <v>0</v>
      </c>
      <c r="S99" s="175">
        <v>0</v>
      </c>
      <c r="T99" s="175">
        <v>0</v>
      </c>
      <c r="U99" s="175">
        <v>0</v>
      </c>
      <c r="V99" s="175">
        <v>0</v>
      </c>
      <c r="W99" s="175">
        <v>0</v>
      </c>
      <c r="X99" s="175">
        <v>0</v>
      </c>
      <c r="Y99" s="175">
        <v>0</v>
      </c>
      <c r="Z99" s="175">
        <v>0</v>
      </c>
      <c r="AA99" s="175">
        <v>0</v>
      </c>
      <c r="AB99" s="175">
        <v>0</v>
      </c>
      <c r="AC99" s="115"/>
      <c r="AD99" s="115"/>
      <c r="AE99" s="115"/>
      <c r="AF99" s="115"/>
      <c r="AG99" s="115"/>
    </row>
    <row r="100" spans="1:33" s="101" customFormat="1" ht="15">
      <c r="A100" s="153" t="s">
        <v>130</v>
      </c>
      <c r="B100" s="154"/>
      <c r="C100" s="188" t="s">
        <v>26</v>
      </c>
      <c r="D100" s="155"/>
      <c r="E100" s="175">
        <v>0</v>
      </c>
      <c r="F100" s="175">
        <v>0</v>
      </c>
      <c r="G100" s="175">
        <v>0</v>
      </c>
      <c r="H100" s="175">
        <v>0</v>
      </c>
      <c r="I100" s="175">
        <v>0</v>
      </c>
      <c r="J100" s="175">
        <v>0</v>
      </c>
      <c r="K100" s="175">
        <v>0</v>
      </c>
      <c r="L100" s="175">
        <v>0</v>
      </c>
      <c r="M100" s="175">
        <v>0</v>
      </c>
      <c r="N100" s="175">
        <v>0</v>
      </c>
      <c r="O100" s="175">
        <v>0</v>
      </c>
      <c r="P100" s="175">
        <v>0</v>
      </c>
      <c r="Q100" s="175">
        <v>0</v>
      </c>
      <c r="R100" s="175">
        <v>0</v>
      </c>
      <c r="S100" s="175">
        <v>0</v>
      </c>
      <c r="T100" s="175">
        <v>0</v>
      </c>
      <c r="U100" s="175">
        <v>0</v>
      </c>
      <c r="V100" s="175">
        <v>0</v>
      </c>
      <c r="W100" s="175">
        <v>0</v>
      </c>
      <c r="X100" s="175">
        <v>0</v>
      </c>
      <c r="Y100" s="175">
        <v>0</v>
      </c>
      <c r="Z100" s="175">
        <v>0</v>
      </c>
      <c r="AA100" s="175">
        <v>0</v>
      </c>
      <c r="AB100" s="175">
        <v>0</v>
      </c>
      <c r="AC100" s="115"/>
      <c r="AD100" s="115"/>
      <c r="AE100" s="115"/>
      <c r="AF100" s="115"/>
      <c r="AG100" s="115"/>
    </row>
    <row r="101" spans="1:33" s="101" customFormat="1" ht="15">
      <c r="A101" s="106" t="s">
        <v>131</v>
      </c>
      <c r="C101" s="188" t="s">
        <v>180</v>
      </c>
      <c r="D101" s="120"/>
      <c r="E101" s="176">
        <v>0</v>
      </c>
      <c r="F101" s="176">
        <v>0</v>
      </c>
      <c r="G101" s="176">
        <v>0</v>
      </c>
      <c r="H101" s="176">
        <v>0</v>
      </c>
      <c r="I101" s="176">
        <v>0</v>
      </c>
      <c r="J101" s="176">
        <v>0</v>
      </c>
      <c r="K101" s="176">
        <v>0</v>
      </c>
      <c r="L101" s="176">
        <v>0</v>
      </c>
      <c r="M101" s="176">
        <v>0</v>
      </c>
      <c r="N101" s="176">
        <v>0</v>
      </c>
      <c r="O101" s="176">
        <v>0</v>
      </c>
      <c r="P101" s="176">
        <v>0</v>
      </c>
      <c r="Q101" s="176">
        <v>0</v>
      </c>
      <c r="R101" s="176">
        <v>0</v>
      </c>
      <c r="S101" s="176">
        <v>0</v>
      </c>
      <c r="T101" s="176">
        <v>0</v>
      </c>
      <c r="U101" s="176">
        <v>0</v>
      </c>
      <c r="V101" s="176">
        <v>0</v>
      </c>
      <c r="W101" s="176">
        <v>0</v>
      </c>
      <c r="X101" s="176">
        <v>0</v>
      </c>
      <c r="Y101" s="176">
        <v>0</v>
      </c>
      <c r="Z101" s="176">
        <v>0</v>
      </c>
      <c r="AA101" s="176">
        <v>0</v>
      </c>
      <c r="AB101" s="176">
        <v>0</v>
      </c>
      <c r="AC101" s="115"/>
      <c r="AD101" s="115"/>
      <c r="AE101" s="115"/>
      <c r="AF101" s="115"/>
      <c r="AG101" s="115"/>
    </row>
    <row r="102" spans="1:33" s="101" customFormat="1" ht="15">
      <c r="A102" s="106" t="s">
        <v>132</v>
      </c>
      <c r="C102" s="188"/>
      <c r="D102" s="120"/>
      <c r="E102" s="176">
        <v>0</v>
      </c>
      <c r="F102" s="176">
        <v>0</v>
      </c>
      <c r="G102" s="176">
        <v>0</v>
      </c>
      <c r="H102" s="176">
        <v>0</v>
      </c>
      <c r="I102" s="176">
        <v>0</v>
      </c>
      <c r="J102" s="176">
        <v>0</v>
      </c>
      <c r="K102" s="176">
        <v>0</v>
      </c>
      <c r="L102" s="176">
        <v>0</v>
      </c>
      <c r="M102" s="176">
        <v>0</v>
      </c>
      <c r="N102" s="176">
        <v>0</v>
      </c>
      <c r="O102" s="176">
        <v>0</v>
      </c>
      <c r="P102" s="176">
        <v>0</v>
      </c>
      <c r="Q102" s="176">
        <v>0</v>
      </c>
      <c r="R102" s="176">
        <v>0</v>
      </c>
      <c r="S102" s="176">
        <v>0</v>
      </c>
      <c r="T102" s="176">
        <v>0</v>
      </c>
      <c r="U102" s="176">
        <v>0</v>
      </c>
      <c r="V102" s="176">
        <v>0</v>
      </c>
      <c r="W102" s="176">
        <v>0</v>
      </c>
      <c r="X102" s="176">
        <v>0</v>
      </c>
      <c r="Y102" s="176">
        <v>0</v>
      </c>
      <c r="Z102" s="176">
        <v>0</v>
      </c>
      <c r="AA102" s="176">
        <v>0</v>
      </c>
      <c r="AB102" s="176">
        <v>0</v>
      </c>
      <c r="AC102" s="115"/>
      <c r="AD102" s="115"/>
      <c r="AE102" s="115"/>
      <c r="AF102" s="115"/>
      <c r="AG102" s="115"/>
    </row>
    <row r="103" spans="1:33" s="101" customFormat="1" ht="15">
      <c r="A103" s="106" t="s">
        <v>133</v>
      </c>
      <c r="C103" s="188"/>
      <c r="D103" s="120">
        <v>27164.96</v>
      </c>
      <c r="E103" s="176">
        <v>34447.13</v>
      </c>
      <c r="F103" s="176">
        <v>44491.46</v>
      </c>
      <c r="G103" s="176">
        <v>50365.36</v>
      </c>
      <c r="H103" s="176">
        <v>55587.38</v>
      </c>
      <c r="I103" s="176">
        <v>45494.55</v>
      </c>
      <c r="J103" s="176">
        <v>33693.42</v>
      </c>
      <c r="K103" s="176">
        <v>16387.3</v>
      </c>
      <c r="L103" s="176">
        <v>18150.93</v>
      </c>
      <c r="M103" s="176">
        <v>65749.01</v>
      </c>
      <c r="N103" s="176">
        <v>55063.41</v>
      </c>
      <c r="O103" s="176">
        <v>56191.98</v>
      </c>
      <c r="P103" s="176">
        <v>52174.08</v>
      </c>
      <c r="Q103" s="176">
        <v>59028.76</v>
      </c>
      <c r="R103" s="176">
        <v>64341.39</v>
      </c>
      <c r="S103" s="176">
        <v>69532.69</v>
      </c>
      <c r="T103" s="176">
        <v>76135.32</v>
      </c>
      <c r="U103" s="176">
        <v>70215.75</v>
      </c>
      <c r="V103" s="176">
        <v>57277.5</v>
      </c>
      <c r="W103" s="176">
        <v>33363</v>
      </c>
      <c r="X103" s="176">
        <v>33977.49</v>
      </c>
      <c r="Y103" s="176">
        <v>84394.4</v>
      </c>
      <c r="Z103" s="176">
        <v>69673.28</v>
      </c>
      <c r="AA103" s="176">
        <v>78725.04</v>
      </c>
      <c r="AB103" s="176">
        <v>58557.27</v>
      </c>
      <c r="AC103" s="115"/>
      <c r="AD103" s="115"/>
      <c r="AE103" s="115"/>
      <c r="AF103" s="115"/>
      <c r="AG103" s="115"/>
    </row>
    <row r="104" spans="1:33" s="101" customFormat="1" ht="15">
      <c r="A104" s="106" t="s">
        <v>134</v>
      </c>
      <c r="C104" s="188"/>
      <c r="D104" s="120"/>
      <c r="E104" s="176">
        <v>0</v>
      </c>
      <c r="F104" s="176">
        <v>0</v>
      </c>
      <c r="G104" s="176">
        <v>0</v>
      </c>
      <c r="H104" s="176">
        <v>0</v>
      </c>
      <c r="I104" s="176">
        <v>0</v>
      </c>
      <c r="J104" s="176">
        <v>0</v>
      </c>
      <c r="K104" s="176">
        <v>0</v>
      </c>
      <c r="L104" s="176">
        <v>0</v>
      </c>
      <c r="M104" s="176">
        <v>0</v>
      </c>
      <c r="N104" s="176">
        <v>0</v>
      </c>
      <c r="O104" s="176">
        <v>0</v>
      </c>
      <c r="P104" s="176">
        <v>0</v>
      </c>
      <c r="Q104" s="176">
        <v>0</v>
      </c>
      <c r="R104" s="176">
        <v>0</v>
      </c>
      <c r="S104" s="176">
        <v>0</v>
      </c>
      <c r="T104" s="176">
        <v>0</v>
      </c>
      <c r="U104" s="176">
        <v>0</v>
      </c>
      <c r="V104" s="176">
        <v>0</v>
      </c>
      <c r="W104" s="176">
        <v>0</v>
      </c>
      <c r="X104" s="176">
        <v>0</v>
      </c>
      <c r="Y104" s="176">
        <v>0</v>
      </c>
      <c r="Z104" s="176">
        <v>0</v>
      </c>
      <c r="AA104" s="176">
        <v>0</v>
      </c>
      <c r="AB104" s="176">
        <v>0</v>
      </c>
      <c r="AC104" s="115"/>
      <c r="AD104" s="115"/>
      <c r="AE104" s="115"/>
      <c r="AF104" s="115"/>
      <c r="AG104" s="115"/>
    </row>
    <row r="105" spans="1:33" s="101" customFormat="1" ht="15">
      <c r="A105" s="106" t="s">
        <v>135</v>
      </c>
      <c r="C105" s="188" t="s">
        <v>28</v>
      </c>
      <c r="D105" s="120"/>
      <c r="E105" s="176">
        <v>0</v>
      </c>
      <c r="F105" s="176">
        <v>0</v>
      </c>
      <c r="G105" s="176">
        <v>0</v>
      </c>
      <c r="H105" s="176">
        <v>0</v>
      </c>
      <c r="I105" s="176">
        <v>0</v>
      </c>
      <c r="J105" s="176">
        <v>0</v>
      </c>
      <c r="K105" s="176">
        <v>0</v>
      </c>
      <c r="L105" s="176">
        <v>0</v>
      </c>
      <c r="M105" s="176">
        <v>0</v>
      </c>
      <c r="N105" s="176">
        <v>0</v>
      </c>
      <c r="O105" s="176">
        <v>0</v>
      </c>
      <c r="P105" s="176">
        <v>0</v>
      </c>
      <c r="Q105" s="176">
        <v>0</v>
      </c>
      <c r="R105" s="176">
        <v>0</v>
      </c>
      <c r="S105" s="176">
        <v>0</v>
      </c>
      <c r="T105" s="176">
        <v>0</v>
      </c>
      <c r="U105" s="176">
        <v>0</v>
      </c>
      <c r="V105" s="176">
        <v>0</v>
      </c>
      <c r="W105" s="176">
        <v>0</v>
      </c>
      <c r="X105" s="176">
        <v>0</v>
      </c>
      <c r="Y105" s="176">
        <v>0</v>
      </c>
      <c r="Z105" s="176">
        <v>0</v>
      </c>
      <c r="AA105" s="176">
        <v>0</v>
      </c>
      <c r="AB105" s="176">
        <v>0</v>
      </c>
      <c r="AC105" s="115"/>
      <c r="AD105" s="115"/>
      <c r="AE105" s="115"/>
      <c r="AF105" s="115"/>
      <c r="AG105" s="115"/>
    </row>
    <row r="106" spans="1:33" s="101" customFormat="1" ht="15">
      <c r="A106" s="153" t="s">
        <v>136</v>
      </c>
      <c r="B106" s="154"/>
      <c r="C106" s="187" t="s">
        <v>181</v>
      </c>
      <c r="D106" s="155"/>
      <c r="E106" s="175">
        <v>0</v>
      </c>
      <c r="F106" s="175">
        <v>0</v>
      </c>
      <c r="G106" s="175">
        <v>0</v>
      </c>
      <c r="H106" s="175">
        <v>0</v>
      </c>
      <c r="I106" s="175">
        <v>0</v>
      </c>
      <c r="J106" s="175">
        <v>0</v>
      </c>
      <c r="K106" s="175">
        <v>0</v>
      </c>
      <c r="L106" s="175">
        <v>0</v>
      </c>
      <c r="M106" s="175">
        <v>0</v>
      </c>
      <c r="N106" s="175">
        <v>0</v>
      </c>
      <c r="O106" s="175">
        <v>0</v>
      </c>
      <c r="P106" s="175">
        <v>0</v>
      </c>
      <c r="Q106" s="175">
        <v>0</v>
      </c>
      <c r="R106" s="175">
        <v>0</v>
      </c>
      <c r="S106" s="175">
        <v>0</v>
      </c>
      <c r="T106" s="175">
        <v>0</v>
      </c>
      <c r="U106" s="175">
        <v>0</v>
      </c>
      <c r="V106" s="175">
        <v>0</v>
      </c>
      <c r="W106" s="175">
        <v>0</v>
      </c>
      <c r="X106" s="175">
        <v>0</v>
      </c>
      <c r="Y106" s="175">
        <v>0</v>
      </c>
      <c r="Z106" s="175">
        <v>0</v>
      </c>
      <c r="AA106" s="175">
        <v>0</v>
      </c>
      <c r="AB106" s="175">
        <v>0</v>
      </c>
      <c r="AC106" s="115"/>
      <c r="AD106" s="115"/>
      <c r="AE106" s="115"/>
      <c r="AF106" s="115"/>
      <c r="AG106" s="115"/>
    </row>
    <row r="107" spans="1:33" s="101" customFormat="1" ht="15">
      <c r="A107" s="153" t="s">
        <v>137</v>
      </c>
      <c r="B107" s="154"/>
      <c r="C107" s="187"/>
      <c r="D107" s="155"/>
      <c r="E107" s="175">
        <v>0</v>
      </c>
      <c r="F107" s="175">
        <v>0</v>
      </c>
      <c r="G107" s="175">
        <v>0</v>
      </c>
      <c r="H107" s="175">
        <v>0</v>
      </c>
      <c r="I107" s="175">
        <v>0</v>
      </c>
      <c r="J107" s="175">
        <v>0</v>
      </c>
      <c r="K107" s="175">
        <v>0</v>
      </c>
      <c r="L107" s="175">
        <v>0</v>
      </c>
      <c r="M107" s="175">
        <v>0</v>
      </c>
      <c r="N107" s="175">
        <v>0</v>
      </c>
      <c r="O107" s="175">
        <v>0</v>
      </c>
      <c r="P107" s="175">
        <v>0</v>
      </c>
      <c r="Q107" s="175">
        <v>0</v>
      </c>
      <c r="R107" s="175">
        <v>0</v>
      </c>
      <c r="S107" s="175">
        <v>0</v>
      </c>
      <c r="T107" s="175">
        <v>0</v>
      </c>
      <c r="U107" s="175">
        <v>0</v>
      </c>
      <c r="V107" s="175">
        <v>0</v>
      </c>
      <c r="W107" s="175">
        <v>0</v>
      </c>
      <c r="X107" s="175">
        <v>0</v>
      </c>
      <c r="Y107" s="175">
        <v>0</v>
      </c>
      <c r="Z107" s="175">
        <v>0</v>
      </c>
      <c r="AA107" s="175">
        <v>0</v>
      </c>
      <c r="AB107" s="175">
        <v>0</v>
      </c>
      <c r="AC107" s="115"/>
      <c r="AD107" s="115"/>
      <c r="AE107" s="115"/>
      <c r="AF107" s="115"/>
      <c r="AG107" s="115"/>
    </row>
    <row r="108" spans="1:33" s="101" customFormat="1" ht="15">
      <c r="A108" s="153" t="s">
        <v>138</v>
      </c>
      <c r="B108" s="154"/>
      <c r="C108" s="187"/>
      <c r="D108" s="155">
        <v>1413595.94</v>
      </c>
      <c r="E108" s="175">
        <v>1626846.31</v>
      </c>
      <c r="F108" s="175">
        <v>1582174.55</v>
      </c>
      <c r="G108" s="175">
        <v>1644013.25</v>
      </c>
      <c r="H108" s="175">
        <v>1566800.58</v>
      </c>
      <c r="I108" s="175">
        <v>1621503.88</v>
      </c>
      <c r="J108" s="175">
        <v>1770945.22</v>
      </c>
      <c r="K108" s="175">
        <v>1756177.48</v>
      </c>
      <c r="L108" s="175">
        <v>1769842.59</v>
      </c>
      <c r="M108" s="175">
        <v>1672980.94</v>
      </c>
      <c r="N108" s="175">
        <v>1583255.64</v>
      </c>
      <c r="O108" s="175">
        <v>1493096.58</v>
      </c>
      <c r="P108" s="175">
        <v>1426963.67</v>
      </c>
      <c r="Q108" s="175">
        <v>1613350.92</v>
      </c>
      <c r="R108" s="175">
        <v>1724785.99</v>
      </c>
      <c r="S108" s="175">
        <v>1792606.15</v>
      </c>
      <c r="T108" s="175">
        <v>1902520.72</v>
      </c>
      <c r="U108" s="175">
        <v>1837457.55</v>
      </c>
      <c r="V108" s="175">
        <v>1810519.77</v>
      </c>
      <c r="W108" s="175">
        <v>1971662.33</v>
      </c>
      <c r="X108" s="175">
        <v>1725325.9</v>
      </c>
      <c r="Y108" s="175">
        <v>1210566.52</v>
      </c>
      <c r="Z108" s="175">
        <v>965114.25</v>
      </c>
      <c r="AA108" s="175">
        <v>892866.7</v>
      </c>
      <c r="AB108" s="175">
        <v>798533.11</v>
      </c>
      <c r="AC108" s="115"/>
      <c r="AD108" s="115"/>
      <c r="AE108" s="115"/>
      <c r="AF108" s="115"/>
      <c r="AG108" s="115"/>
    </row>
    <row r="109" spans="1:33" s="101" customFormat="1" ht="15">
      <c r="A109" s="153" t="s">
        <v>139</v>
      </c>
      <c r="B109" s="154"/>
      <c r="C109" s="187"/>
      <c r="D109" s="155"/>
      <c r="E109" s="175">
        <v>0</v>
      </c>
      <c r="F109" s="175">
        <v>0</v>
      </c>
      <c r="G109" s="175">
        <v>0</v>
      </c>
      <c r="H109" s="175">
        <v>0</v>
      </c>
      <c r="I109" s="175">
        <v>0</v>
      </c>
      <c r="J109" s="175">
        <v>0</v>
      </c>
      <c r="K109" s="175">
        <v>0</v>
      </c>
      <c r="L109" s="175">
        <v>0</v>
      </c>
      <c r="M109" s="175">
        <v>0</v>
      </c>
      <c r="N109" s="175">
        <v>0</v>
      </c>
      <c r="O109" s="175">
        <v>0</v>
      </c>
      <c r="P109" s="175">
        <v>0</v>
      </c>
      <c r="Q109" s="175">
        <v>0</v>
      </c>
      <c r="R109" s="175">
        <v>0</v>
      </c>
      <c r="S109" s="175">
        <v>0</v>
      </c>
      <c r="T109" s="175">
        <v>0</v>
      </c>
      <c r="U109" s="175">
        <v>0</v>
      </c>
      <c r="V109" s="175">
        <v>0</v>
      </c>
      <c r="W109" s="175">
        <v>0</v>
      </c>
      <c r="X109" s="175">
        <v>0</v>
      </c>
      <c r="Y109" s="175">
        <v>0</v>
      </c>
      <c r="Z109" s="175">
        <v>0</v>
      </c>
      <c r="AA109" s="175">
        <v>0</v>
      </c>
      <c r="AB109" s="175">
        <v>0</v>
      </c>
      <c r="AC109" s="115"/>
      <c r="AD109" s="115"/>
      <c r="AE109" s="115"/>
      <c r="AF109" s="115"/>
      <c r="AG109" s="115"/>
    </row>
    <row r="110" spans="1:33" s="101" customFormat="1" ht="15">
      <c r="A110" s="153" t="s">
        <v>140</v>
      </c>
      <c r="B110" s="154"/>
      <c r="C110" s="187" t="s">
        <v>34</v>
      </c>
      <c r="D110" s="155"/>
      <c r="E110" s="175">
        <v>0</v>
      </c>
      <c r="F110" s="175">
        <v>0</v>
      </c>
      <c r="G110" s="175">
        <v>0</v>
      </c>
      <c r="H110" s="175">
        <v>0</v>
      </c>
      <c r="I110" s="175">
        <v>0</v>
      </c>
      <c r="J110" s="175">
        <v>0</v>
      </c>
      <c r="K110" s="175">
        <v>0</v>
      </c>
      <c r="L110" s="175">
        <v>0</v>
      </c>
      <c r="M110" s="175">
        <v>0</v>
      </c>
      <c r="N110" s="175">
        <v>0</v>
      </c>
      <c r="O110" s="175">
        <v>0</v>
      </c>
      <c r="P110" s="175">
        <v>0</v>
      </c>
      <c r="Q110" s="175">
        <v>0</v>
      </c>
      <c r="R110" s="175">
        <v>0</v>
      </c>
      <c r="S110" s="175">
        <v>0</v>
      </c>
      <c r="T110" s="175">
        <v>0</v>
      </c>
      <c r="U110" s="175">
        <v>0</v>
      </c>
      <c r="V110" s="175">
        <v>0</v>
      </c>
      <c r="W110" s="175">
        <v>0</v>
      </c>
      <c r="X110" s="175">
        <v>0</v>
      </c>
      <c r="Y110" s="175">
        <v>0</v>
      </c>
      <c r="Z110" s="175">
        <v>0</v>
      </c>
      <c r="AA110" s="175">
        <v>0</v>
      </c>
      <c r="AB110" s="175">
        <v>0</v>
      </c>
      <c r="AC110" s="115"/>
      <c r="AD110" s="115"/>
      <c r="AE110" s="115"/>
      <c r="AF110" s="115"/>
      <c r="AG110" s="115"/>
    </row>
    <row r="111" spans="1:33" s="101" customFormat="1" ht="15">
      <c r="A111" s="106" t="s">
        <v>141</v>
      </c>
      <c r="C111" s="187" t="s">
        <v>182</v>
      </c>
      <c r="D111" s="120"/>
      <c r="E111" s="176">
        <v>0</v>
      </c>
      <c r="F111" s="176">
        <v>0</v>
      </c>
      <c r="G111" s="176">
        <v>0</v>
      </c>
      <c r="H111" s="176">
        <v>0</v>
      </c>
      <c r="I111" s="176">
        <v>0</v>
      </c>
      <c r="J111" s="176">
        <v>0</v>
      </c>
      <c r="K111" s="176">
        <v>0</v>
      </c>
      <c r="L111" s="176">
        <v>0</v>
      </c>
      <c r="M111" s="176">
        <v>0</v>
      </c>
      <c r="N111" s="176">
        <v>0</v>
      </c>
      <c r="O111" s="176">
        <v>0</v>
      </c>
      <c r="P111" s="176">
        <v>0</v>
      </c>
      <c r="Q111" s="176">
        <v>0</v>
      </c>
      <c r="R111" s="176">
        <v>0</v>
      </c>
      <c r="S111" s="176">
        <v>0</v>
      </c>
      <c r="T111" s="176">
        <v>0</v>
      </c>
      <c r="U111" s="176">
        <v>0</v>
      </c>
      <c r="V111" s="176">
        <v>0</v>
      </c>
      <c r="W111" s="176">
        <v>0</v>
      </c>
      <c r="X111" s="176">
        <v>0</v>
      </c>
      <c r="Y111" s="176">
        <v>0</v>
      </c>
      <c r="Z111" s="176">
        <v>0</v>
      </c>
      <c r="AA111" s="176">
        <v>0</v>
      </c>
      <c r="AB111" s="176">
        <v>0</v>
      </c>
      <c r="AC111" s="115"/>
      <c r="AD111" s="115"/>
      <c r="AE111" s="115"/>
      <c r="AF111" s="115"/>
      <c r="AG111" s="115"/>
    </row>
    <row r="112" spans="1:33" s="101" customFormat="1" ht="15">
      <c r="A112" s="106" t="s">
        <v>142</v>
      </c>
      <c r="C112" s="187"/>
      <c r="D112" s="120"/>
      <c r="E112" s="176">
        <v>0</v>
      </c>
      <c r="F112" s="176">
        <v>0</v>
      </c>
      <c r="G112" s="176">
        <v>0</v>
      </c>
      <c r="H112" s="176">
        <v>0</v>
      </c>
      <c r="I112" s="176">
        <v>0</v>
      </c>
      <c r="J112" s="176">
        <v>0</v>
      </c>
      <c r="K112" s="176">
        <v>0</v>
      </c>
      <c r="L112" s="176">
        <v>0</v>
      </c>
      <c r="M112" s="176">
        <v>0</v>
      </c>
      <c r="N112" s="176">
        <v>0</v>
      </c>
      <c r="O112" s="176">
        <v>0</v>
      </c>
      <c r="P112" s="176">
        <v>0</v>
      </c>
      <c r="Q112" s="176">
        <v>0</v>
      </c>
      <c r="R112" s="176">
        <v>0</v>
      </c>
      <c r="S112" s="176">
        <v>0</v>
      </c>
      <c r="T112" s="176">
        <v>0</v>
      </c>
      <c r="U112" s="176">
        <v>0</v>
      </c>
      <c r="V112" s="176">
        <v>0</v>
      </c>
      <c r="W112" s="176">
        <v>0</v>
      </c>
      <c r="X112" s="176">
        <v>0</v>
      </c>
      <c r="Y112" s="176">
        <v>0</v>
      </c>
      <c r="Z112" s="176">
        <v>0</v>
      </c>
      <c r="AA112" s="176">
        <v>0</v>
      </c>
      <c r="AB112" s="176">
        <v>0</v>
      </c>
      <c r="AC112" s="115"/>
      <c r="AD112" s="115"/>
      <c r="AE112" s="115"/>
      <c r="AF112" s="115"/>
      <c r="AG112" s="115"/>
    </row>
    <row r="113" spans="1:33" s="101" customFormat="1" ht="15">
      <c r="A113" s="106" t="s">
        <v>143</v>
      </c>
      <c r="C113" s="187"/>
      <c r="D113" s="120">
        <v>139527.43</v>
      </c>
      <c r="E113" s="176">
        <v>153531.48</v>
      </c>
      <c r="F113" s="176">
        <v>152162.83</v>
      </c>
      <c r="G113" s="176">
        <v>158882.88</v>
      </c>
      <c r="H113" s="176">
        <v>133214.23</v>
      </c>
      <c r="I113" s="176">
        <v>121590.87</v>
      </c>
      <c r="J113" s="176">
        <v>118233.36</v>
      </c>
      <c r="K113" s="176">
        <v>82447.03</v>
      </c>
      <c r="L113" s="176">
        <v>76867.99</v>
      </c>
      <c r="M113" s="176">
        <v>47193.05</v>
      </c>
      <c r="N113" s="176">
        <v>59469.69</v>
      </c>
      <c r="O113" s="176">
        <v>60890.66</v>
      </c>
      <c r="P113" s="176">
        <v>67334.41</v>
      </c>
      <c r="Q113" s="176">
        <v>81919.3</v>
      </c>
      <c r="R113" s="176">
        <v>90577.61</v>
      </c>
      <c r="S113" s="176">
        <v>94085.48</v>
      </c>
      <c r="T113" s="176">
        <v>73836.44</v>
      </c>
      <c r="U113" s="176">
        <v>79050.44</v>
      </c>
      <c r="V113" s="176">
        <v>84252.64</v>
      </c>
      <c r="W113" s="176">
        <v>103460.02</v>
      </c>
      <c r="X113" s="176">
        <v>100557.66</v>
      </c>
      <c r="Y113" s="176">
        <v>141603.51</v>
      </c>
      <c r="Z113" s="176">
        <v>117300.56</v>
      </c>
      <c r="AA113" s="176">
        <v>94852.4</v>
      </c>
      <c r="AB113" s="176">
        <v>79396.69</v>
      </c>
      <c r="AC113" s="115"/>
      <c r="AD113" s="115"/>
      <c r="AE113" s="115"/>
      <c r="AF113" s="115"/>
      <c r="AG113" s="115"/>
    </row>
    <row r="114" spans="1:33" s="101" customFormat="1" ht="15">
      <c r="A114" s="106" t="s">
        <v>144</v>
      </c>
      <c r="C114" s="187"/>
      <c r="D114" s="120"/>
      <c r="E114" s="176">
        <v>0</v>
      </c>
      <c r="F114" s="176">
        <v>0</v>
      </c>
      <c r="G114" s="176">
        <v>0</v>
      </c>
      <c r="H114" s="176">
        <v>0</v>
      </c>
      <c r="I114" s="176">
        <v>0</v>
      </c>
      <c r="J114" s="176">
        <v>0</v>
      </c>
      <c r="K114" s="176">
        <v>0</v>
      </c>
      <c r="L114" s="176">
        <v>0</v>
      </c>
      <c r="M114" s="176">
        <v>0</v>
      </c>
      <c r="N114" s="176">
        <v>0</v>
      </c>
      <c r="O114" s="176">
        <v>0</v>
      </c>
      <c r="P114" s="176">
        <v>0</v>
      </c>
      <c r="Q114" s="176">
        <v>0</v>
      </c>
      <c r="R114" s="176">
        <v>0</v>
      </c>
      <c r="S114" s="176">
        <v>0</v>
      </c>
      <c r="T114" s="176">
        <v>0</v>
      </c>
      <c r="U114" s="176">
        <v>0</v>
      </c>
      <c r="V114" s="176">
        <v>0</v>
      </c>
      <c r="W114" s="176">
        <v>0</v>
      </c>
      <c r="X114" s="176">
        <v>0</v>
      </c>
      <c r="Y114" s="176">
        <v>0</v>
      </c>
      <c r="Z114" s="176">
        <v>0</v>
      </c>
      <c r="AA114" s="176">
        <v>0</v>
      </c>
      <c r="AB114" s="176">
        <v>0</v>
      </c>
      <c r="AC114" s="115"/>
      <c r="AD114" s="115"/>
      <c r="AE114" s="115"/>
      <c r="AF114" s="115"/>
      <c r="AG114" s="115"/>
    </row>
    <row r="115" spans="1:33" s="101" customFormat="1" ht="15">
      <c r="A115" s="106" t="s">
        <v>145</v>
      </c>
      <c r="C115" s="187" t="s">
        <v>36</v>
      </c>
      <c r="D115" s="120"/>
      <c r="E115" s="176">
        <v>0</v>
      </c>
      <c r="F115" s="176">
        <v>0</v>
      </c>
      <c r="G115" s="176">
        <v>0</v>
      </c>
      <c r="H115" s="176">
        <v>0</v>
      </c>
      <c r="I115" s="176">
        <v>0</v>
      </c>
      <c r="J115" s="176">
        <v>0</v>
      </c>
      <c r="K115" s="176">
        <v>0</v>
      </c>
      <c r="L115" s="176">
        <v>0</v>
      </c>
      <c r="M115" s="176">
        <v>0</v>
      </c>
      <c r="N115" s="176">
        <v>0</v>
      </c>
      <c r="O115" s="176">
        <v>0</v>
      </c>
      <c r="P115" s="176">
        <v>0</v>
      </c>
      <c r="Q115" s="176">
        <v>0</v>
      </c>
      <c r="R115" s="176">
        <v>0</v>
      </c>
      <c r="S115" s="176">
        <v>0</v>
      </c>
      <c r="T115" s="176">
        <v>0</v>
      </c>
      <c r="U115" s="176">
        <v>0</v>
      </c>
      <c r="V115" s="176">
        <v>0</v>
      </c>
      <c r="W115" s="176">
        <v>0</v>
      </c>
      <c r="X115" s="176">
        <v>0</v>
      </c>
      <c r="Y115" s="176">
        <v>0</v>
      </c>
      <c r="Z115" s="176">
        <v>0</v>
      </c>
      <c r="AA115" s="176">
        <v>0</v>
      </c>
      <c r="AB115" s="176">
        <v>0</v>
      </c>
      <c r="AC115" s="115"/>
      <c r="AD115" s="115"/>
      <c r="AE115" s="115"/>
      <c r="AF115" s="115"/>
      <c r="AG115" s="115"/>
    </row>
    <row r="116" spans="1:33" s="101" customFormat="1" ht="15">
      <c r="A116" s="153" t="s">
        <v>146</v>
      </c>
      <c r="B116" s="154"/>
      <c r="C116" s="187" t="s">
        <v>183</v>
      </c>
      <c r="D116" s="155"/>
      <c r="E116" s="175">
        <v>0</v>
      </c>
      <c r="F116" s="175">
        <v>0</v>
      </c>
      <c r="G116" s="175">
        <v>0</v>
      </c>
      <c r="H116" s="175">
        <v>0</v>
      </c>
      <c r="I116" s="175">
        <v>0</v>
      </c>
      <c r="J116" s="175">
        <v>0</v>
      </c>
      <c r="K116" s="175">
        <v>0</v>
      </c>
      <c r="L116" s="175">
        <v>0</v>
      </c>
      <c r="M116" s="175">
        <v>0</v>
      </c>
      <c r="N116" s="175">
        <v>0</v>
      </c>
      <c r="O116" s="175">
        <v>0</v>
      </c>
      <c r="P116" s="175">
        <v>0</v>
      </c>
      <c r="Q116" s="175">
        <v>0</v>
      </c>
      <c r="R116" s="175">
        <v>0</v>
      </c>
      <c r="S116" s="175">
        <v>0</v>
      </c>
      <c r="T116" s="175">
        <v>0</v>
      </c>
      <c r="U116" s="175">
        <v>0</v>
      </c>
      <c r="V116" s="175">
        <v>0</v>
      </c>
      <c r="W116" s="175">
        <v>0</v>
      </c>
      <c r="X116" s="175">
        <v>0</v>
      </c>
      <c r="Y116" s="175">
        <v>0</v>
      </c>
      <c r="Z116" s="175">
        <v>0</v>
      </c>
      <c r="AA116" s="175">
        <v>0</v>
      </c>
      <c r="AB116" s="175">
        <v>0</v>
      </c>
      <c r="AC116" s="115"/>
      <c r="AD116" s="115"/>
      <c r="AE116" s="115"/>
      <c r="AF116" s="115"/>
      <c r="AG116" s="115"/>
    </row>
    <row r="117" spans="1:33" s="101" customFormat="1" ht="15">
      <c r="A117" s="153" t="s">
        <v>147</v>
      </c>
      <c r="B117" s="154"/>
      <c r="C117" s="187"/>
      <c r="D117" s="155"/>
      <c r="E117" s="175">
        <v>0</v>
      </c>
      <c r="F117" s="175">
        <v>0</v>
      </c>
      <c r="G117" s="175">
        <v>0</v>
      </c>
      <c r="H117" s="175">
        <v>0</v>
      </c>
      <c r="I117" s="175">
        <v>0</v>
      </c>
      <c r="J117" s="175">
        <v>0</v>
      </c>
      <c r="K117" s="175">
        <v>0</v>
      </c>
      <c r="L117" s="175">
        <v>0</v>
      </c>
      <c r="M117" s="175">
        <v>0</v>
      </c>
      <c r="N117" s="175">
        <v>0</v>
      </c>
      <c r="O117" s="175">
        <v>0</v>
      </c>
      <c r="P117" s="175">
        <v>0</v>
      </c>
      <c r="Q117" s="175">
        <v>0</v>
      </c>
      <c r="R117" s="175">
        <v>0</v>
      </c>
      <c r="S117" s="175">
        <v>0</v>
      </c>
      <c r="T117" s="175">
        <v>0</v>
      </c>
      <c r="U117" s="175">
        <v>0</v>
      </c>
      <c r="V117" s="175">
        <v>0</v>
      </c>
      <c r="W117" s="175">
        <v>0</v>
      </c>
      <c r="X117" s="175">
        <v>0</v>
      </c>
      <c r="Y117" s="175">
        <v>0</v>
      </c>
      <c r="Z117" s="175">
        <v>0</v>
      </c>
      <c r="AA117" s="175">
        <v>0</v>
      </c>
      <c r="AB117" s="175">
        <v>0</v>
      </c>
      <c r="AC117" s="115"/>
      <c r="AD117" s="115"/>
      <c r="AE117" s="115"/>
      <c r="AF117" s="115"/>
      <c r="AG117" s="115"/>
    </row>
    <row r="118" spans="1:33" s="101" customFormat="1" ht="15">
      <c r="A118" s="153" t="s">
        <v>148</v>
      </c>
      <c r="B118" s="154"/>
      <c r="C118" s="187"/>
      <c r="D118" s="155">
        <v>1389.16</v>
      </c>
      <c r="E118" s="175">
        <v>1447.94</v>
      </c>
      <c r="F118" s="175">
        <v>1496.2</v>
      </c>
      <c r="G118" s="175">
        <v>1542.98</v>
      </c>
      <c r="H118" s="175">
        <v>1596.01</v>
      </c>
      <c r="I118" s="175">
        <v>1658.84</v>
      </c>
      <c r="J118" s="175">
        <v>1746.58</v>
      </c>
      <c r="K118" s="175">
        <v>252.77</v>
      </c>
      <c r="L118" s="175">
        <v>682.24</v>
      </c>
      <c r="M118" s="175">
        <v>396.42</v>
      </c>
      <c r="N118" s="175">
        <v>886.7</v>
      </c>
      <c r="O118" s="175">
        <v>1223.89</v>
      </c>
      <c r="P118" s="175">
        <v>1397.39</v>
      </c>
      <c r="Q118" s="175">
        <v>1471.98</v>
      </c>
      <c r="R118" s="175">
        <v>1544.42</v>
      </c>
      <c r="S118" s="175">
        <v>1599.64</v>
      </c>
      <c r="T118" s="175">
        <v>1659.24</v>
      </c>
      <c r="U118" s="175">
        <v>1723.46</v>
      </c>
      <c r="V118" s="175">
        <v>177.37</v>
      </c>
      <c r="W118" s="175">
        <v>419.53</v>
      </c>
      <c r="X118" s="175">
        <v>858.55</v>
      </c>
      <c r="Y118" s="175">
        <v>1247.78</v>
      </c>
      <c r="Z118" s="175">
        <v>1640.61</v>
      </c>
      <c r="AA118" s="175">
        <v>1976.21</v>
      </c>
      <c r="AB118" s="175">
        <v>2215.43</v>
      </c>
      <c r="AC118" s="115"/>
      <c r="AD118" s="115"/>
      <c r="AE118" s="115"/>
      <c r="AF118" s="115"/>
      <c r="AG118" s="115"/>
    </row>
    <row r="119" spans="1:33" s="101" customFormat="1" ht="15">
      <c r="A119" s="153" t="s">
        <v>149</v>
      </c>
      <c r="B119" s="154"/>
      <c r="C119" s="187"/>
      <c r="D119" s="155"/>
      <c r="E119" s="175">
        <v>0</v>
      </c>
      <c r="F119" s="175">
        <v>0</v>
      </c>
      <c r="G119" s="175">
        <v>0</v>
      </c>
      <c r="H119" s="175">
        <v>0</v>
      </c>
      <c r="I119" s="175">
        <v>0</v>
      </c>
      <c r="J119" s="175">
        <v>0</v>
      </c>
      <c r="K119" s="175">
        <v>0</v>
      </c>
      <c r="L119" s="175">
        <v>0</v>
      </c>
      <c r="M119" s="175">
        <v>0</v>
      </c>
      <c r="N119" s="175">
        <v>0</v>
      </c>
      <c r="O119" s="175">
        <v>0</v>
      </c>
      <c r="P119" s="175">
        <v>0</v>
      </c>
      <c r="Q119" s="175">
        <v>0</v>
      </c>
      <c r="R119" s="175">
        <v>0</v>
      </c>
      <c r="S119" s="175">
        <v>0</v>
      </c>
      <c r="T119" s="175">
        <v>0</v>
      </c>
      <c r="U119" s="175">
        <v>0</v>
      </c>
      <c r="V119" s="175">
        <v>0</v>
      </c>
      <c r="W119" s="175">
        <v>0</v>
      </c>
      <c r="X119" s="175">
        <v>0</v>
      </c>
      <c r="Y119" s="175">
        <v>0</v>
      </c>
      <c r="Z119" s="175">
        <v>0</v>
      </c>
      <c r="AA119" s="175">
        <v>0</v>
      </c>
      <c r="AB119" s="175">
        <v>0</v>
      </c>
      <c r="AC119" s="115"/>
      <c r="AD119" s="115"/>
      <c r="AE119" s="115"/>
      <c r="AF119" s="115"/>
      <c r="AG119" s="115"/>
    </row>
    <row r="120" spans="1:33" s="101" customFormat="1" ht="15">
      <c r="A120" s="153" t="s">
        <v>150</v>
      </c>
      <c r="B120" s="154"/>
      <c r="C120" s="187" t="s">
        <v>28</v>
      </c>
      <c r="D120" s="155"/>
      <c r="E120" s="175">
        <v>0</v>
      </c>
      <c r="F120" s="175">
        <v>0</v>
      </c>
      <c r="G120" s="175">
        <v>0</v>
      </c>
      <c r="H120" s="175">
        <v>0</v>
      </c>
      <c r="I120" s="175">
        <v>0</v>
      </c>
      <c r="J120" s="175">
        <v>0</v>
      </c>
      <c r="K120" s="175">
        <v>0</v>
      </c>
      <c r="L120" s="175">
        <v>0</v>
      </c>
      <c r="M120" s="175">
        <v>0</v>
      </c>
      <c r="N120" s="175">
        <v>0</v>
      </c>
      <c r="O120" s="175">
        <v>0</v>
      </c>
      <c r="P120" s="175">
        <v>0</v>
      </c>
      <c r="Q120" s="175">
        <v>0</v>
      </c>
      <c r="R120" s="175">
        <v>0</v>
      </c>
      <c r="S120" s="175">
        <v>0</v>
      </c>
      <c r="T120" s="175">
        <v>0</v>
      </c>
      <c r="U120" s="175">
        <v>0</v>
      </c>
      <c r="V120" s="175">
        <v>0</v>
      </c>
      <c r="W120" s="175">
        <v>0</v>
      </c>
      <c r="X120" s="175">
        <v>0</v>
      </c>
      <c r="Y120" s="175">
        <v>0</v>
      </c>
      <c r="Z120" s="175">
        <v>0</v>
      </c>
      <c r="AA120" s="175">
        <v>0</v>
      </c>
      <c r="AB120" s="175">
        <v>0</v>
      </c>
      <c r="AC120" s="115"/>
      <c r="AD120" s="115"/>
      <c r="AE120" s="115"/>
      <c r="AF120" s="115"/>
      <c r="AG120" s="115"/>
    </row>
    <row r="121" spans="1:33" s="101" customFormat="1" ht="15">
      <c r="A121" s="106" t="s">
        <v>151</v>
      </c>
      <c r="C121" s="187" t="s">
        <v>184</v>
      </c>
      <c r="D121" s="120"/>
      <c r="E121" s="176">
        <v>0</v>
      </c>
      <c r="F121" s="176">
        <v>0</v>
      </c>
      <c r="G121" s="176">
        <v>0</v>
      </c>
      <c r="H121" s="176">
        <v>0</v>
      </c>
      <c r="I121" s="176">
        <v>0</v>
      </c>
      <c r="J121" s="176">
        <v>0</v>
      </c>
      <c r="K121" s="176">
        <v>0</v>
      </c>
      <c r="L121" s="176">
        <v>0</v>
      </c>
      <c r="M121" s="176">
        <v>0</v>
      </c>
      <c r="N121" s="176">
        <v>0</v>
      </c>
      <c r="O121" s="176">
        <v>0</v>
      </c>
      <c r="P121" s="176">
        <v>0</v>
      </c>
      <c r="Q121" s="176">
        <v>0</v>
      </c>
      <c r="R121" s="176">
        <v>0</v>
      </c>
      <c r="S121" s="176">
        <v>0</v>
      </c>
      <c r="T121" s="176">
        <v>0</v>
      </c>
      <c r="U121" s="176">
        <v>0</v>
      </c>
      <c r="V121" s="176">
        <v>0</v>
      </c>
      <c r="W121" s="176">
        <v>0</v>
      </c>
      <c r="X121" s="176">
        <v>0</v>
      </c>
      <c r="Y121" s="176">
        <v>0</v>
      </c>
      <c r="Z121" s="176">
        <v>0</v>
      </c>
      <c r="AA121" s="176">
        <v>0</v>
      </c>
      <c r="AB121" s="176">
        <v>0</v>
      </c>
      <c r="AC121" s="115"/>
      <c r="AD121" s="115"/>
      <c r="AE121" s="115"/>
      <c r="AF121" s="115"/>
      <c r="AG121" s="115"/>
    </row>
    <row r="122" spans="1:33" s="101" customFormat="1" ht="15">
      <c r="A122" s="106" t="s">
        <v>152</v>
      </c>
      <c r="C122" s="187"/>
      <c r="D122" s="120"/>
      <c r="E122" s="176">
        <v>0</v>
      </c>
      <c r="F122" s="176">
        <v>0</v>
      </c>
      <c r="G122" s="176">
        <v>0</v>
      </c>
      <c r="H122" s="176">
        <v>0</v>
      </c>
      <c r="I122" s="176">
        <v>0</v>
      </c>
      <c r="J122" s="176">
        <v>0</v>
      </c>
      <c r="K122" s="176">
        <v>0</v>
      </c>
      <c r="L122" s="176">
        <v>0</v>
      </c>
      <c r="M122" s="176">
        <v>0</v>
      </c>
      <c r="N122" s="176">
        <v>0</v>
      </c>
      <c r="O122" s="176">
        <v>0</v>
      </c>
      <c r="P122" s="176">
        <v>0</v>
      </c>
      <c r="Q122" s="176">
        <v>0</v>
      </c>
      <c r="R122" s="176">
        <v>0</v>
      </c>
      <c r="S122" s="176">
        <v>0</v>
      </c>
      <c r="T122" s="176">
        <v>0</v>
      </c>
      <c r="U122" s="176">
        <v>0</v>
      </c>
      <c r="V122" s="176">
        <v>0</v>
      </c>
      <c r="W122" s="176">
        <v>0</v>
      </c>
      <c r="X122" s="176">
        <v>0</v>
      </c>
      <c r="Y122" s="176">
        <v>0</v>
      </c>
      <c r="Z122" s="176">
        <v>0</v>
      </c>
      <c r="AA122" s="176">
        <v>0</v>
      </c>
      <c r="AB122" s="176">
        <v>0</v>
      </c>
      <c r="AC122" s="115"/>
      <c r="AD122" s="115"/>
      <c r="AE122" s="115"/>
      <c r="AF122" s="115"/>
      <c r="AG122" s="115"/>
    </row>
    <row r="123" spans="1:33" s="101" customFormat="1" ht="15">
      <c r="A123" s="106" t="s">
        <v>153</v>
      </c>
      <c r="C123" s="187"/>
      <c r="D123" s="120">
        <v>3198997.57</v>
      </c>
      <c r="E123" s="176">
        <v>3255551.82</v>
      </c>
      <c r="F123" s="176">
        <v>3123075.47</v>
      </c>
      <c r="G123" s="176">
        <v>3462887.39</v>
      </c>
      <c r="H123" s="176">
        <v>2862651.98</v>
      </c>
      <c r="I123" s="176">
        <v>2248249.1</v>
      </c>
      <c r="J123" s="176">
        <v>2495895.34</v>
      </c>
      <c r="K123" s="176">
        <v>2620762.39</v>
      </c>
      <c r="L123" s="176">
        <v>2658324.25</v>
      </c>
      <c r="M123" s="176">
        <v>2437922.66</v>
      </c>
      <c r="N123" s="176">
        <v>2226269.58</v>
      </c>
      <c r="O123" s="176">
        <v>2551022.02</v>
      </c>
      <c r="P123" s="176">
        <v>2290818.11</v>
      </c>
      <c r="Q123" s="176">
        <v>2246500.28</v>
      </c>
      <c r="R123" s="176">
        <v>1905520.21</v>
      </c>
      <c r="S123" s="176">
        <v>2240629.8</v>
      </c>
      <c r="T123" s="176">
        <v>2576788.52</v>
      </c>
      <c r="U123" s="176">
        <v>1769391.64</v>
      </c>
      <c r="V123" s="176">
        <v>1983384.41</v>
      </c>
      <c r="W123" s="176">
        <v>2199538.97</v>
      </c>
      <c r="X123" s="176">
        <v>2339228.34</v>
      </c>
      <c r="Y123" s="176">
        <v>2073248.64</v>
      </c>
      <c r="Z123" s="176">
        <v>1391231.55</v>
      </c>
      <c r="AA123" s="176">
        <v>1719453.35</v>
      </c>
      <c r="AB123" s="176">
        <v>1085996.4</v>
      </c>
      <c r="AC123" s="115"/>
      <c r="AD123" s="115"/>
      <c r="AE123" s="115"/>
      <c r="AF123" s="115"/>
      <c r="AG123" s="115"/>
    </row>
    <row r="124" spans="1:33" s="101" customFormat="1" ht="15">
      <c r="A124" s="106" t="s">
        <v>154</v>
      </c>
      <c r="C124" s="187"/>
      <c r="D124" s="120"/>
      <c r="E124" s="176">
        <v>0</v>
      </c>
      <c r="F124" s="176">
        <v>0</v>
      </c>
      <c r="G124" s="176">
        <v>0</v>
      </c>
      <c r="H124" s="176">
        <v>0</v>
      </c>
      <c r="I124" s="176">
        <v>0</v>
      </c>
      <c r="J124" s="176">
        <v>0</v>
      </c>
      <c r="K124" s="176">
        <v>0</v>
      </c>
      <c r="L124" s="176">
        <v>0</v>
      </c>
      <c r="M124" s="176">
        <v>0</v>
      </c>
      <c r="N124" s="176">
        <v>0</v>
      </c>
      <c r="O124" s="176">
        <v>0</v>
      </c>
      <c r="P124" s="176">
        <v>0</v>
      </c>
      <c r="Q124" s="176">
        <v>0</v>
      </c>
      <c r="R124" s="176">
        <v>0</v>
      </c>
      <c r="S124" s="176">
        <v>0</v>
      </c>
      <c r="T124" s="176">
        <v>0</v>
      </c>
      <c r="U124" s="176">
        <v>0</v>
      </c>
      <c r="V124" s="176">
        <v>0</v>
      </c>
      <c r="W124" s="176">
        <v>0</v>
      </c>
      <c r="X124" s="176">
        <v>0</v>
      </c>
      <c r="Y124" s="176">
        <v>0</v>
      </c>
      <c r="Z124" s="176">
        <v>0</v>
      </c>
      <c r="AA124" s="176">
        <v>0</v>
      </c>
      <c r="AB124" s="176">
        <v>0</v>
      </c>
      <c r="AC124" s="115"/>
      <c r="AD124" s="115"/>
      <c r="AE124" s="115"/>
      <c r="AF124" s="115"/>
      <c r="AG124" s="115"/>
    </row>
    <row r="125" spans="1:33" s="101" customFormat="1" ht="15">
      <c r="A125" s="106" t="s">
        <v>155</v>
      </c>
      <c r="C125" s="187" t="s">
        <v>29</v>
      </c>
      <c r="D125" s="120"/>
      <c r="E125" s="176">
        <v>0</v>
      </c>
      <c r="F125" s="176">
        <v>0</v>
      </c>
      <c r="G125" s="176">
        <v>0</v>
      </c>
      <c r="H125" s="176">
        <v>0</v>
      </c>
      <c r="I125" s="176">
        <v>0</v>
      </c>
      <c r="J125" s="176">
        <v>0</v>
      </c>
      <c r="K125" s="176">
        <v>0</v>
      </c>
      <c r="L125" s="176">
        <v>0</v>
      </c>
      <c r="M125" s="176">
        <v>0</v>
      </c>
      <c r="N125" s="176">
        <v>0</v>
      </c>
      <c r="O125" s="176">
        <v>0</v>
      </c>
      <c r="P125" s="176">
        <v>0</v>
      </c>
      <c r="Q125" s="176">
        <v>0</v>
      </c>
      <c r="R125" s="176">
        <v>0</v>
      </c>
      <c r="S125" s="176">
        <v>0</v>
      </c>
      <c r="T125" s="176">
        <v>0</v>
      </c>
      <c r="U125" s="176">
        <v>0</v>
      </c>
      <c r="V125" s="176">
        <v>0</v>
      </c>
      <c r="W125" s="176">
        <v>0</v>
      </c>
      <c r="X125" s="176">
        <v>0</v>
      </c>
      <c r="Y125" s="176">
        <v>0</v>
      </c>
      <c r="Z125" s="176">
        <v>0</v>
      </c>
      <c r="AA125" s="176">
        <v>0</v>
      </c>
      <c r="AB125" s="176">
        <v>0</v>
      </c>
      <c r="AC125" s="115"/>
      <c r="AD125" s="115"/>
      <c r="AE125" s="115"/>
      <c r="AF125" s="115"/>
      <c r="AG125" s="115"/>
    </row>
    <row r="126" spans="1:33" s="101" customFormat="1" ht="15">
      <c r="A126" s="153" t="s">
        <v>156</v>
      </c>
      <c r="B126" s="154"/>
      <c r="C126" s="187" t="s">
        <v>185</v>
      </c>
      <c r="D126" s="155"/>
      <c r="E126" s="175">
        <v>0</v>
      </c>
      <c r="F126" s="175">
        <v>0</v>
      </c>
      <c r="G126" s="175">
        <v>0</v>
      </c>
      <c r="H126" s="175">
        <v>0</v>
      </c>
      <c r="I126" s="175">
        <v>0</v>
      </c>
      <c r="J126" s="175">
        <v>0</v>
      </c>
      <c r="K126" s="175">
        <v>0</v>
      </c>
      <c r="L126" s="175">
        <v>0</v>
      </c>
      <c r="M126" s="175">
        <v>0</v>
      </c>
      <c r="N126" s="175">
        <v>0</v>
      </c>
      <c r="O126" s="175">
        <v>0</v>
      </c>
      <c r="P126" s="175">
        <v>0</v>
      </c>
      <c r="Q126" s="175">
        <v>0</v>
      </c>
      <c r="R126" s="175">
        <v>0</v>
      </c>
      <c r="S126" s="175">
        <v>0</v>
      </c>
      <c r="T126" s="175">
        <v>0</v>
      </c>
      <c r="U126" s="175">
        <v>0</v>
      </c>
      <c r="V126" s="175">
        <v>0</v>
      </c>
      <c r="W126" s="175">
        <v>0</v>
      </c>
      <c r="X126" s="175">
        <v>0</v>
      </c>
      <c r="Y126" s="175">
        <v>0</v>
      </c>
      <c r="Z126" s="175">
        <v>0</v>
      </c>
      <c r="AA126" s="175">
        <v>0</v>
      </c>
      <c r="AB126" s="175">
        <v>0</v>
      </c>
      <c r="AC126" s="115"/>
      <c r="AD126" s="115"/>
      <c r="AE126" s="115"/>
      <c r="AF126" s="115"/>
      <c r="AG126" s="115"/>
    </row>
    <row r="127" spans="1:33" s="101" customFormat="1" ht="15">
      <c r="A127" s="153" t="s">
        <v>157</v>
      </c>
      <c r="B127" s="154"/>
      <c r="C127" s="187"/>
      <c r="D127" s="155"/>
      <c r="E127" s="175">
        <v>0</v>
      </c>
      <c r="F127" s="175">
        <v>0</v>
      </c>
      <c r="G127" s="175">
        <v>0</v>
      </c>
      <c r="H127" s="175">
        <v>0</v>
      </c>
      <c r="I127" s="175">
        <v>0</v>
      </c>
      <c r="J127" s="175">
        <v>0</v>
      </c>
      <c r="K127" s="175">
        <v>0</v>
      </c>
      <c r="L127" s="175">
        <v>0</v>
      </c>
      <c r="M127" s="175">
        <v>0</v>
      </c>
      <c r="N127" s="175">
        <v>0</v>
      </c>
      <c r="O127" s="175">
        <v>0</v>
      </c>
      <c r="P127" s="175">
        <v>0</v>
      </c>
      <c r="Q127" s="175">
        <v>0</v>
      </c>
      <c r="R127" s="175">
        <v>0</v>
      </c>
      <c r="S127" s="175">
        <v>0</v>
      </c>
      <c r="T127" s="175">
        <v>0</v>
      </c>
      <c r="U127" s="175">
        <v>0</v>
      </c>
      <c r="V127" s="175">
        <v>0</v>
      </c>
      <c r="W127" s="175">
        <v>0</v>
      </c>
      <c r="X127" s="175">
        <v>0</v>
      </c>
      <c r="Y127" s="175">
        <v>0</v>
      </c>
      <c r="Z127" s="175">
        <v>0</v>
      </c>
      <c r="AA127" s="175">
        <v>0</v>
      </c>
      <c r="AB127" s="175">
        <v>0</v>
      </c>
      <c r="AC127" s="115"/>
      <c r="AD127" s="115"/>
      <c r="AE127" s="115"/>
      <c r="AF127" s="115"/>
      <c r="AG127" s="115"/>
    </row>
    <row r="128" spans="1:33" s="101" customFormat="1" ht="15">
      <c r="A128" s="153" t="s">
        <v>158</v>
      </c>
      <c r="B128" s="154"/>
      <c r="C128" s="187"/>
      <c r="D128" s="155">
        <v>823555.77</v>
      </c>
      <c r="E128" s="175">
        <v>859004.38</v>
      </c>
      <c r="F128" s="175">
        <v>873157.62</v>
      </c>
      <c r="G128" s="175">
        <v>948003.64</v>
      </c>
      <c r="H128" s="175">
        <v>1011898.85</v>
      </c>
      <c r="I128" s="175">
        <v>1008507.73</v>
      </c>
      <c r="J128" s="175">
        <v>978767.39</v>
      </c>
      <c r="K128" s="175">
        <v>921811.36</v>
      </c>
      <c r="L128" s="175">
        <v>892525.53</v>
      </c>
      <c r="M128" s="175">
        <v>870627.31</v>
      </c>
      <c r="N128" s="175">
        <v>889323.74</v>
      </c>
      <c r="O128" s="175">
        <v>856990.01</v>
      </c>
      <c r="P128" s="175">
        <v>828759.91</v>
      </c>
      <c r="Q128" s="175">
        <v>872827.07</v>
      </c>
      <c r="R128" s="175">
        <v>917297.04</v>
      </c>
      <c r="S128" s="175">
        <v>952818.08</v>
      </c>
      <c r="T128" s="175">
        <v>1017255.77</v>
      </c>
      <c r="U128" s="175">
        <v>979785.08</v>
      </c>
      <c r="V128" s="175">
        <v>886354.04</v>
      </c>
      <c r="W128" s="175">
        <v>916828.66</v>
      </c>
      <c r="X128" s="175">
        <v>820254.65</v>
      </c>
      <c r="Y128" s="175">
        <v>606325.21</v>
      </c>
      <c r="Z128" s="175">
        <v>425948.79</v>
      </c>
      <c r="AA128" s="175">
        <v>324975.67</v>
      </c>
      <c r="AB128" s="175">
        <v>306698.87</v>
      </c>
      <c r="AC128" s="115"/>
      <c r="AD128" s="115"/>
      <c r="AE128" s="115"/>
      <c r="AF128" s="115"/>
      <c r="AG128" s="115"/>
    </row>
    <row r="129" spans="1:33" s="101" customFormat="1" ht="15">
      <c r="A129" s="153" t="s">
        <v>159</v>
      </c>
      <c r="B129" s="154"/>
      <c r="C129" s="187"/>
      <c r="D129" s="155"/>
      <c r="E129" s="175">
        <v>0</v>
      </c>
      <c r="F129" s="175">
        <v>0</v>
      </c>
      <c r="G129" s="175">
        <v>0</v>
      </c>
      <c r="H129" s="175">
        <v>0</v>
      </c>
      <c r="I129" s="175">
        <v>0</v>
      </c>
      <c r="J129" s="175">
        <v>0</v>
      </c>
      <c r="K129" s="175">
        <v>0</v>
      </c>
      <c r="L129" s="175">
        <v>0</v>
      </c>
      <c r="M129" s="175">
        <v>0</v>
      </c>
      <c r="N129" s="175">
        <v>0</v>
      </c>
      <c r="O129" s="175">
        <v>0</v>
      </c>
      <c r="P129" s="175">
        <v>0</v>
      </c>
      <c r="Q129" s="175">
        <v>0</v>
      </c>
      <c r="R129" s="175">
        <v>0</v>
      </c>
      <c r="S129" s="175">
        <v>0</v>
      </c>
      <c r="T129" s="175">
        <v>0</v>
      </c>
      <c r="U129" s="175">
        <v>0</v>
      </c>
      <c r="V129" s="175">
        <v>0</v>
      </c>
      <c r="W129" s="175">
        <v>0</v>
      </c>
      <c r="X129" s="175">
        <v>0</v>
      </c>
      <c r="Y129" s="175">
        <v>0</v>
      </c>
      <c r="Z129" s="175">
        <v>0</v>
      </c>
      <c r="AA129" s="175">
        <v>0</v>
      </c>
      <c r="AB129" s="175">
        <v>0</v>
      </c>
      <c r="AC129" s="115"/>
      <c r="AD129" s="115"/>
      <c r="AE129" s="115"/>
      <c r="AF129" s="115"/>
      <c r="AG129" s="115"/>
    </row>
    <row r="130" spans="1:33" s="101" customFormat="1" ht="15">
      <c r="A130" s="153" t="s">
        <v>160</v>
      </c>
      <c r="B130" s="154"/>
      <c r="C130" s="187" t="s">
        <v>30</v>
      </c>
      <c r="D130" s="155"/>
      <c r="E130" s="175">
        <v>0</v>
      </c>
      <c r="F130" s="175">
        <v>0</v>
      </c>
      <c r="G130" s="175">
        <v>0</v>
      </c>
      <c r="H130" s="175">
        <v>0</v>
      </c>
      <c r="I130" s="175">
        <v>0</v>
      </c>
      <c r="J130" s="175">
        <v>0</v>
      </c>
      <c r="K130" s="175">
        <v>0</v>
      </c>
      <c r="L130" s="175">
        <v>0</v>
      </c>
      <c r="M130" s="175">
        <v>0</v>
      </c>
      <c r="N130" s="175">
        <v>0</v>
      </c>
      <c r="O130" s="175">
        <v>0</v>
      </c>
      <c r="P130" s="175">
        <v>0</v>
      </c>
      <c r="Q130" s="175">
        <v>0</v>
      </c>
      <c r="R130" s="175">
        <v>0</v>
      </c>
      <c r="S130" s="175">
        <v>0</v>
      </c>
      <c r="T130" s="175">
        <v>0</v>
      </c>
      <c r="U130" s="175">
        <v>0</v>
      </c>
      <c r="V130" s="175">
        <v>0</v>
      </c>
      <c r="W130" s="175">
        <v>0</v>
      </c>
      <c r="X130" s="175">
        <v>0</v>
      </c>
      <c r="Y130" s="175">
        <v>0</v>
      </c>
      <c r="Z130" s="175">
        <v>0</v>
      </c>
      <c r="AA130" s="175">
        <v>0</v>
      </c>
      <c r="AB130" s="175">
        <v>0</v>
      </c>
      <c r="AC130" s="115"/>
      <c r="AD130" s="115"/>
      <c r="AE130" s="115"/>
      <c r="AF130" s="115"/>
      <c r="AG130" s="115"/>
    </row>
    <row r="131" spans="1:33" s="101" customFormat="1" ht="15">
      <c r="A131" s="106"/>
      <c r="D131" s="120"/>
      <c r="E131" s="142"/>
      <c r="F131" s="142"/>
      <c r="G131" s="142"/>
      <c r="H131" s="142"/>
      <c r="I131" s="142"/>
      <c r="J131" s="142"/>
      <c r="K131" s="142"/>
      <c r="L131" s="142"/>
      <c r="M131" s="142"/>
      <c r="N131" s="142"/>
      <c r="O131" s="142" t="s">
        <v>52</v>
      </c>
      <c r="P131" s="142"/>
      <c r="Q131" s="142"/>
      <c r="R131" s="142"/>
      <c r="S131" s="142"/>
      <c r="T131" s="142"/>
      <c r="U131" s="142"/>
      <c r="V131" s="142"/>
      <c r="W131" s="142"/>
      <c r="X131" s="142"/>
      <c r="Y131" s="142"/>
      <c r="Z131" s="142"/>
      <c r="AA131" s="142"/>
      <c r="AB131" s="97"/>
      <c r="AC131" s="115"/>
      <c r="AD131" s="115"/>
      <c r="AE131" s="115"/>
      <c r="AF131" s="115"/>
      <c r="AG131" s="115"/>
    </row>
    <row r="132" spans="1:33" ht="15">
      <c r="A132" s="8"/>
      <c r="D132" s="25"/>
      <c r="E132" s="46"/>
      <c r="F132" s="46"/>
      <c r="G132" s="46"/>
      <c r="H132" s="46"/>
      <c r="I132" s="46"/>
      <c r="J132" s="46"/>
      <c r="K132" s="46" t="s">
        <v>10</v>
      </c>
      <c r="L132" s="46"/>
      <c r="M132" s="46"/>
      <c r="N132" s="46"/>
      <c r="O132" s="46"/>
      <c r="P132" s="46"/>
      <c r="Q132" s="46"/>
      <c r="R132" s="46"/>
      <c r="S132" s="46"/>
      <c r="T132" s="46"/>
      <c r="U132" s="46"/>
      <c r="V132" s="46"/>
      <c r="W132" s="46"/>
      <c r="X132" s="46"/>
      <c r="Y132" s="46"/>
      <c r="Z132" s="46"/>
      <c r="AA132" s="46"/>
      <c r="AB132" s="46"/>
      <c r="AC132" s="18"/>
      <c r="AD132" s="18"/>
      <c r="AE132" s="18"/>
      <c r="AF132" s="18"/>
      <c r="AG132" s="18"/>
    </row>
    <row r="133" spans="1:33" ht="15">
      <c r="A133" s="8" t="s">
        <v>8</v>
      </c>
      <c r="D133" s="24">
        <f>SUM(D26:D132)</f>
        <v>11819535.989999998</v>
      </c>
      <c r="E133" s="56">
        <f aca="true" t="shared" si="3" ref="E133:AB133">SUM(E26:E132)</f>
        <v>12405344.64</v>
      </c>
      <c r="F133" s="56">
        <f t="shared" si="3"/>
        <v>12700591.68</v>
      </c>
      <c r="G133" s="56">
        <f t="shared" si="3"/>
        <v>13593315.47</v>
      </c>
      <c r="H133" s="56">
        <f t="shared" si="3"/>
        <v>12800345.709999999</v>
      </c>
      <c r="I133" s="56">
        <f t="shared" si="3"/>
        <v>12246698.229999999</v>
      </c>
      <c r="J133" s="56">
        <f t="shared" si="3"/>
        <v>12565267.219999999</v>
      </c>
      <c r="K133" s="56">
        <f t="shared" si="3"/>
        <v>12734253.7</v>
      </c>
      <c r="L133" s="56">
        <f t="shared" si="3"/>
        <v>12462825.699999997</v>
      </c>
      <c r="M133" s="56">
        <f t="shared" si="3"/>
        <v>11392517.87</v>
      </c>
      <c r="N133" s="56">
        <f t="shared" si="3"/>
        <v>10602800.97</v>
      </c>
      <c r="O133" s="56">
        <f t="shared" si="3"/>
        <v>11036273.26</v>
      </c>
      <c r="P133" s="56">
        <f t="shared" si="3"/>
        <v>10504819.67</v>
      </c>
      <c r="Q133" s="56">
        <f t="shared" si="3"/>
        <v>11139264.22</v>
      </c>
      <c r="R133" s="56">
        <f t="shared" si="3"/>
        <v>11109045.32</v>
      </c>
      <c r="S133" s="56">
        <f t="shared" si="3"/>
        <v>11709289.070000002</v>
      </c>
      <c r="T133" s="56">
        <f t="shared" si="3"/>
        <v>12482574.11</v>
      </c>
      <c r="U133" s="56">
        <f t="shared" si="3"/>
        <v>11591719.070000002</v>
      </c>
      <c r="V133" s="56">
        <f t="shared" si="3"/>
        <v>11259637.73</v>
      </c>
      <c r="W133" s="56">
        <f t="shared" si="3"/>
        <v>11190457.8</v>
      </c>
      <c r="X133" s="56">
        <f t="shared" si="3"/>
        <v>10578876.15</v>
      </c>
      <c r="Y133" s="56">
        <f t="shared" si="3"/>
        <v>8931072.05</v>
      </c>
      <c r="Z133" s="56">
        <f t="shared" si="3"/>
        <v>7655430.88</v>
      </c>
      <c r="AA133" s="56">
        <f t="shared" si="3"/>
        <v>7439357.820000002</v>
      </c>
      <c r="AB133" s="56">
        <f t="shared" si="3"/>
        <v>6201571.010000001</v>
      </c>
      <c r="AC133" s="18"/>
      <c r="AD133" s="18"/>
      <c r="AE133" s="18"/>
      <c r="AF133" s="18"/>
      <c r="AG133" s="18"/>
    </row>
    <row r="134" spans="5:42" ht="15">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8"/>
      <c r="AD134" s="18"/>
      <c r="AE134" s="18"/>
      <c r="AF134" s="18"/>
      <c r="AG134" s="18"/>
      <c r="AH134" s="20"/>
      <c r="AI134" s="20"/>
      <c r="AJ134" s="20"/>
      <c r="AK134" s="20"/>
      <c r="AL134" s="20"/>
      <c r="AM134" s="20"/>
      <c r="AN134" s="20"/>
      <c r="AO134" s="20"/>
      <c r="AP134" s="20"/>
    </row>
    <row r="135" spans="1:42" ht="15">
      <c r="A135" s="3" t="s">
        <v>4</v>
      </c>
      <c r="D135" s="98">
        <f aca="true" t="shared" si="4" ref="D135:X135">D20-D133</f>
        <v>0</v>
      </c>
      <c r="E135" s="45">
        <f t="shared" si="4"/>
        <v>0</v>
      </c>
      <c r="F135" s="45">
        <f t="shared" si="4"/>
        <v>0</v>
      </c>
      <c r="G135" s="45">
        <f t="shared" si="4"/>
        <v>0</v>
      </c>
      <c r="H135" s="45">
        <f t="shared" si="4"/>
        <v>0</v>
      </c>
      <c r="I135" s="45">
        <f t="shared" si="4"/>
        <v>0</v>
      </c>
      <c r="J135" s="45">
        <f t="shared" si="4"/>
        <v>0</v>
      </c>
      <c r="K135" s="45">
        <f t="shared" si="4"/>
        <v>0</v>
      </c>
      <c r="L135" s="45">
        <f t="shared" si="4"/>
        <v>0</v>
      </c>
      <c r="M135" s="45">
        <f t="shared" si="4"/>
        <v>0</v>
      </c>
      <c r="N135" s="45">
        <f t="shared" si="4"/>
        <v>0</v>
      </c>
      <c r="O135" s="45">
        <f t="shared" si="4"/>
        <v>0</v>
      </c>
      <c r="P135" s="45">
        <f t="shared" si="4"/>
        <v>0</v>
      </c>
      <c r="Q135" s="45">
        <f t="shared" si="4"/>
        <v>0</v>
      </c>
      <c r="R135" s="45">
        <f t="shared" si="4"/>
        <v>0</v>
      </c>
      <c r="S135" s="45">
        <f t="shared" si="4"/>
        <v>0</v>
      </c>
      <c r="T135" s="45">
        <f t="shared" si="4"/>
        <v>0</v>
      </c>
      <c r="U135" s="45">
        <f t="shared" si="4"/>
        <v>0</v>
      </c>
      <c r="V135" s="45">
        <f t="shared" si="4"/>
        <v>0</v>
      </c>
      <c r="W135" s="45">
        <f t="shared" si="4"/>
        <v>0</v>
      </c>
      <c r="X135" s="45">
        <f t="shared" si="4"/>
        <v>0</v>
      </c>
      <c r="Y135" s="45">
        <f>Y20-Y23-Y133</f>
        <v>0</v>
      </c>
      <c r="Z135" s="45">
        <f>Z20-Z23-Z133</f>
        <v>0</v>
      </c>
      <c r="AA135" s="45">
        <f>AA20-AA23-AA133</f>
        <v>0</v>
      </c>
      <c r="AB135" s="45">
        <f>AB20-AB23-AB133</f>
        <v>0</v>
      </c>
      <c r="AC135" s="18"/>
      <c r="AD135" s="18"/>
      <c r="AE135" s="18"/>
      <c r="AF135" s="18"/>
      <c r="AG135" s="18"/>
      <c r="AH135" s="20"/>
      <c r="AI135" s="20"/>
      <c r="AJ135" s="20"/>
      <c r="AK135" s="20"/>
      <c r="AL135" s="20"/>
      <c r="AM135" s="20"/>
      <c r="AN135" s="20"/>
      <c r="AO135" s="20"/>
      <c r="AP135" s="20"/>
    </row>
    <row r="136" spans="5:42" ht="15">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D136" s="18"/>
      <c r="AE136" s="18"/>
      <c r="AF136" s="18"/>
      <c r="AG136" s="18"/>
      <c r="AH136" s="20"/>
      <c r="AI136" s="20"/>
      <c r="AJ136" s="20"/>
      <c r="AK136" s="20"/>
      <c r="AL136" s="20"/>
      <c r="AM136" s="20"/>
      <c r="AN136" s="20"/>
      <c r="AO136" s="20"/>
      <c r="AP136" s="20"/>
    </row>
    <row r="137" spans="1:33" ht="15">
      <c r="A137" s="3" t="s">
        <v>85</v>
      </c>
      <c r="E137" s="43">
        <f aca="true" t="shared" si="5" ref="E137:AB137">E20-E133</f>
        <v>0</v>
      </c>
      <c r="F137" s="43">
        <f t="shared" si="5"/>
        <v>0</v>
      </c>
      <c r="G137" s="43">
        <f t="shared" si="5"/>
        <v>0</v>
      </c>
      <c r="H137" s="43">
        <f t="shared" si="5"/>
        <v>0</v>
      </c>
      <c r="I137" s="43">
        <f t="shared" si="5"/>
        <v>0</v>
      </c>
      <c r="J137" s="43">
        <f t="shared" si="5"/>
        <v>0</v>
      </c>
      <c r="K137" s="43">
        <f t="shared" si="5"/>
        <v>0</v>
      </c>
      <c r="L137" s="43">
        <f t="shared" si="5"/>
        <v>0</v>
      </c>
      <c r="M137" s="43">
        <f t="shared" si="5"/>
        <v>0</v>
      </c>
      <c r="N137" s="43">
        <f t="shared" si="5"/>
        <v>0</v>
      </c>
      <c r="O137" s="43">
        <f t="shared" si="5"/>
        <v>0</v>
      </c>
      <c r="P137" s="43">
        <f t="shared" si="5"/>
        <v>0</v>
      </c>
      <c r="Q137" s="43">
        <f t="shared" si="5"/>
        <v>0</v>
      </c>
      <c r="R137" s="43">
        <f t="shared" si="5"/>
        <v>0</v>
      </c>
      <c r="S137" s="43">
        <f t="shared" si="5"/>
        <v>0</v>
      </c>
      <c r="T137" s="43">
        <f t="shared" si="5"/>
        <v>0</v>
      </c>
      <c r="U137" s="43">
        <f t="shared" si="5"/>
        <v>0</v>
      </c>
      <c r="V137" s="43">
        <f t="shared" si="5"/>
        <v>0</v>
      </c>
      <c r="W137" s="43">
        <f t="shared" si="5"/>
        <v>0</v>
      </c>
      <c r="X137" s="43">
        <f t="shared" si="5"/>
        <v>0</v>
      </c>
      <c r="Y137" s="43">
        <f t="shared" si="5"/>
        <v>0</v>
      </c>
      <c r="Z137" s="43">
        <f t="shared" si="5"/>
        <v>0</v>
      </c>
      <c r="AA137" s="43">
        <f t="shared" si="5"/>
        <v>0</v>
      </c>
      <c r="AB137" s="43">
        <f t="shared" si="5"/>
        <v>0</v>
      </c>
      <c r="AD137" s="18"/>
      <c r="AE137" s="18"/>
      <c r="AF137" s="18"/>
      <c r="AG137" s="18"/>
    </row>
    <row r="138" spans="1:33" ht="15">
      <c r="A138" s="3" t="s">
        <v>86</v>
      </c>
      <c r="AD138" s="18"/>
      <c r="AE138" s="18"/>
      <c r="AF138" s="18"/>
      <c r="AG138" s="18"/>
    </row>
    <row r="139" spans="30:33" ht="15">
      <c r="AD139" s="18"/>
      <c r="AE139" s="18"/>
      <c r="AF139" s="18"/>
      <c r="AG139" s="18"/>
    </row>
    <row r="140" spans="30:33" ht="15">
      <c r="AD140" s="18"/>
      <c r="AE140" s="18"/>
      <c r="AF140" s="18"/>
      <c r="AG140" s="18"/>
    </row>
    <row r="141" spans="30:33" ht="15">
      <c r="AD141" s="18"/>
      <c r="AE141" s="18"/>
      <c r="AF141" s="18"/>
      <c r="AG141" s="18"/>
    </row>
    <row r="142" spans="30:33" ht="15">
      <c r="AD142" s="18"/>
      <c r="AE142" s="18"/>
      <c r="AF142" s="18"/>
      <c r="AG142" s="18"/>
    </row>
    <row r="143" spans="30:33" ht="15">
      <c r="AD143" s="18"/>
      <c r="AE143" s="18"/>
      <c r="AF143" s="18"/>
      <c r="AG143" s="18"/>
    </row>
  </sheetData>
  <sheetProtection/>
  <mergeCells count="2">
    <mergeCell ref="E2:P2"/>
    <mergeCell ref="Q2:AB2"/>
  </mergeCells>
  <printOptions/>
  <pageMargins left="0" right="0" top="0.5" bottom="0.5" header="0" footer="0"/>
  <pageSetup fitToWidth="2" horizontalDpi="600" verticalDpi="600" orientation="portrait" scale="82" r:id="rId1"/>
  <headerFooter alignWithMargins="0">
    <oddFooter>&amp;L&amp;Z&amp;F</oddFooter>
  </headerFooter>
  <colBreaks count="1" manualBreakCount="1">
    <brk id="17" max="57" man="1"/>
  </colBreaks>
  <ignoredErrors>
    <ignoredError sqref="AE18 AD20:AF20 AD7:AD12 AD14:AD18 AA18:AB18 AA20:AB20 AA12:AB12 AF18 E16:K20 D20 L13:T13 J12:K12 L18:T20 Q16 U10:Z10 H12:I12 E12:G12 D133:N137 O133:X137 Y133:AB137 L12:P12 R12:T12 U18:Z20 U12:Z13 U9 W9:Z9 AF16:AF17 AE6:AF15 AE16:AE17" unlockedFormula="1"/>
    <ignoredError sqref="AE4:AF5" twoDigitTextYear="1"/>
  </ignoredErrors>
</worksheet>
</file>

<file path=xl/worksheets/sheet8.xml><?xml version="1.0" encoding="utf-8"?>
<worksheet xmlns="http://schemas.openxmlformats.org/spreadsheetml/2006/main" xmlns:r="http://schemas.openxmlformats.org/officeDocument/2006/relationships">
  <dimension ref="A1:Y185"/>
  <sheetViews>
    <sheetView zoomScalePageLayoutView="0" workbookViewId="0" topLeftCell="A145">
      <pane xSplit="1" topLeftCell="B1" activePane="topRight" state="frozen"/>
      <selection pane="topLeft" activeCell="A1" sqref="A1"/>
      <selection pane="topRight" activeCell="J174" sqref="J174:V174"/>
    </sheetView>
  </sheetViews>
  <sheetFormatPr defaultColWidth="9.33203125" defaultRowHeight="10.5"/>
  <cols>
    <col min="1" max="1" width="55.16015625" style="99" customWidth="1"/>
    <col min="2" max="2" width="13.5" style="99" customWidth="1"/>
    <col min="3" max="3" width="16" style="99" bestFit="1" customWidth="1"/>
    <col min="4" max="4" width="13.66015625" style="99" customWidth="1"/>
    <col min="5" max="5" width="15.83203125" style="99" bestFit="1" customWidth="1"/>
    <col min="6" max="7" width="13.66015625" style="99" customWidth="1"/>
    <col min="8" max="8" width="14.83203125" style="99" bestFit="1" customWidth="1"/>
    <col min="9" max="12" width="13.66015625" style="99" customWidth="1"/>
    <col min="13" max="13" width="20.16015625" style="99" bestFit="1" customWidth="1"/>
    <col min="14" max="19" width="13.66015625" style="99" customWidth="1"/>
    <col min="20" max="20" width="19.16015625" style="99" bestFit="1" customWidth="1"/>
    <col min="21" max="21" width="13.66015625" style="99" customWidth="1"/>
    <col min="22" max="22" width="17.83203125" style="99" bestFit="1" customWidth="1"/>
    <col min="23" max="23" width="14.16015625" style="99" customWidth="1"/>
    <col min="24" max="16384" width="9.33203125" style="99" customWidth="1"/>
  </cols>
  <sheetData>
    <row r="1" spans="1:22" ht="10.5">
      <c r="A1" s="99" t="s">
        <v>11</v>
      </c>
      <c r="C1" s="219"/>
      <c r="D1" s="219"/>
      <c r="E1" s="219"/>
      <c r="F1" s="219"/>
      <c r="G1" s="219"/>
      <c r="H1" s="219"/>
      <c r="I1" s="219"/>
      <c r="J1" s="219"/>
      <c r="K1" s="219"/>
      <c r="L1" s="219"/>
      <c r="M1" s="219"/>
      <c r="N1" s="219"/>
      <c r="O1" s="219"/>
      <c r="P1" s="219"/>
      <c r="Q1" s="219"/>
      <c r="R1" s="219"/>
      <c r="S1" s="219"/>
      <c r="T1" s="219"/>
      <c r="U1" s="219"/>
      <c r="V1" s="219"/>
    </row>
    <row r="2" spans="1:22" ht="10.5">
      <c r="A2" s="158" t="s">
        <v>164</v>
      </c>
      <c r="C2" s="219"/>
      <c r="D2" s="219"/>
      <c r="E2" s="219"/>
      <c r="F2" s="219"/>
      <c r="G2" s="219"/>
      <c r="H2" s="219"/>
      <c r="I2" s="219"/>
      <c r="J2" s="219"/>
      <c r="K2" s="219"/>
      <c r="L2" s="219"/>
      <c r="M2" s="219"/>
      <c r="N2" s="219"/>
      <c r="O2" s="219"/>
      <c r="P2" s="219"/>
      <c r="Q2" s="219"/>
      <c r="R2" s="219"/>
      <c r="S2" s="219"/>
      <c r="T2" s="219"/>
      <c r="U2" s="219"/>
      <c r="V2" s="219"/>
    </row>
    <row r="3" spans="1:22" ht="10.5">
      <c r="A3" s="158" t="s">
        <v>542</v>
      </c>
      <c r="C3" s="219"/>
      <c r="D3" s="219"/>
      <c r="E3" s="219"/>
      <c r="F3" s="219"/>
      <c r="G3" s="219"/>
      <c r="H3" s="219"/>
      <c r="I3" s="219"/>
      <c r="J3" s="219"/>
      <c r="K3" s="219"/>
      <c r="L3" s="219"/>
      <c r="M3" s="219"/>
      <c r="N3" s="219"/>
      <c r="O3" s="219"/>
      <c r="P3" s="219"/>
      <c r="Q3" s="219"/>
      <c r="R3" s="219"/>
      <c r="S3" s="219"/>
      <c r="T3" s="219"/>
      <c r="U3" s="219"/>
      <c r="V3" s="219"/>
    </row>
    <row r="4" spans="1:22" ht="10.5">
      <c r="A4" s="158" t="s">
        <v>543</v>
      </c>
      <c r="C4" s="219"/>
      <c r="D4" s="219"/>
      <c r="E4" s="219"/>
      <c r="F4" s="219"/>
      <c r="G4" s="219"/>
      <c r="H4" s="219"/>
      <c r="I4" s="219"/>
      <c r="J4" s="219"/>
      <c r="K4" s="219"/>
      <c r="L4" s="219"/>
      <c r="M4" s="219"/>
      <c r="N4" s="219"/>
      <c r="O4" s="219"/>
      <c r="P4" s="219"/>
      <c r="Q4" s="219"/>
      <c r="R4" s="219"/>
      <c r="S4" s="219"/>
      <c r="T4" s="219"/>
      <c r="U4" s="219"/>
      <c r="V4" s="219"/>
    </row>
    <row r="5" spans="1:22" ht="10.5">
      <c r="A5" s="158"/>
      <c r="C5" s="219"/>
      <c r="D5" s="219"/>
      <c r="E5" s="219"/>
      <c r="F5" s="219"/>
      <c r="G5" s="219"/>
      <c r="H5" s="219"/>
      <c r="I5" s="219"/>
      <c r="J5" s="219"/>
      <c r="K5" s="219"/>
      <c r="L5" s="219"/>
      <c r="M5" s="219"/>
      <c r="N5" s="219"/>
      <c r="O5" s="219"/>
      <c r="P5" s="219"/>
      <c r="Q5" s="219"/>
      <c r="R5" s="219"/>
      <c r="S5" s="219"/>
      <c r="T5" s="219"/>
      <c r="U5" s="219"/>
      <c r="V5" s="219"/>
    </row>
    <row r="6" spans="1:22" ht="10.5">
      <c r="A6" s="157" t="s">
        <v>472</v>
      </c>
      <c r="B6" s="299" t="s">
        <v>11</v>
      </c>
      <c r="C6" s="300" t="s">
        <v>35</v>
      </c>
      <c r="D6" s="300" t="s">
        <v>25</v>
      </c>
      <c r="E6" s="300" t="s">
        <v>34</v>
      </c>
      <c r="F6" s="300" t="s">
        <v>36</v>
      </c>
      <c r="G6" s="300" t="s">
        <v>28</v>
      </c>
      <c r="H6" s="300" t="s">
        <v>29</v>
      </c>
      <c r="I6" s="300" t="s">
        <v>30</v>
      </c>
      <c r="J6" s="301" t="s">
        <v>32</v>
      </c>
      <c r="K6" s="301" t="s">
        <v>33</v>
      </c>
      <c r="L6" s="301" t="s">
        <v>23</v>
      </c>
      <c r="M6" s="301" t="s">
        <v>31</v>
      </c>
      <c r="N6" s="301" t="s">
        <v>165</v>
      </c>
      <c r="O6" s="301" t="s">
        <v>37</v>
      </c>
      <c r="P6" s="301" t="s">
        <v>27</v>
      </c>
      <c r="Q6" s="301" t="s">
        <v>29</v>
      </c>
      <c r="R6" s="301" t="s">
        <v>30</v>
      </c>
      <c r="S6" s="301" t="s">
        <v>25</v>
      </c>
      <c r="T6" s="301" t="s">
        <v>24</v>
      </c>
      <c r="U6" s="301" t="s">
        <v>26</v>
      </c>
      <c r="V6" s="301" t="s">
        <v>28</v>
      </c>
    </row>
    <row r="7" spans="2:23" ht="10.5">
      <c r="B7" s="299" t="s">
        <v>44</v>
      </c>
      <c r="C7" s="283" t="s">
        <v>280</v>
      </c>
      <c r="D7" s="283" t="s">
        <v>281</v>
      </c>
      <c r="E7" s="283" t="s">
        <v>282</v>
      </c>
      <c r="F7" s="283" t="s">
        <v>283</v>
      </c>
      <c r="G7" s="283" t="s">
        <v>284</v>
      </c>
      <c r="H7" s="283" t="s">
        <v>285</v>
      </c>
      <c r="I7" s="283" t="s">
        <v>286</v>
      </c>
      <c r="J7" s="285" t="s">
        <v>288</v>
      </c>
      <c r="K7" s="285" t="s">
        <v>289</v>
      </c>
      <c r="L7" s="285" t="s">
        <v>291</v>
      </c>
      <c r="M7" s="285" t="s">
        <v>292</v>
      </c>
      <c r="N7" s="285" t="s">
        <v>294</v>
      </c>
      <c r="O7" s="285" t="s">
        <v>296</v>
      </c>
      <c r="P7" s="285" t="s">
        <v>297</v>
      </c>
      <c r="Q7" s="285" t="s">
        <v>285</v>
      </c>
      <c r="R7" s="285" t="s">
        <v>286</v>
      </c>
      <c r="S7" s="285" t="s">
        <v>299</v>
      </c>
      <c r="T7" s="285" t="s">
        <v>304</v>
      </c>
      <c r="U7" s="285" t="s">
        <v>301</v>
      </c>
      <c r="V7" s="285" t="s">
        <v>302</v>
      </c>
      <c r="W7" s="299" t="s">
        <v>3</v>
      </c>
    </row>
    <row r="8" spans="2:23" ht="10.5">
      <c r="B8" s="169" t="s">
        <v>52</v>
      </c>
      <c r="C8" s="280" t="s">
        <v>52</v>
      </c>
      <c r="D8" s="280" t="s">
        <v>52</v>
      </c>
      <c r="E8" s="280" t="s">
        <v>52</v>
      </c>
      <c r="F8" s="280" t="s">
        <v>52</v>
      </c>
      <c r="G8" s="280" t="s">
        <v>52</v>
      </c>
      <c r="H8" s="280" t="s">
        <v>52</v>
      </c>
      <c r="I8" s="284" t="s">
        <v>287</v>
      </c>
      <c r="J8" s="282" t="s">
        <v>52</v>
      </c>
      <c r="K8" s="286" t="s">
        <v>290</v>
      </c>
      <c r="L8" s="282" t="s">
        <v>52</v>
      </c>
      <c r="M8" s="286" t="s">
        <v>293</v>
      </c>
      <c r="N8" s="286" t="s">
        <v>295</v>
      </c>
      <c r="O8" s="282" t="s">
        <v>52</v>
      </c>
      <c r="P8" s="286" t="s">
        <v>298</v>
      </c>
      <c r="Q8" s="282" t="s">
        <v>52</v>
      </c>
      <c r="R8" s="286" t="s">
        <v>287</v>
      </c>
      <c r="S8" s="286" t="s">
        <v>300</v>
      </c>
      <c r="T8" s="286" t="s">
        <v>305</v>
      </c>
      <c r="U8" s="282" t="s">
        <v>52</v>
      </c>
      <c r="V8" s="286" t="s">
        <v>303</v>
      </c>
      <c r="W8" s="163"/>
    </row>
    <row r="9" spans="1:23" ht="11.25">
      <c r="A9" s="160" t="s">
        <v>409</v>
      </c>
      <c r="B9" s="181">
        <f>3109.43+788461.08</f>
        <v>791570.51</v>
      </c>
      <c r="C9" s="197">
        <v>-111461.2</v>
      </c>
      <c r="D9" s="197">
        <v>129995.18</v>
      </c>
      <c r="E9" s="197">
        <v>145804.99</v>
      </c>
      <c r="F9" s="197">
        <v>187972.02</v>
      </c>
      <c r="G9" s="197">
        <f>2789.81</f>
        <v>2789.81</v>
      </c>
      <c r="H9" s="197">
        <v>1116699.91</v>
      </c>
      <c r="I9" s="197">
        <v>177064.87</v>
      </c>
      <c r="J9" s="198">
        <v>29234.04</v>
      </c>
      <c r="K9" s="198">
        <f>-952947.72+993953.55</f>
        <v>41005.830000000075</v>
      </c>
      <c r="L9" s="198">
        <v>-19799.39</v>
      </c>
      <c r="M9" s="198">
        <v>380697.56</v>
      </c>
      <c r="N9" s="198">
        <f>228550.17+61355.68</f>
        <v>289905.85000000003</v>
      </c>
      <c r="O9" s="198">
        <v>-15773.63</v>
      </c>
      <c r="P9" s="198">
        <v>327662.17</v>
      </c>
      <c r="Q9" s="198">
        <v>203394.09</v>
      </c>
      <c r="R9" s="198">
        <v>41081.55</v>
      </c>
      <c r="S9" s="198">
        <v>-2833.03</v>
      </c>
      <c r="T9" s="198">
        <v>63391.64</v>
      </c>
      <c r="U9" s="198">
        <v>-8488.2</v>
      </c>
      <c r="V9" s="198">
        <v>-32499.67</v>
      </c>
      <c r="W9" s="181">
        <f>SUM(B9:V9)</f>
        <v>3737414.9</v>
      </c>
    </row>
    <row r="10" spans="1:23" ht="10.5">
      <c r="A10" s="158"/>
      <c r="B10" s="181"/>
      <c r="C10" s="197"/>
      <c r="D10" s="197"/>
      <c r="E10" s="197"/>
      <c r="F10" s="197"/>
      <c r="G10" s="197"/>
      <c r="H10" s="197"/>
      <c r="I10" s="197"/>
      <c r="J10" s="198"/>
      <c r="K10" s="198"/>
      <c r="L10" s="198"/>
      <c r="M10" s="198"/>
      <c r="N10" s="198"/>
      <c r="O10" s="198"/>
      <c r="P10" s="198"/>
      <c r="Q10" s="198"/>
      <c r="R10" s="198"/>
      <c r="S10" s="198"/>
      <c r="T10" s="198"/>
      <c r="U10" s="198"/>
      <c r="V10" s="198"/>
      <c r="W10" s="181"/>
    </row>
    <row r="11" spans="1:23" ht="11.25">
      <c r="A11" s="159" t="s">
        <v>277</v>
      </c>
      <c r="B11" s="181"/>
      <c r="C11" s="197"/>
      <c r="D11" s="197"/>
      <c r="E11" s="197"/>
      <c r="F11" s="197"/>
      <c r="G11" s="197"/>
      <c r="H11" s="197"/>
      <c r="I11" s="197"/>
      <c r="J11" s="198"/>
      <c r="K11" s="198"/>
      <c r="L11" s="198"/>
      <c r="M11" s="198"/>
      <c r="N11" s="198"/>
      <c r="O11" s="198"/>
      <c r="P11" s="198"/>
      <c r="Q11" s="198"/>
      <c r="R11" s="198"/>
      <c r="S11" s="198"/>
      <c r="T11" s="198"/>
      <c r="U11" s="198"/>
      <c r="V11" s="198"/>
      <c r="W11" s="181"/>
    </row>
    <row r="12" spans="1:23" ht="11.25">
      <c r="A12" s="162" t="s">
        <v>190</v>
      </c>
      <c r="B12" s="181">
        <v>713286.13</v>
      </c>
      <c r="C12" s="197">
        <v>3157220.29</v>
      </c>
      <c r="D12" s="197">
        <v>13738.5</v>
      </c>
      <c r="E12" s="197">
        <v>4572742.21</v>
      </c>
      <c r="F12" s="197">
        <v>499171.06</v>
      </c>
      <c r="G12" s="197">
        <v>2619.07</v>
      </c>
      <c r="H12" s="197">
        <f>5780017.81</f>
        <v>5780017.81</v>
      </c>
      <c r="I12" s="197">
        <v>2397092.14</v>
      </c>
      <c r="J12" s="198"/>
      <c r="K12" s="198"/>
      <c r="L12" s="198"/>
      <c r="M12" s="198"/>
      <c r="N12" s="198"/>
      <c r="O12" s="198"/>
      <c r="P12" s="198"/>
      <c r="Q12" s="198"/>
      <c r="R12" s="198"/>
      <c r="S12" s="198"/>
      <c r="T12" s="198"/>
      <c r="U12" s="198"/>
      <c r="V12" s="198"/>
      <c r="W12" s="181">
        <f>SUM(B12:V12)</f>
        <v>17135887.21</v>
      </c>
    </row>
    <row r="13" spans="1:23" ht="11.25">
      <c r="A13" s="162" t="s">
        <v>278</v>
      </c>
      <c r="B13" s="181">
        <v>487704.44</v>
      </c>
      <c r="C13" s="197"/>
      <c r="D13" s="197"/>
      <c r="E13" s="197"/>
      <c r="F13" s="197"/>
      <c r="G13" s="197"/>
      <c r="H13" s="197"/>
      <c r="I13" s="197"/>
      <c r="J13" s="198">
        <v>475731.85</v>
      </c>
      <c r="K13" s="198">
        <f>1312622.39+204416.6</f>
        <v>1517038.99</v>
      </c>
      <c r="L13" s="198">
        <v>1618007.53</v>
      </c>
      <c r="M13" s="198">
        <v>1367987.57</v>
      </c>
      <c r="N13" s="198">
        <f>746956.08+14455.72</f>
        <v>761411.7999999999</v>
      </c>
      <c r="O13" s="198">
        <v>146624.31</v>
      </c>
      <c r="P13" s="198">
        <v>1876969.15</v>
      </c>
      <c r="Q13" s="198">
        <v>1936988.4</v>
      </c>
      <c r="R13" s="198">
        <v>417640.26</v>
      </c>
      <c r="S13" s="198">
        <v>409305.92</v>
      </c>
      <c r="T13" s="198">
        <v>499812.78</v>
      </c>
      <c r="U13" s="198">
        <v>76579</v>
      </c>
      <c r="V13" s="198">
        <v>158044.55</v>
      </c>
      <c r="W13" s="181">
        <f>SUM(B13:V13)</f>
        <v>11749846.55</v>
      </c>
    </row>
    <row r="14" spans="1:23" ht="11.25">
      <c r="A14" s="162" t="s">
        <v>279</v>
      </c>
      <c r="B14" s="181">
        <v>22454.62</v>
      </c>
      <c r="C14" s="197"/>
      <c r="D14" s="197"/>
      <c r="E14" s="197"/>
      <c r="F14" s="197"/>
      <c r="G14" s="197"/>
      <c r="H14" s="197"/>
      <c r="I14" s="197"/>
      <c r="J14" s="198"/>
      <c r="K14" s="198"/>
      <c r="L14" s="198"/>
      <c r="M14" s="198"/>
      <c r="N14" s="198"/>
      <c r="O14" s="198"/>
      <c r="P14" s="198"/>
      <c r="Q14" s="198"/>
      <c r="R14" s="198"/>
      <c r="S14" s="198"/>
      <c r="T14" s="198"/>
      <c r="U14" s="198"/>
      <c r="V14" s="198"/>
      <c r="W14" s="181"/>
    </row>
    <row r="15" spans="1:23" ht="11.25">
      <c r="A15" s="162" t="s">
        <v>48</v>
      </c>
      <c r="B15" s="181"/>
      <c r="C15" s="197">
        <v>-300</v>
      </c>
      <c r="D15" s="197"/>
      <c r="E15" s="197"/>
      <c r="F15" s="197"/>
      <c r="G15" s="197"/>
      <c r="H15" s="197"/>
      <c r="I15" s="197"/>
      <c r="J15" s="198"/>
      <c r="K15" s="198"/>
      <c r="L15" s="198"/>
      <c r="M15" s="198"/>
      <c r="N15" s="198"/>
      <c r="O15" s="198"/>
      <c r="P15" s="198"/>
      <c r="Q15" s="198"/>
      <c r="R15" s="198"/>
      <c r="S15" s="198"/>
      <c r="T15" s="198"/>
      <c r="U15" s="198"/>
      <c r="V15" s="198"/>
      <c r="W15" s="181">
        <f>SUM(B15:V15)</f>
        <v>-300</v>
      </c>
    </row>
    <row r="16" spans="1:23" ht="11.25">
      <c r="A16" s="162" t="s">
        <v>192</v>
      </c>
      <c r="B16" s="205">
        <v>-1130634</v>
      </c>
      <c r="C16" s="203">
        <v>101028</v>
      </c>
      <c r="D16" s="203"/>
      <c r="E16" s="203">
        <v>249448</v>
      </c>
      <c r="F16" s="203">
        <v>11771</v>
      </c>
      <c r="G16" s="203"/>
      <c r="H16" s="203">
        <v>152451</v>
      </c>
      <c r="I16" s="203">
        <v>72490</v>
      </c>
      <c r="J16" s="204">
        <v>72033</v>
      </c>
      <c r="K16" s="204">
        <f>1301194.15-1198370.15</f>
        <v>102824</v>
      </c>
      <c r="L16" s="204">
        <v>46586</v>
      </c>
      <c r="M16" s="204">
        <v>93591</v>
      </c>
      <c r="N16" s="204">
        <f>94887.4-75811.4</f>
        <v>19076</v>
      </c>
      <c r="O16" s="204"/>
      <c r="P16" s="204">
        <v>106650</v>
      </c>
      <c r="Q16" s="204">
        <v>54712</v>
      </c>
      <c r="R16" s="204">
        <v>13078</v>
      </c>
      <c r="S16" s="204">
        <v>12643</v>
      </c>
      <c r="T16" s="204">
        <v>16931</v>
      </c>
      <c r="U16" s="204"/>
      <c r="V16" s="204">
        <v>5322</v>
      </c>
      <c r="W16" s="205">
        <f>SUM(B16:V16)</f>
        <v>0</v>
      </c>
    </row>
    <row r="17" spans="2:23" ht="10.5">
      <c r="B17" s="181"/>
      <c r="C17" s="197"/>
      <c r="D17" s="197"/>
      <c r="E17" s="197"/>
      <c r="F17" s="197"/>
      <c r="G17" s="197"/>
      <c r="H17" s="197"/>
      <c r="I17" s="197"/>
      <c r="J17" s="198"/>
      <c r="K17" s="198"/>
      <c r="L17" s="198"/>
      <c r="M17" s="198"/>
      <c r="N17" s="198"/>
      <c r="O17" s="198"/>
      <c r="P17" s="198"/>
      <c r="Q17" s="198"/>
      <c r="R17" s="198"/>
      <c r="S17" s="198"/>
      <c r="T17" s="198"/>
      <c r="U17" s="198"/>
      <c r="V17" s="198"/>
      <c r="W17" s="181"/>
    </row>
    <row r="18" spans="1:23" ht="11.25">
      <c r="A18" s="159" t="s">
        <v>49</v>
      </c>
      <c r="B18" s="181">
        <f>SUM(B12:B16)</f>
        <v>92811.19000000018</v>
      </c>
      <c r="C18" s="197">
        <f>SUM(C12:C16)</f>
        <v>3257948.29</v>
      </c>
      <c r="D18" s="197">
        <f aca="true" t="shared" si="0" ref="D18:I18">SUM(D12:D16)</f>
        <v>13738.5</v>
      </c>
      <c r="E18" s="197">
        <f t="shared" si="0"/>
        <v>4822190.21</v>
      </c>
      <c r="F18" s="197">
        <f t="shared" si="0"/>
        <v>510942.06</v>
      </c>
      <c r="G18" s="197">
        <f t="shared" si="0"/>
        <v>2619.07</v>
      </c>
      <c r="H18" s="197">
        <f t="shared" si="0"/>
        <v>5932468.81</v>
      </c>
      <c r="I18" s="197">
        <f t="shared" si="0"/>
        <v>2469582.14</v>
      </c>
      <c r="J18" s="198">
        <f>SUM(J12:J16)</f>
        <v>547764.85</v>
      </c>
      <c r="K18" s="198">
        <f aca="true" t="shared" si="1" ref="K18:V18">SUM(K12:K16)</f>
        <v>1619862.99</v>
      </c>
      <c r="L18" s="198">
        <f t="shared" si="1"/>
        <v>1664593.53</v>
      </c>
      <c r="M18" s="198">
        <f t="shared" si="1"/>
        <v>1461578.57</v>
      </c>
      <c r="N18" s="198">
        <f t="shared" si="1"/>
        <v>780487.7999999999</v>
      </c>
      <c r="O18" s="198">
        <f t="shared" si="1"/>
        <v>146624.31</v>
      </c>
      <c r="P18" s="198">
        <f t="shared" si="1"/>
        <v>1983619.15</v>
      </c>
      <c r="Q18" s="198">
        <f t="shared" si="1"/>
        <v>1991700.4</v>
      </c>
      <c r="R18" s="198">
        <f t="shared" si="1"/>
        <v>430718.26</v>
      </c>
      <c r="S18" s="198">
        <f t="shared" si="1"/>
        <v>421948.92</v>
      </c>
      <c r="T18" s="198">
        <f t="shared" si="1"/>
        <v>516743.78</v>
      </c>
      <c r="U18" s="198">
        <f t="shared" si="1"/>
        <v>76579</v>
      </c>
      <c r="V18" s="198">
        <f t="shared" si="1"/>
        <v>163366.55</v>
      </c>
      <c r="W18" s="181">
        <f>SUM(B18:V18)</f>
        <v>28907888.380000003</v>
      </c>
    </row>
    <row r="19" spans="2:23" ht="10.5">
      <c r="B19" s="181"/>
      <c r="C19" s="197"/>
      <c r="D19" s="197"/>
      <c r="E19" s="197"/>
      <c r="F19" s="197"/>
      <c r="G19" s="197"/>
      <c r="H19" s="197"/>
      <c r="I19" s="197"/>
      <c r="J19" s="198"/>
      <c r="K19" s="198"/>
      <c r="L19" s="198"/>
      <c r="M19" s="198"/>
      <c r="N19" s="198"/>
      <c r="O19" s="198"/>
      <c r="P19" s="198"/>
      <c r="Q19" s="198"/>
      <c r="R19" s="198"/>
      <c r="S19" s="198"/>
      <c r="T19" s="198"/>
      <c r="U19" s="198"/>
      <c r="V19" s="198"/>
      <c r="W19" s="181"/>
    </row>
    <row r="20" spans="1:23" ht="11.25">
      <c r="A20" s="159" t="s">
        <v>50</v>
      </c>
      <c r="B20" s="181"/>
      <c r="C20" s="197"/>
      <c r="D20" s="197"/>
      <c r="E20" s="197"/>
      <c r="F20" s="197"/>
      <c r="G20" s="197"/>
      <c r="H20" s="197"/>
      <c r="I20" s="197"/>
      <c r="J20" s="198"/>
      <c r="K20" s="198"/>
      <c r="L20" s="198"/>
      <c r="M20" s="198"/>
      <c r="N20" s="198"/>
      <c r="O20" s="198"/>
      <c r="P20" s="198"/>
      <c r="Q20" s="198"/>
      <c r="R20" s="198"/>
      <c r="S20" s="198"/>
      <c r="T20" s="198"/>
      <c r="U20" s="198"/>
      <c r="V20" s="198"/>
      <c r="W20" s="181"/>
    </row>
    <row r="21" spans="1:23" ht="11.25">
      <c r="A21" s="167" t="s">
        <v>204</v>
      </c>
      <c r="B21" s="181">
        <f>730594.16+848.93-74.98</f>
        <v>731368.1100000001</v>
      </c>
      <c r="C21" s="197"/>
      <c r="D21" s="197"/>
      <c r="E21" s="197"/>
      <c r="F21" s="197"/>
      <c r="G21" s="197"/>
      <c r="H21" s="197"/>
      <c r="I21" s="197"/>
      <c r="J21" s="198"/>
      <c r="K21" s="198"/>
      <c r="L21" s="198"/>
      <c r="M21" s="198"/>
      <c r="N21" s="198"/>
      <c r="O21" s="198"/>
      <c r="P21" s="198"/>
      <c r="Q21" s="198"/>
      <c r="R21" s="198"/>
      <c r="S21" s="198"/>
      <c r="T21" s="198"/>
      <c r="U21" s="198"/>
      <c r="V21" s="198"/>
      <c r="W21" s="181">
        <f>SUM(B21:V21)</f>
        <v>731368.1100000001</v>
      </c>
    </row>
    <row r="22" spans="1:23" ht="11.25">
      <c r="A22" s="162" t="s">
        <v>189</v>
      </c>
      <c r="B22" s="181">
        <f>90559+1670+487</f>
        <v>92716</v>
      </c>
      <c r="C22" s="197">
        <f>417734+8867</f>
        <v>426601</v>
      </c>
      <c r="D22" s="197">
        <v>0</v>
      </c>
      <c r="E22" s="197">
        <f>474831+19208</f>
        <v>494039</v>
      </c>
      <c r="F22" s="197">
        <f>45695+160</f>
        <v>45855</v>
      </c>
      <c r="G22" s="197">
        <v>0</v>
      </c>
      <c r="H22" s="197">
        <f>551905+13818</f>
        <v>565723</v>
      </c>
      <c r="I22" s="197">
        <f>122318+3617</f>
        <v>125935</v>
      </c>
      <c r="J22" s="198">
        <f>51256+4042</f>
        <v>55298</v>
      </c>
      <c r="K22" s="198">
        <f>141491+9527</f>
        <v>151018</v>
      </c>
      <c r="L22" s="198">
        <f>86107+227</f>
        <v>86334</v>
      </c>
      <c r="M22" s="198">
        <f>74883+5551</f>
        <v>80434</v>
      </c>
      <c r="N22" s="198">
        <f>82819+2289</f>
        <v>85108</v>
      </c>
      <c r="O22" s="198">
        <f>15669</f>
        <v>15669</v>
      </c>
      <c r="P22" s="198">
        <f>157492+15207</f>
        <v>172699</v>
      </c>
      <c r="Q22" s="198">
        <f>196466+4250</f>
        <v>200716</v>
      </c>
      <c r="R22" s="198">
        <f>29346+181</f>
        <v>29527</v>
      </c>
      <c r="S22" s="198">
        <f>40311+647</f>
        <v>40958</v>
      </c>
      <c r="T22" s="198">
        <f>36555.93+635.9</f>
        <v>37191.83</v>
      </c>
      <c r="U22" s="198">
        <v>7173</v>
      </c>
      <c r="V22" s="198">
        <f>18468.18</f>
        <v>18468.18</v>
      </c>
      <c r="W22" s="181">
        <f>SUM(B22:V22)</f>
        <v>2731463.0100000002</v>
      </c>
    </row>
    <row r="23" spans="1:23" ht="11.25">
      <c r="A23" s="162" t="s">
        <v>187</v>
      </c>
      <c r="B23" s="181"/>
      <c r="C23" s="197">
        <f>579410+105886</f>
        <v>685296</v>
      </c>
      <c r="D23" s="197">
        <v>0</v>
      </c>
      <c r="E23" s="197">
        <f>794204+206811</f>
        <v>1001015</v>
      </c>
      <c r="F23" s="197">
        <f>48165+1460</f>
        <v>49625</v>
      </c>
      <c r="G23" s="197">
        <v>0</v>
      </c>
      <c r="H23" s="197">
        <f>1121125+179289</f>
        <v>1300414</v>
      </c>
      <c r="I23" s="197">
        <f>233126+48862</f>
        <v>281988</v>
      </c>
      <c r="J23" s="198">
        <f>100124+44484</f>
        <v>144608</v>
      </c>
      <c r="K23" s="198">
        <f>151171+91024</f>
        <v>242195</v>
      </c>
      <c r="L23" s="198">
        <f>213586+3600</f>
        <v>217186</v>
      </c>
      <c r="M23" s="198">
        <f>136073+102132</f>
        <v>238205</v>
      </c>
      <c r="N23" s="198">
        <f>91223+36767</f>
        <v>127990</v>
      </c>
      <c r="O23" s="198">
        <v>25308</v>
      </c>
      <c r="P23" s="198">
        <f>246384+125067</f>
        <v>371451</v>
      </c>
      <c r="Q23" s="198">
        <f>407916+64791</f>
        <v>472707</v>
      </c>
      <c r="R23" s="198">
        <f>56482+8687</f>
        <v>65169</v>
      </c>
      <c r="S23" s="198">
        <f>52236+5690</f>
        <v>57926</v>
      </c>
      <c r="T23" s="198">
        <f>84861.74+14949.02</f>
        <v>99810.76000000001</v>
      </c>
      <c r="U23" s="198">
        <f>5180+313</f>
        <v>5493</v>
      </c>
      <c r="V23" s="198">
        <f>21909.95+7918</f>
        <v>29827.95</v>
      </c>
      <c r="W23" s="181">
        <f>SUM(B23:V23)</f>
        <v>5416214.71</v>
      </c>
    </row>
    <row r="24" spans="1:23" ht="11.25">
      <c r="A24" s="162" t="s">
        <v>188</v>
      </c>
      <c r="B24" s="181"/>
      <c r="C24" s="197">
        <f>2362295</f>
        <v>2362295</v>
      </c>
      <c r="D24" s="197">
        <v>0</v>
      </c>
      <c r="E24" s="197">
        <v>3597494</v>
      </c>
      <c r="F24" s="197">
        <f>361597</f>
        <v>361597</v>
      </c>
      <c r="G24" s="197">
        <v>0</v>
      </c>
      <c r="H24" s="197">
        <v>4474546</v>
      </c>
      <c r="I24" s="197">
        <v>2128432</v>
      </c>
      <c r="J24" s="198">
        <v>350071.84</v>
      </c>
      <c r="K24" s="198">
        <v>1328304</v>
      </c>
      <c r="L24" s="198">
        <f>1445306</f>
        <v>1445306</v>
      </c>
      <c r="M24" s="198">
        <v>1248238</v>
      </c>
      <c r="N24" s="198">
        <v>796082.23</v>
      </c>
      <c r="O24" s="198">
        <v>127631</v>
      </c>
      <c r="P24" s="198">
        <v>1431794</v>
      </c>
      <c r="Q24" s="198">
        <v>1641439</v>
      </c>
      <c r="R24" s="198">
        <v>359901</v>
      </c>
      <c r="S24" s="198">
        <v>286909</v>
      </c>
      <c r="T24" s="198">
        <v>486962.37</v>
      </c>
      <c r="U24" s="198">
        <v>62752</v>
      </c>
      <c r="V24" s="198">
        <v>141112</v>
      </c>
      <c r="W24" s="181">
        <f>SUM(B24:V24)</f>
        <v>22630866.44</v>
      </c>
    </row>
    <row r="25" spans="1:23" ht="11.25">
      <c r="A25" s="162" t="s">
        <v>52</v>
      </c>
      <c r="B25" s="205"/>
      <c r="C25" s="203"/>
      <c r="D25" s="203"/>
      <c r="E25" s="203"/>
      <c r="F25" s="203"/>
      <c r="G25" s="203"/>
      <c r="H25" s="203"/>
      <c r="I25" s="203"/>
      <c r="J25" s="204"/>
      <c r="K25" s="204"/>
      <c r="L25" s="204"/>
      <c r="M25" s="204"/>
      <c r="N25" s="204"/>
      <c r="O25" s="204"/>
      <c r="P25" s="204"/>
      <c r="Q25" s="204"/>
      <c r="R25" s="204"/>
      <c r="S25" s="204"/>
      <c r="T25" s="204"/>
      <c r="U25" s="204"/>
      <c r="V25" s="204"/>
      <c r="W25" s="205"/>
    </row>
    <row r="26" spans="1:23" ht="11.25">
      <c r="A26" s="159" t="s">
        <v>51</v>
      </c>
      <c r="B26" s="181">
        <f>SUM(B21:B24)</f>
        <v>824084.1100000001</v>
      </c>
      <c r="C26" s="197">
        <f>SUM(C21:C24)</f>
        <v>3474192</v>
      </c>
      <c r="D26" s="197">
        <f aca="true" t="shared" si="2" ref="D26:I26">SUM(D21:D24)</f>
        <v>0</v>
      </c>
      <c r="E26" s="197">
        <f t="shared" si="2"/>
        <v>5092548</v>
      </c>
      <c r="F26" s="197">
        <f t="shared" si="2"/>
        <v>457077</v>
      </c>
      <c r="G26" s="197">
        <f t="shared" si="2"/>
        <v>0</v>
      </c>
      <c r="H26" s="197">
        <f t="shared" si="2"/>
        <v>6340683</v>
      </c>
      <c r="I26" s="197">
        <f t="shared" si="2"/>
        <v>2536355</v>
      </c>
      <c r="J26" s="198">
        <f>SUM(J21:J24)</f>
        <v>549977.8400000001</v>
      </c>
      <c r="K26" s="198">
        <f aca="true" t="shared" si="3" ref="K26:V26">SUM(K21:K24)</f>
        <v>1721517</v>
      </c>
      <c r="L26" s="198">
        <f t="shared" si="3"/>
        <v>1748826</v>
      </c>
      <c r="M26" s="198">
        <f t="shared" si="3"/>
        <v>1566877</v>
      </c>
      <c r="N26" s="198">
        <f t="shared" si="3"/>
        <v>1009180.23</v>
      </c>
      <c r="O26" s="198">
        <f t="shared" si="3"/>
        <v>168608</v>
      </c>
      <c r="P26" s="198">
        <f t="shared" si="3"/>
        <v>1975944</v>
      </c>
      <c r="Q26" s="198">
        <f t="shared" si="3"/>
        <v>2314862</v>
      </c>
      <c r="R26" s="198">
        <f t="shared" si="3"/>
        <v>454597</v>
      </c>
      <c r="S26" s="198">
        <f t="shared" si="3"/>
        <v>385793</v>
      </c>
      <c r="T26" s="198">
        <f t="shared" si="3"/>
        <v>623964.96</v>
      </c>
      <c r="U26" s="198">
        <f t="shared" si="3"/>
        <v>75418</v>
      </c>
      <c r="V26" s="198">
        <f t="shared" si="3"/>
        <v>189408.13</v>
      </c>
      <c r="W26" s="181">
        <f>SUM(B26:V26)</f>
        <v>31509912.27</v>
      </c>
    </row>
    <row r="27" spans="1:23" ht="10.5">
      <c r="A27" s="48"/>
      <c r="B27" s="181"/>
      <c r="C27" s="197"/>
      <c r="D27" s="197"/>
      <c r="E27" s="197"/>
      <c r="F27" s="197"/>
      <c r="G27" s="197"/>
      <c r="H27" s="197"/>
      <c r="I27" s="197"/>
      <c r="J27" s="198"/>
      <c r="K27" s="198"/>
      <c r="L27" s="198"/>
      <c r="M27" s="198"/>
      <c r="N27" s="198"/>
      <c r="O27" s="198"/>
      <c r="P27" s="198"/>
      <c r="Q27" s="198"/>
      <c r="R27" s="198"/>
      <c r="S27" s="198"/>
      <c r="T27" s="198"/>
      <c r="U27" s="198"/>
      <c r="V27" s="198"/>
      <c r="W27" s="181"/>
    </row>
    <row r="28" spans="1:23" ht="10.5">
      <c r="A28" s="48"/>
      <c r="B28" s="181"/>
      <c r="C28" s="197"/>
      <c r="D28" s="197"/>
      <c r="E28" s="197"/>
      <c r="F28" s="197"/>
      <c r="G28" s="197"/>
      <c r="H28" s="197"/>
      <c r="I28" s="197"/>
      <c r="J28" s="198"/>
      <c r="K28" s="198"/>
      <c r="L28" s="198"/>
      <c r="M28" s="198"/>
      <c r="N28" s="198"/>
      <c r="O28" s="198"/>
      <c r="P28" s="198"/>
      <c r="Q28" s="198"/>
      <c r="R28" s="198"/>
      <c r="S28" s="198"/>
      <c r="T28" s="198"/>
      <c r="U28" s="198"/>
      <c r="V28" s="198"/>
      <c r="W28" s="181"/>
    </row>
    <row r="29" spans="1:23" ht="12" thickBot="1">
      <c r="A29" s="159" t="s">
        <v>404</v>
      </c>
      <c r="B29" s="207">
        <f>B9+B18-B26</f>
        <v>60297.590000000084</v>
      </c>
      <c r="C29" s="208">
        <f aca="true" t="shared" si="4" ref="C29:W29">C9+C18-C26</f>
        <v>-327704.91000000015</v>
      </c>
      <c r="D29" s="208">
        <f t="shared" si="4"/>
        <v>143733.68</v>
      </c>
      <c r="E29" s="208">
        <f t="shared" si="4"/>
        <v>-124552.79999999981</v>
      </c>
      <c r="F29" s="208">
        <f t="shared" si="4"/>
        <v>241837.07999999996</v>
      </c>
      <c r="G29" s="208">
        <f t="shared" si="4"/>
        <v>5408.88</v>
      </c>
      <c r="H29" s="208">
        <f t="shared" si="4"/>
        <v>708485.7199999997</v>
      </c>
      <c r="I29" s="208">
        <f t="shared" si="4"/>
        <v>110292.01000000024</v>
      </c>
      <c r="J29" s="209">
        <f t="shared" si="4"/>
        <v>27021.04999999993</v>
      </c>
      <c r="K29" s="209">
        <f t="shared" si="4"/>
        <v>-60648.179999999935</v>
      </c>
      <c r="L29" s="209">
        <f t="shared" si="4"/>
        <v>-104031.85999999987</v>
      </c>
      <c r="M29" s="209">
        <f t="shared" si="4"/>
        <v>275399.1300000001</v>
      </c>
      <c r="N29" s="209">
        <f t="shared" si="4"/>
        <v>61213.419999999925</v>
      </c>
      <c r="O29" s="209">
        <f t="shared" si="4"/>
        <v>-37757.32000000001</v>
      </c>
      <c r="P29" s="209">
        <f t="shared" si="4"/>
        <v>335337.31999999983</v>
      </c>
      <c r="Q29" s="209">
        <f t="shared" si="4"/>
        <v>-119767.51000000024</v>
      </c>
      <c r="R29" s="209">
        <f t="shared" si="4"/>
        <v>17202.809999999998</v>
      </c>
      <c r="S29" s="209">
        <f t="shared" si="4"/>
        <v>33322.889999999956</v>
      </c>
      <c r="T29" s="209">
        <f t="shared" si="4"/>
        <v>-43829.53999999992</v>
      </c>
      <c r="U29" s="209">
        <f t="shared" si="4"/>
        <v>-7327.199999999997</v>
      </c>
      <c r="V29" s="209">
        <f t="shared" si="4"/>
        <v>-58541.250000000015</v>
      </c>
      <c r="W29" s="207">
        <f t="shared" si="4"/>
        <v>1135391.0100000016</v>
      </c>
    </row>
    <row r="30" spans="2:23" ht="11.25" thickTop="1">
      <c r="B30" s="181"/>
      <c r="C30" s="197"/>
      <c r="D30" s="197"/>
      <c r="E30" s="197"/>
      <c r="F30" s="197"/>
      <c r="G30" s="197"/>
      <c r="H30" s="197"/>
      <c r="I30" s="197"/>
      <c r="J30" s="198"/>
      <c r="K30" s="198"/>
      <c r="L30" s="198"/>
      <c r="M30" s="198"/>
      <c r="N30" s="198"/>
      <c r="O30" s="198"/>
      <c r="P30" s="198"/>
      <c r="Q30" s="198"/>
      <c r="R30" s="198"/>
      <c r="S30" s="198"/>
      <c r="T30" s="198"/>
      <c r="U30" s="198"/>
      <c r="V30" s="198"/>
      <c r="W30" s="181"/>
    </row>
    <row r="31" spans="2:23" ht="10.5">
      <c r="B31" s="181"/>
      <c r="C31" s="197"/>
      <c r="D31" s="197"/>
      <c r="E31" s="197"/>
      <c r="F31" s="197"/>
      <c r="G31" s="197"/>
      <c r="H31" s="197"/>
      <c r="I31" s="197"/>
      <c r="J31" s="198"/>
      <c r="K31" s="198"/>
      <c r="L31" s="198"/>
      <c r="M31" s="198"/>
      <c r="N31" s="198"/>
      <c r="O31" s="198"/>
      <c r="P31" s="198"/>
      <c r="Q31" s="198"/>
      <c r="R31" s="198"/>
      <c r="S31" s="198"/>
      <c r="T31" s="198"/>
      <c r="U31" s="198"/>
      <c r="V31" s="198"/>
      <c r="W31" s="181"/>
    </row>
    <row r="32" spans="1:23" ht="11.25">
      <c r="A32" s="166" t="s">
        <v>407</v>
      </c>
      <c r="B32" s="181">
        <f>0.74</f>
        <v>0.74</v>
      </c>
      <c r="C32" s="197">
        <f>3155+311509+8545</f>
        <v>323209</v>
      </c>
      <c r="D32" s="197">
        <f>31+276+11979</f>
        <v>12286</v>
      </c>
      <c r="E32" s="197">
        <f>328+38+3246</f>
        <v>3612</v>
      </c>
      <c r="F32" s="197">
        <f>3249+4366+6358</f>
        <v>13973</v>
      </c>
      <c r="G32" s="197"/>
      <c r="H32" s="197">
        <f>57883+109026+154604</f>
        <v>321513</v>
      </c>
      <c r="I32" s="197">
        <f>54302+235436+10511</f>
        <v>300249</v>
      </c>
      <c r="J32" s="198">
        <f>7572+85668.16+1599</f>
        <v>94839.16</v>
      </c>
      <c r="K32" s="198">
        <f>25624+67464+32599</f>
        <v>125687</v>
      </c>
      <c r="L32" s="198">
        <f>23149+17006+17545</f>
        <v>57700</v>
      </c>
      <c r="M32" s="198">
        <f>178+1606+11234+109963+16010</f>
        <v>138991</v>
      </c>
      <c r="N32" s="198">
        <f>13143+31722.77+36053</f>
        <v>80918.77</v>
      </c>
      <c r="O32" s="198">
        <f>1340+3333+5596</f>
        <v>10269</v>
      </c>
      <c r="P32" s="198">
        <f>27274+63342+32427</f>
        <v>123043</v>
      </c>
      <c r="Q32" s="198">
        <f>947+4342+27610+33997+65784</f>
        <v>132680</v>
      </c>
      <c r="R32" s="198">
        <f>9261+57943+6187</f>
        <v>73391</v>
      </c>
      <c r="S32" s="198">
        <f>7100+35722+8662</f>
        <v>51484</v>
      </c>
      <c r="T32" s="198">
        <f>23880.62+68666+16087.66</f>
        <v>108634.28</v>
      </c>
      <c r="U32" s="198">
        <f>799+5055+575</f>
        <v>6429</v>
      </c>
      <c r="V32" s="198">
        <f>3006.59+5938+1752</f>
        <v>10696.59</v>
      </c>
      <c r="W32" s="181">
        <f>SUM(B32:V32)</f>
        <v>1989605.54</v>
      </c>
    </row>
    <row r="33" spans="1:23" ht="11.25">
      <c r="A33" s="166" t="s">
        <v>408</v>
      </c>
      <c r="B33" s="205"/>
      <c r="C33" s="203"/>
      <c r="D33" s="203"/>
      <c r="E33" s="203"/>
      <c r="F33" s="203"/>
      <c r="G33" s="203"/>
      <c r="H33" s="203"/>
      <c r="I33" s="203"/>
      <c r="J33" s="204"/>
      <c r="K33" s="204"/>
      <c r="L33" s="204"/>
      <c r="M33" s="204"/>
      <c r="N33" s="204"/>
      <c r="O33" s="204"/>
      <c r="P33" s="204"/>
      <c r="Q33" s="204"/>
      <c r="R33" s="204"/>
      <c r="S33" s="204"/>
      <c r="T33" s="204"/>
      <c r="U33" s="204"/>
      <c r="V33" s="204"/>
      <c r="W33" s="205"/>
    </row>
    <row r="34" spans="1:23" ht="11.25">
      <c r="A34" s="167" t="s">
        <v>52</v>
      </c>
      <c r="B34" s="181">
        <f>SUM(B32:B33)</f>
        <v>0.74</v>
      </c>
      <c r="C34" s="197">
        <f aca="true" t="shared" si="5" ref="C34:W34">SUM(C32:C33)</f>
        <v>323209</v>
      </c>
      <c r="D34" s="197">
        <f t="shared" si="5"/>
        <v>12286</v>
      </c>
      <c r="E34" s="197">
        <f t="shared" si="5"/>
        <v>3612</v>
      </c>
      <c r="F34" s="197">
        <f t="shared" si="5"/>
        <v>13973</v>
      </c>
      <c r="G34" s="197">
        <f t="shared" si="5"/>
        <v>0</v>
      </c>
      <c r="H34" s="197">
        <f t="shared" si="5"/>
        <v>321513</v>
      </c>
      <c r="I34" s="197">
        <f t="shared" si="5"/>
        <v>300249</v>
      </c>
      <c r="J34" s="198">
        <f t="shared" si="5"/>
        <v>94839.16</v>
      </c>
      <c r="K34" s="198">
        <f t="shared" si="5"/>
        <v>125687</v>
      </c>
      <c r="L34" s="198">
        <f t="shared" si="5"/>
        <v>57700</v>
      </c>
      <c r="M34" s="198">
        <f t="shared" si="5"/>
        <v>138991</v>
      </c>
      <c r="N34" s="198">
        <f t="shared" si="5"/>
        <v>80918.77</v>
      </c>
      <c r="O34" s="198">
        <f t="shared" si="5"/>
        <v>10269</v>
      </c>
      <c r="P34" s="198">
        <f t="shared" si="5"/>
        <v>123043</v>
      </c>
      <c r="Q34" s="198">
        <f t="shared" si="5"/>
        <v>132680</v>
      </c>
      <c r="R34" s="198">
        <f t="shared" si="5"/>
        <v>73391</v>
      </c>
      <c r="S34" s="198">
        <f t="shared" si="5"/>
        <v>51484</v>
      </c>
      <c r="T34" s="198">
        <f t="shared" si="5"/>
        <v>108634.28</v>
      </c>
      <c r="U34" s="198">
        <f t="shared" si="5"/>
        <v>6429</v>
      </c>
      <c r="V34" s="198">
        <f t="shared" si="5"/>
        <v>10696.59</v>
      </c>
      <c r="W34" s="181">
        <f t="shared" si="5"/>
        <v>1989605.54</v>
      </c>
    </row>
    <row r="35" spans="1:23" ht="11.25">
      <c r="A35" s="159"/>
      <c r="B35" s="181"/>
      <c r="C35" s="197"/>
      <c r="D35" s="197"/>
      <c r="E35" s="197"/>
      <c r="F35" s="197"/>
      <c r="G35" s="197"/>
      <c r="H35" s="197"/>
      <c r="I35" s="197"/>
      <c r="J35" s="198"/>
      <c r="K35" s="198"/>
      <c r="L35" s="198"/>
      <c r="M35" s="198"/>
      <c r="N35" s="198"/>
      <c r="O35" s="198"/>
      <c r="P35" s="198"/>
      <c r="Q35" s="198"/>
      <c r="R35" s="198"/>
      <c r="S35" s="198"/>
      <c r="T35" s="198"/>
      <c r="U35" s="198"/>
      <c r="V35" s="198"/>
      <c r="W35" s="181"/>
    </row>
    <row r="36" spans="1:23" ht="11.25">
      <c r="A36" s="168"/>
      <c r="B36" s="181"/>
      <c r="C36" s="197"/>
      <c r="D36" s="197"/>
      <c r="E36" s="197"/>
      <c r="F36" s="197"/>
      <c r="G36" s="197"/>
      <c r="H36" s="197"/>
      <c r="I36" s="197"/>
      <c r="J36" s="198"/>
      <c r="K36" s="198"/>
      <c r="L36" s="198"/>
      <c r="M36" s="198"/>
      <c r="N36" s="198"/>
      <c r="O36" s="198"/>
      <c r="P36" s="198"/>
      <c r="Q36" s="198"/>
      <c r="R36" s="198"/>
      <c r="S36" s="198"/>
      <c r="T36" s="198"/>
      <c r="U36" s="198"/>
      <c r="V36" s="198"/>
      <c r="W36" s="181"/>
    </row>
    <row r="37" spans="1:23" ht="12" thickBot="1">
      <c r="A37" s="159" t="s">
        <v>402</v>
      </c>
      <c r="B37" s="207">
        <f>B29-B34</f>
        <v>60296.850000000086</v>
      </c>
      <c r="C37" s="208">
        <f aca="true" t="shared" si="6" ref="C37:W37">C29-C34</f>
        <v>-650913.9100000001</v>
      </c>
      <c r="D37" s="208">
        <f t="shared" si="6"/>
        <v>131447.68</v>
      </c>
      <c r="E37" s="208">
        <f t="shared" si="6"/>
        <v>-128164.79999999981</v>
      </c>
      <c r="F37" s="208">
        <f t="shared" si="6"/>
        <v>227864.07999999996</v>
      </c>
      <c r="G37" s="208">
        <f t="shared" si="6"/>
        <v>5408.88</v>
      </c>
      <c r="H37" s="208">
        <f t="shared" si="6"/>
        <v>386972.71999999974</v>
      </c>
      <c r="I37" s="208">
        <f t="shared" si="6"/>
        <v>-189956.98999999976</v>
      </c>
      <c r="J37" s="209">
        <f t="shared" si="6"/>
        <v>-67818.11000000007</v>
      </c>
      <c r="K37" s="209">
        <f t="shared" si="6"/>
        <v>-186335.17999999993</v>
      </c>
      <c r="L37" s="209">
        <f t="shared" si="6"/>
        <v>-161731.85999999987</v>
      </c>
      <c r="M37" s="209">
        <f t="shared" si="6"/>
        <v>136408.13000000012</v>
      </c>
      <c r="N37" s="209">
        <f t="shared" si="6"/>
        <v>-19705.35000000008</v>
      </c>
      <c r="O37" s="209">
        <f t="shared" si="6"/>
        <v>-48026.32000000001</v>
      </c>
      <c r="P37" s="209">
        <f t="shared" si="6"/>
        <v>212294.31999999983</v>
      </c>
      <c r="Q37" s="209">
        <f t="shared" si="6"/>
        <v>-252447.51000000024</v>
      </c>
      <c r="R37" s="209">
        <f t="shared" si="6"/>
        <v>-56188.19</v>
      </c>
      <c r="S37" s="209">
        <f t="shared" si="6"/>
        <v>-18161.110000000044</v>
      </c>
      <c r="T37" s="209">
        <f t="shared" si="6"/>
        <v>-152463.81999999992</v>
      </c>
      <c r="U37" s="209">
        <f t="shared" si="6"/>
        <v>-13756.199999999997</v>
      </c>
      <c r="V37" s="209">
        <f t="shared" si="6"/>
        <v>-69237.84000000001</v>
      </c>
      <c r="W37" s="207">
        <f t="shared" si="6"/>
        <v>-854214.5299999984</v>
      </c>
    </row>
    <row r="38" spans="1:22" ht="11.25" thickTop="1">
      <c r="A38" s="158"/>
      <c r="C38" s="219"/>
      <c r="D38" s="219"/>
      <c r="E38" s="219"/>
      <c r="F38" s="219"/>
      <c r="G38" s="219"/>
      <c r="H38" s="219"/>
      <c r="I38" s="219"/>
      <c r="J38" s="219"/>
      <c r="K38" s="219"/>
      <c r="L38" s="219"/>
      <c r="M38" s="219"/>
      <c r="N38" s="219"/>
      <c r="O38" s="219"/>
      <c r="P38" s="219"/>
      <c r="Q38" s="219"/>
      <c r="R38" s="219"/>
      <c r="S38" s="219"/>
      <c r="T38" s="219"/>
      <c r="U38" s="219"/>
      <c r="V38" s="219"/>
    </row>
    <row r="39" spans="1:22" ht="10.5">
      <c r="A39" s="158"/>
      <c r="C39" s="219"/>
      <c r="D39" s="219"/>
      <c r="E39" s="219"/>
      <c r="F39" s="219"/>
      <c r="G39" s="219"/>
      <c r="H39" s="219"/>
      <c r="I39" s="219"/>
      <c r="J39" s="219"/>
      <c r="K39" s="219"/>
      <c r="L39" s="219"/>
      <c r="M39" s="219"/>
      <c r="N39" s="219"/>
      <c r="O39" s="219"/>
      <c r="P39" s="219"/>
      <c r="Q39" s="219"/>
      <c r="R39" s="219"/>
      <c r="S39" s="219"/>
      <c r="T39" s="219"/>
      <c r="U39" s="219"/>
      <c r="V39" s="219"/>
    </row>
    <row r="40" spans="1:22" ht="10.5">
      <c r="A40" s="158"/>
      <c r="C40" s="219"/>
      <c r="D40" s="219"/>
      <c r="E40" s="219"/>
      <c r="F40" s="219"/>
      <c r="G40" s="219"/>
      <c r="H40" s="219"/>
      <c r="I40" s="219"/>
      <c r="J40" s="219"/>
      <c r="K40" s="219"/>
      <c r="L40" s="219"/>
      <c r="M40" s="219"/>
      <c r="N40" s="219"/>
      <c r="O40" s="219"/>
      <c r="P40" s="219"/>
      <c r="Q40" s="219"/>
      <c r="R40" s="219"/>
      <c r="S40" s="219"/>
      <c r="T40" s="219"/>
      <c r="U40" s="219"/>
      <c r="V40" s="219"/>
    </row>
    <row r="41" spans="1:22" ht="10.5">
      <c r="A41" s="157" t="s">
        <v>327</v>
      </c>
      <c r="B41" s="288" t="s">
        <v>11</v>
      </c>
      <c r="C41" s="289" t="s">
        <v>35</v>
      </c>
      <c r="D41" s="289" t="s">
        <v>25</v>
      </c>
      <c r="E41" s="289" t="s">
        <v>34</v>
      </c>
      <c r="F41" s="289" t="s">
        <v>36</v>
      </c>
      <c r="G41" s="289" t="s">
        <v>28</v>
      </c>
      <c r="H41" s="289" t="s">
        <v>29</v>
      </c>
      <c r="I41" s="289" t="s">
        <v>30</v>
      </c>
      <c r="J41" s="290" t="s">
        <v>32</v>
      </c>
      <c r="K41" s="290" t="s">
        <v>33</v>
      </c>
      <c r="L41" s="290" t="s">
        <v>23</v>
      </c>
      <c r="M41" s="290" t="s">
        <v>31</v>
      </c>
      <c r="N41" s="290" t="s">
        <v>165</v>
      </c>
      <c r="O41" s="290" t="s">
        <v>37</v>
      </c>
      <c r="P41" s="290" t="s">
        <v>27</v>
      </c>
      <c r="Q41" s="290" t="s">
        <v>29</v>
      </c>
      <c r="R41" s="290" t="s">
        <v>30</v>
      </c>
      <c r="S41" s="290" t="s">
        <v>25</v>
      </c>
      <c r="T41" s="290" t="s">
        <v>24</v>
      </c>
      <c r="U41" s="290" t="s">
        <v>26</v>
      </c>
      <c r="V41" s="290" t="s">
        <v>28</v>
      </c>
    </row>
    <row r="42" spans="2:23" ht="10.5">
      <c r="B42" s="288" t="s">
        <v>44</v>
      </c>
      <c r="C42" s="283" t="s">
        <v>280</v>
      </c>
      <c r="D42" s="283" t="s">
        <v>281</v>
      </c>
      <c r="E42" s="283" t="s">
        <v>282</v>
      </c>
      <c r="F42" s="283" t="s">
        <v>283</v>
      </c>
      <c r="G42" s="283" t="s">
        <v>284</v>
      </c>
      <c r="H42" s="283" t="s">
        <v>285</v>
      </c>
      <c r="I42" s="283" t="s">
        <v>286</v>
      </c>
      <c r="J42" s="285" t="s">
        <v>288</v>
      </c>
      <c r="K42" s="285" t="s">
        <v>289</v>
      </c>
      <c r="L42" s="285" t="s">
        <v>291</v>
      </c>
      <c r="M42" s="285" t="s">
        <v>292</v>
      </c>
      <c r="N42" s="285" t="s">
        <v>294</v>
      </c>
      <c r="O42" s="285" t="s">
        <v>296</v>
      </c>
      <c r="P42" s="285" t="s">
        <v>297</v>
      </c>
      <c r="Q42" s="285" t="s">
        <v>285</v>
      </c>
      <c r="R42" s="285" t="s">
        <v>286</v>
      </c>
      <c r="S42" s="285" t="s">
        <v>299</v>
      </c>
      <c r="T42" s="285" t="s">
        <v>304</v>
      </c>
      <c r="U42" s="285" t="s">
        <v>301</v>
      </c>
      <c r="V42" s="285" t="s">
        <v>302</v>
      </c>
      <c r="W42" s="288" t="s">
        <v>3</v>
      </c>
    </row>
    <row r="43" spans="2:23" ht="10.5">
      <c r="B43" s="169" t="s">
        <v>52</v>
      </c>
      <c r="C43" s="280" t="s">
        <v>52</v>
      </c>
      <c r="D43" s="280" t="s">
        <v>52</v>
      </c>
      <c r="E43" s="280" t="s">
        <v>52</v>
      </c>
      <c r="F43" s="280" t="s">
        <v>52</v>
      </c>
      <c r="G43" s="280" t="s">
        <v>52</v>
      </c>
      <c r="H43" s="280" t="s">
        <v>52</v>
      </c>
      <c r="I43" s="284" t="s">
        <v>287</v>
      </c>
      <c r="J43" s="282" t="s">
        <v>52</v>
      </c>
      <c r="K43" s="286" t="s">
        <v>290</v>
      </c>
      <c r="L43" s="282" t="s">
        <v>52</v>
      </c>
      <c r="M43" s="286" t="s">
        <v>293</v>
      </c>
      <c r="N43" s="286" t="s">
        <v>295</v>
      </c>
      <c r="O43" s="282" t="s">
        <v>52</v>
      </c>
      <c r="P43" s="286" t="s">
        <v>298</v>
      </c>
      <c r="Q43" s="282" t="s">
        <v>52</v>
      </c>
      <c r="R43" s="286" t="s">
        <v>287</v>
      </c>
      <c r="S43" s="286" t="s">
        <v>300</v>
      </c>
      <c r="T43" s="286" t="s">
        <v>305</v>
      </c>
      <c r="U43" s="282" t="s">
        <v>52</v>
      </c>
      <c r="V43" s="286" t="s">
        <v>303</v>
      </c>
      <c r="W43" s="163"/>
    </row>
    <row r="44" spans="1:23" ht="11.25">
      <c r="A44" s="160" t="s">
        <v>403</v>
      </c>
      <c r="B44" s="181">
        <f>424.85+59872.74</f>
        <v>60297.59</v>
      </c>
      <c r="C44" s="197">
        <v>-327704.91</v>
      </c>
      <c r="D44" s="197">
        <v>143733.68</v>
      </c>
      <c r="E44" s="197">
        <v>-124552.8</v>
      </c>
      <c r="F44" s="197">
        <v>241837.08</v>
      </c>
      <c r="G44" s="197">
        <v>5408.88</v>
      </c>
      <c r="H44" s="197">
        <v>708485.72</v>
      </c>
      <c r="I44" s="197">
        <v>110292.01</v>
      </c>
      <c r="J44" s="198">
        <v>27021.05</v>
      </c>
      <c r="K44" s="198">
        <v>-60648.18</v>
      </c>
      <c r="L44" s="198">
        <v>-104031.86</v>
      </c>
      <c r="M44" s="198">
        <v>275399.13</v>
      </c>
      <c r="N44" s="198">
        <v>61213.42</v>
      </c>
      <c r="O44" s="198">
        <v>-37757.32</v>
      </c>
      <c r="P44" s="198">
        <v>335337.32</v>
      </c>
      <c r="Q44" s="198">
        <v>-119767.51</v>
      </c>
      <c r="R44" s="198">
        <v>17202.81</v>
      </c>
      <c r="S44" s="198">
        <v>33322.89</v>
      </c>
      <c r="T44" s="198">
        <v>-43829.54</v>
      </c>
      <c r="U44" s="198">
        <v>-7327.2</v>
      </c>
      <c r="V44" s="198">
        <v>-58541.25</v>
      </c>
      <c r="W44" s="181">
        <f>SUM(B44:V44)</f>
        <v>1135391.01</v>
      </c>
    </row>
    <row r="45" spans="1:23" ht="10.5">
      <c r="A45" s="158"/>
      <c r="B45" s="199"/>
      <c r="C45" s="200"/>
      <c r="D45" s="197"/>
      <c r="E45" s="197"/>
      <c r="F45" s="197"/>
      <c r="G45" s="197"/>
      <c r="H45" s="197"/>
      <c r="I45" s="197"/>
      <c r="J45" s="198"/>
      <c r="K45" s="198"/>
      <c r="L45" s="198"/>
      <c r="M45" s="198"/>
      <c r="N45" s="198"/>
      <c r="O45" s="198"/>
      <c r="P45" s="198"/>
      <c r="Q45" s="198"/>
      <c r="R45" s="198"/>
      <c r="S45" s="198"/>
      <c r="T45" s="198"/>
      <c r="U45" s="198"/>
      <c r="V45" s="198"/>
      <c r="W45" s="181"/>
    </row>
    <row r="46" spans="1:23" ht="11.25">
      <c r="A46" s="159" t="s">
        <v>277</v>
      </c>
      <c r="B46" s="181"/>
      <c r="C46" s="197"/>
      <c r="D46" s="197"/>
      <c r="E46" s="197"/>
      <c r="F46" s="197"/>
      <c r="G46" s="197"/>
      <c r="H46" s="197"/>
      <c r="I46" s="197"/>
      <c r="J46" s="198"/>
      <c r="K46" s="198"/>
      <c r="L46" s="198"/>
      <c r="M46" s="198"/>
      <c r="N46" s="198"/>
      <c r="O46" s="198"/>
      <c r="P46" s="198"/>
      <c r="Q46" s="198"/>
      <c r="R46" s="198"/>
      <c r="S46" s="198"/>
      <c r="T46" s="198"/>
      <c r="U46" s="198"/>
      <c r="V46" s="198"/>
      <c r="W46" s="181"/>
    </row>
    <row r="47" spans="1:23" ht="11.25">
      <c r="A47" s="162" t="s">
        <v>190</v>
      </c>
      <c r="B47" s="181">
        <v>926188.92</v>
      </c>
      <c r="C47" s="197">
        <v>4146182.21</v>
      </c>
      <c r="D47" s="197">
        <v>14094.42</v>
      </c>
      <c r="E47" s="197">
        <v>5922325.52</v>
      </c>
      <c r="F47" s="197">
        <f>653631.34</f>
        <v>653631.34</v>
      </c>
      <c r="G47" s="197">
        <v>5335.95</v>
      </c>
      <c r="H47" s="197">
        <f>7356426.34</f>
        <v>7356426.34</v>
      </c>
      <c r="I47" s="197">
        <f>3042771.53</f>
        <v>3042771.53</v>
      </c>
      <c r="J47" s="198"/>
      <c r="K47" s="198"/>
      <c r="L47" s="198"/>
      <c r="M47" s="198"/>
      <c r="N47" s="198"/>
      <c r="O47" s="198"/>
      <c r="P47" s="198"/>
      <c r="Q47" s="198"/>
      <c r="R47" s="198"/>
      <c r="S47" s="198"/>
      <c r="T47" s="198"/>
      <c r="U47" s="198"/>
      <c r="V47" s="198"/>
      <c r="W47" s="181">
        <f>SUM(B47:V47)</f>
        <v>22066956.23</v>
      </c>
    </row>
    <row r="48" spans="1:23" ht="11.25">
      <c r="A48" s="162" t="s">
        <v>278</v>
      </c>
      <c r="B48" s="181">
        <v>630868.22</v>
      </c>
      <c r="C48" s="197">
        <v>0</v>
      </c>
      <c r="D48" s="197"/>
      <c r="E48" s="197"/>
      <c r="F48" s="197"/>
      <c r="G48" s="197"/>
      <c r="H48" s="197"/>
      <c r="I48" s="197"/>
      <c r="J48" s="198">
        <v>619862.06</v>
      </c>
      <c r="K48" s="198">
        <v>1960801.64</v>
      </c>
      <c r="L48" s="198">
        <v>2117361.7</v>
      </c>
      <c r="M48" s="198">
        <v>1780219.49</v>
      </c>
      <c r="N48" s="198">
        <v>948519.72</v>
      </c>
      <c r="O48" s="198">
        <v>188258.35</v>
      </c>
      <c r="P48" s="198">
        <v>2377706.76</v>
      </c>
      <c r="Q48" s="198">
        <v>2360718.87</v>
      </c>
      <c r="R48" s="198">
        <v>558725.32</v>
      </c>
      <c r="S48" s="198">
        <v>544382.01</v>
      </c>
      <c r="T48" s="198">
        <v>607079.09</v>
      </c>
      <c r="U48" s="198">
        <v>100863</v>
      </c>
      <c r="V48" s="198">
        <v>206140.76</v>
      </c>
      <c r="W48" s="181">
        <f>SUM(B48:V48)</f>
        <v>15001506.989999998</v>
      </c>
    </row>
    <row r="49" spans="1:23" ht="11.25">
      <c r="A49" s="162" t="s">
        <v>279</v>
      </c>
      <c r="B49" s="181">
        <f>42381.75</f>
        <v>42381.75</v>
      </c>
      <c r="C49" s="197"/>
      <c r="D49" s="197"/>
      <c r="E49" s="197"/>
      <c r="F49" s="197"/>
      <c r="G49" s="197"/>
      <c r="H49" s="197"/>
      <c r="I49" s="197"/>
      <c r="J49" s="198"/>
      <c r="K49" s="198"/>
      <c r="L49" s="198"/>
      <c r="M49" s="198"/>
      <c r="N49" s="198"/>
      <c r="O49" s="198"/>
      <c r="P49" s="198"/>
      <c r="Q49" s="198"/>
      <c r="R49" s="206" t="s">
        <v>52</v>
      </c>
      <c r="S49" s="198"/>
      <c r="T49" s="198"/>
      <c r="U49" s="198"/>
      <c r="V49" s="198"/>
      <c r="W49" s="181">
        <f>SUM(B49:V49)</f>
        <v>42381.75</v>
      </c>
    </row>
    <row r="50" spans="1:23" ht="11.25">
      <c r="A50" s="162" t="s">
        <v>48</v>
      </c>
      <c r="B50" s="181"/>
      <c r="C50" s="197"/>
      <c r="D50" s="197"/>
      <c r="E50" s="197"/>
      <c r="F50" s="197"/>
      <c r="G50" s="197"/>
      <c r="H50" s="197"/>
      <c r="I50" s="197"/>
      <c r="J50" s="198"/>
      <c r="K50" s="198"/>
      <c r="L50" s="198"/>
      <c r="M50" s="198"/>
      <c r="N50" s="198"/>
      <c r="O50" s="198"/>
      <c r="P50" s="198"/>
      <c r="Q50" s="198"/>
      <c r="R50" s="198"/>
      <c r="S50" s="198"/>
      <c r="T50" s="198"/>
      <c r="U50" s="198"/>
      <c r="V50" s="198"/>
      <c r="W50" s="181">
        <f>SUM(B50:V50)</f>
        <v>0</v>
      </c>
    </row>
    <row r="51" spans="1:23" ht="11.25">
      <c r="A51" s="162" t="s">
        <v>192</v>
      </c>
      <c r="B51" s="181">
        <v>-17648.22</v>
      </c>
      <c r="C51" s="197">
        <v>5412.01</v>
      </c>
      <c r="D51" s="197">
        <v>-72694</v>
      </c>
      <c r="E51" s="197">
        <v>72694</v>
      </c>
      <c r="F51" s="197">
        <v>0.01</v>
      </c>
      <c r="G51" s="197">
        <f>-5412</f>
        <v>-5412</v>
      </c>
      <c r="H51" s="197">
        <v>-0.03</v>
      </c>
      <c r="I51" s="197">
        <v>-0.01</v>
      </c>
      <c r="J51" s="198">
        <v>0</v>
      </c>
      <c r="K51" s="198">
        <v>0</v>
      </c>
      <c r="L51" s="198">
        <v>0</v>
      </c>
      <c r="M51" s="198">
        <v>0</v>
      </c>
      <c r="N51" s="198">
        <v>0</v>
      </c>
      <c r="O51" s="198">
        <v>0</v>
      </c>
      <c r="P51" s="198">
        <v>0</v>
      </c>
      <c r="Q51" s="198">
        <v>0</v>
      </c>
      <c r="R51" s="198">
        <v>0</v>
      </c>
      <c r="S51" s="198">
        <v>0</v>
      </c>
      <c r="T51" s="198">
        <v>0</v>
      </c>
      <c r="U51" s="198">
        <v>0</v>
      </c>
      <c r="V51" s="198">
        <v>0</v>
      </c>
      <c r="W51" s="181">
        <f>SUM(B51:V51)</f>
        <v>-17648.24</v>
      </c>
    </row>
    <row r="52" spans="2:23" ht="10.5">
      <c r="B52" s="205"/>
      <c r="C52" s="203"/>
      <c r="D52" s="203"/>
      <c r="E52" s="203"/>
      <c r="F52" s="203"/>
      <c r="G52" s="203"/>
      <c r="H52" s="203"/>
      <c r="I52" s="203"/>
      <c r="J52" s="204"/>
      <c r="K52" s="204"/>
      <c r="L52" s="204"/>
      <c r="M52" s="204"/>
      <c r="N52" s="204"/>
      <c r="O52" s="204"/>
      <c r="P52" s="204"/>
      <c r="Q52" s="204"/>
      <c r="R52" s="204"/>
      <c r="S52" s="204"/>
      <c r="T52" s="204"/>
      <c r="U52" s="204"/>
      <c r="V52" s="204"/>
      <c r="W52" s="201" t="s">
        <v>52</v>
      </c>
    </row>
    <row r="53" spans="1:23" ht="11.25">
      <c r="A53" s="159" t="s">
        <v>49</v>
      </c>
      <c r="B53" s="273">
        <f>SUM(B47:B51)</f>
        <v>1581790.6700000002</v>
      </c>
      <c r="C53" s="274">
        <f aca="true" t="shared" si="7" ref="C53:W53">SUM(C47:C51)</f>
        <v>4151594.2199999997</v>
      </c>
      <c r="D53" s="274">
        <f t="shared" si="7"/>
        <v>-58599.58</v>
      </c>
      <c r="E53" s="274">
        <f t="shared" si="7"/>
        <v>5995019.52</v>
      </c>
      <c r="F53" s="274">
        <f t="shared" si="7"/>
        <v>653631.35</v>
      </c>
      <c r="G53" s="274">
        <f t="shared" si="7"/>
        <v>-76.05000000000018</v>
      </c>
      <c r="H53" s="274">
        <f t="shared" si="7"/>
        <v>7356426.31</v>
      </c>
      <c r="I53" s="274">
        <f t="shared" si="7"/>
        <v>3042771.52</v>
      </c>
      <c r="J53" s="275">
        <f t="shared" si="7"/>
        <v>619862.06</v>
      </c>
      <c r="K53" s="275">
        <f t="shared" si="7"/>
        <v>1960801.64</v>
      </c>
      <c r="L53" s="275">
        <f t="shared" si="7"/>
        <v>2117361.7</v>
      </c>
      <c r="M53" s="275">
        <f t="shared" si="7"/>
        <v>1780219.49</v>
      </c>
      <c r="N53" s="275">
        <f t="shared" si="7"/>
        <v>948519.72</v>
      </c>
      <c r="O53" s="275">
        <f t="shared" si="7"/>
        <v>188258.35</v>
      </c>
      <c r="P53" s="275">
        <f t="shared" si="7"/>
        <v>2377706.76</v>
      </c>
      <c r="Q53" s="275">
        <f t="shared" si="7"/>
        <v>2360718.87</v>
      </c>
      <c r="R53" s="275">
        <f t="shared" si="7"/>
        <v>558725.32</v>
      </c>
      <c r="S53" s="275">
        <f t="shared" si="7"/>
        <v>544382.01</v>
      </c>
      <c r="T53" s="275">
        <f t="shared" si="7"/>
        <v>607079.09</v>
      </c>
      <c r="U53" s="275">
        <f t="shared" si="7"/>
        <v>100863</v>
      </c>
      <c r="V53" s="275">
        <f t="shared" si="7"/>
        <v>206140.76</v>
      </c>
      <c r="W53" s="273">
        <f t="shared" si="7"/>
        <v>37093196.73</v>
      </c>
    </row>
    <row r="54" spans="2:23" ht="10.5">
      <c r="B54" s="181"/>
      <c r="C54" s="197"/>
      <c r="D54" s="197"/>
      <c r="E54" s="197"/>
      <c r="F54" s="197"/>
      <c r="G54" s="197"/>
      <c r="H54" s="197"/>
      <c r="I54" s="197"/>
      <c r="J54" s="198"/>
      <c r="K54" s="198"/>
      <c r="L54" s="198"/>
      <c r="M54" s="198"/>
      <c r="N54" s="198"/>
      <c r="O54" s="198"/>
      <c r="P54" s="198"/>
      <c r="Q54" s="198"/>
      <c r="R54" s="198"/>
      <c r="S54" s="198"/>
      <c r="T54" s="198"/>
      <c r="U54" s="198"/>
      <c r="V54" s="198"/>
      <c r="W54" s="181"/>
    </row>
    <row r="55" spans="1:23" ht="11.25">
      <c r="A55" s="159" t="s">
        <v>50</v>
      </c>
      <c r="B55" s="181"/>
      <c r="C55" s="197"/>
      <c r="D55" s="197"/>
      <c r="E55" s="197"/>
      <c r="F55" s="197"/>
      <c r="G55" s="197"/>
      <c r="H55" s="197"/>
      <c r="I55" s="197"/>
      <c r="J55" s="198"/>
      <c r="K55" s="198"/>
      <c r="L55" s="198"/>
      <c r="M55" s="198"/>
      <c r="N55" s="198"/>
      <c r="O55" s="198"/>
      <c r="P55" s="198"/>
      <c r="Q55" s="198"/>
      <c r="R55" s="198"/>
      <c r="S55" s="198"/>
      <c r="T55" s="198"/>
      <c r="U55" s="198"/>
      <c r="V55" s="198"/>
      <c r="W55" s="181"/>
    </row>
    <row r="56" spans="1:23" ht="11.25">
      <c r="A56" s="167" t="s">
        <v>204</v>
      </c>
      <c r="B56" s="181">
        <f>500134.13</f>
        <v>500134.13</v>
      </c>
      <c r="C56" s="197"/>
      <c r="D56" s="197"/>
      <c r="E56" s="197"/>
      <c r="F56" s="197"/>
      <c r="G56" s="197"/>
      <c r="H56" s="197"/>
      <c r="I56" s="197"/>
      <c r="J56" s="198"/>
      <c r="K56" s="198"/>
      <c r="L56" s="198"/>
      <c r="M56" s="198"/>
      <c r="N56" s="198"/>
      <c r="O56" s="198"/>
      <c r="P56" s="198"/>
      <c r="Q56" s="198"/>
      <c r="R56" s="198"/>
      <c r="S56" s="198"/>
      <c r="T56" s="198"/>
      <c r="U56" s="198"/>
      <c r="V56" s="198"/>
      <c r="W56" s="181">
        <f>SUM(B56:V56)</f>
        <v>500134.13</v>
      </c>
    </row>
    <row r="57" spans="1:23" ht="11.25">
      <c r="A57" s="162" t="s">
        <v>189</v>
      </c>
      <c r="B57" s="181">
        <v>77526.46</v>
      </c>
      <c r="C57" s="197">
        <v>290120.59</v>
      </c>
      <c r="D57" s="197">
        <v>0</v>
      </c>
      <c r="E57" s="197">
        <v>510314</v>
      </c>
      <c r="F57" s="197">
        <v>56986</v>
      </c>
      <c r="G57" s="197">
        <v>0</v>
      </c>
      <c r="H57" s="197">
        <v>489123.27</v>
      </c>
      <c r="I57" s="197">
        <v>178372</v>
      </c>
      <c r="J57" s="198">
        <v>60790</v>
      </c>
      <c r="K57" s="198">
        <v>151161</v>
      </c>
      <c r="L57" s="198">
        <v>140639.45</v>
      </c>
      <c r="M57" s="198">
        <f>105134+178</f>
        <v>105312</v>
      </c>
      <c r="N57" s="198">
        <v>88831</v>
      </c>
      <c r="O57" s="198">
        <v>13535</v>
      </c>
      <c r="P57" s="198">
        <v>207844</v>
      </c>
      <c r="Q57" s="198">
        <f>156257.64+327</f>
        <v>156584.64</v>
      </c>
      <c r="R57" s="198">
        <v>33582</v>
      </c>
      <c r="S57" s="198">
        <v>42493</v>
      </c>
      <c r="T57" s="198">
        <v>38542.92</v>
      </c>
      <c r="U57" s="198">
        <v>9946</v>
      </c>
      <c r="V57" s="198">
        <v>17119.05</v>
      </c>
      <c r="W57" s="181">
        <f>SUM(B57:V57)</f>
        <v>2668822.38</v>
      </c>
    </row>
    <row r="58" spans="1:23" ht="11.25">
      <c r="A58" s="162" t="s">
        <v>187</v>
      </c>
      <c r="B58" s="181"/>
      <c r="C58" s="197">
        <v>346980.72</v>
      </c>
      <c r="D58" s="197"/>
      <c r="E58" s="197">
        <v>772132</v>
      </c>
      <c r="F58" s="197">
        <v>63214.35</v>
      </c>
      <c r="G58" s="197">
        <v>0</v>
      </c>
      <c r="H58" s="197">
        <v>896819</v>
      </c>
      <c r="I58" s="197">
        <v>262193</v>
      </c>
      <c r="J58" s="198">
        <v>91499</v>
      </c>
      <c r="K58" s="198">
        <v>240244</v>
      </c>
      <c r="L58" s="198">
        <v>245506.7</v>
      </c>
      <c r="M58" s="198">
        <f>157238+1606</f>
        <v>158844</v>
      </c>
      <c r="N58" s="198">
        <v>95927</v>
      </c>
      <c r="O58" s="198">
        <v>17029</v>
      </c>
      <c r="P58" s="198">
        <v>315294</v>
      </c>
      <c r="Q58" s="206">
        <f>295405.09+2962</f>
        <v>298367.09</v>
      </c>
      <c r="R58" s="198">
        <v>76357</v>
      </c>
      <c r="S58" s="198">
        <v>58436</v>
      </c>
      <c r="T58" s="198">
        <v>39529.34</v>
      </c>
      <c r="U58" s="198">
        <v>6808</v>
      </c>
      <c r="V58" s="198">
        <v>17235.65</v>
      </c>
      <c r="W58" s="181">
        <f>SUM(B58:V58)</f>
        <v>4002415.85</v>
      </c>
    </row>
    <row r="59" spans="1:23" ht="11.25">
      <c r="A59" s="162" t="s">
        <v>188</v>
      </c>
      <c r="B59" s="181">
        <v>0</v>
      </c>
      <c r="C59" s="197">
        <v>2626813</v>
      </c>
      <c r="D59" s="197">
        <v>0</v>
      </c>
      <c r="E59" s="197">
        <v>4118607</v>
      </c>
      <c r="F59" s="197">
        <v>476420</v>
      </c>
      <c r="G59" s="197">
        <v>0</v>
      </c>
      <c r="H59" s="197">
        <v>4537493</v>
      </c>
      <c r="I59" s="197">
        <v>2509314</v>
      </c>
      <c r="J59" s="198">
        <v>363861.16</v>
      </c>
      <c r="K59" s="198">
        <v>1382504.68</v>
      </c>
      <c r="L59" s="198">
        <v>1499921</v>
      </c>
      <c r="M59" s="198">
        <f>1397135</f>
        <v>1397135</v>
      </c>
      <c r="N59" s="198">
        <v>636994</v>
      </c>
      <c r="O59" s="198">
        <v>144045</v>
      </c>
      <c r="P59" s="198">
        <v>1610832</v>
      </c>
      <c r="Q59" s="198">
        <v>1484268</v>
      </c>
      <c r="R59" s="198">
        <v>397571</v>
      </c>
      <c r="S59" s="198">
        <v>376337</v>
      </c>
      <c r="T59" s="198">
        <v>518203</v>
      </c>
      <c r="U59" s="198">
        <v>80661</v>
      </c>
      <c r="V59" s="198">
        <v>152989</v>
      </c>
      <c r="W59" s="181">
        <f>SUM(B59:V59)</f>
        <v>24313968.84</v>
      </c>
    </row>
    <row r="60" spans="1:23" ht="11.25">
      <c r="A60" s="162" t="s">
        <v>52</v>
      </c>
      <c r="B60" s="205"/>
      <c r="C60" s="203"/>
      <c r="D60" s="203"/>
      <c r="E60" s="203"/>
      <c r="F60" s="203"/>
      <c r="G60" s="203"/>
      <c r="H60" s="203"/>
      <c r="I60" s="203"/>
      <c r="J60" s="204"/>
      <c r="K60" s="204"/>
      <c r="L60" s="204"/>
      <c r="M60" s="204"/>
      <c r="N60" s="204"/>
      <c r="O60" s="204"/>
      <c r="P60" s="204"/>
      <c r="Q60" s="204"/>
      <c r="R60" s="204"/>
      <c r="S60" s="204"/>
      <c r="T60" s="204"/>
      <c r="U60" s="204"/>
      <c r="V60" s="204"/>
      <c r="W60" s="205"/>
    </row>
    <row r="61" spans="1:23" ht="11.25">
      <c r="A61" s="159" t="s">
        <v>51</v>
      </c>
      <c r="B61" s="181">
        <f>SUM(B56:B60)</f>
        <v>577660.59</v>
      </c>
      <c r="C61" s="197">
        <f aca="true" t="shared" si="8" ref="C61:V61">SUM(C57:C60)</f>
        <v>3263914.31</v>
      </c>
      <c r="D61" s="197">
        <f t="shared" si="8"/>
        <v>0</v>
      </c>
      <c r="E61" s="197">
        <f t="shared" si="8"/>
        <v>5401053</v>
      </c>
      <c r="F61" s="197">
        <f t="shared" si="8"/>
        <v>596620.35</v>
      </c>
      <c r="G61" s="197">
        <f t="shared" si="8"/>
        <v>0</v>
      </c>
      <c r="H61" s="197">
        <f t="shared" si="8"/>
        <v>5923435.27</v>
      </c>
      <c r="I61" s="197">
        <f t="shared" si="8"/>
        <v>2949879</v>
      </c>
      <c r="J61" s="198">
        <f t="shared" si="8"/>
        <v>516150.16</v>
      </c>
      <c r="K61" s="198">
        <f t="shared" si="8"/>
        <v>1773909.68</v>
      </c>
      <c r="L61" s="198">
        <f t="shared" si="8"/>
        <v>1886067.15</v>
      </c>
      <c r="M61" s="198">
        <f t="shared" si="8"/>
        <v>1661291</v>
      </c>
      <c r="N61" s="198">
        <f t="shared" si="8"/>
        <v>821752</v>
      </c>
      <c r="O61" s="198">
        <f t="shared" si="8"/>
        <v>174609</v>
      </c>
      <c r="P61" s="198">
        <f t="shared" si="8"/>
        <v>2133970</v>
      </c>
      <c r="Q61" s="198">
        <f t="shared" si="8"/>
        <v>1939219.73</v>
      </c>
      <c r="R61" s="198">
        <f t="shared" si="8"/>
        <v>507510</v>
      </c>
      <c r="S61" s="198">
        <f t="shared" si="8"/>
        <v>477266</v>
      </c>
      <c r="T61" s="198">
        <f t="shared" si="8"/>
        <v>596275.26</v>
      </c>
      <c r="U61" s="198">
        <f t="shared" si="8"/>
        <v>97415</v>
      </c>
      <c r="V61" s="198">
        <f t="shared" si="8"/>
        <v>187343.7</v>
      </c>
      <c r="W61" s="181">
        <f>SUM(B61:V61)</f>
        <v>31485341.2</v>
      </c>
    </row>
    <row r="62" spans="1:23" ht="10.5">
      <c r="A62" s="48"/>
      <c r="B62" s="181"/>
      <c r="C62" s="197"/>
      <c r="D62" s="197"/>
      <c r="E62" s="197"/>
      <c r="F62" s="197"/>
      <c r="G62" s="197"/>
      <c r="H62" s="197"/>
      <c r="I62" s="197"/>
      <c r="J62" s="198"/>
      <c r="K62" s="198"/>
      <c r="L62" s="198"/>
      <c r="M62" s="198"/>
      <c r="N62" s="198"/>
      <c r="O62" s="198"/>
      <c r="P62" s="198"/>
      <c r="Q62" s="198"/>
      <c r="R62" s="198"/>
      <c r="S62" s="198"/>
      <c r="T62" s="198"/>
      <c r="U62" s="198"/>
      <c r="V62" s="198"/>
      <c r="W62" s="181"/>
    </row>
    <row r="63" spans="1:23" ht="10.5">
      <c r="A63" s="48"/>
      <c r="B63" s="205"/>
      <c r="C63" s="203"/>
      <c r="D63" s="203"/>
      <c r="E63" s="203"/>
      <c r="F63" s="203"/>
      <c r="G63" s="203"/>
      <c r="H63" s="203"/>
      <c r="I63" s="203"/>
      <c r="J63" s="204"/>
      <c r="K63" s="204"/>
      <c r="L63" s="204"/>
      <c r="M63" s="204"/>
      <c r="N63" s="204"/>
      <c r="O63" s="204"/>
      <c r="P63" s="204"/>
      <c r="Q63" s="204"/>
      <c r="R63" s="204"/>
      <c r="S63" s="204"/>
      <c r="T63" s="204"/>
      <c r="U63" s="204"/>
      <c r="V63" s="204"/>
      <c r="W63" s="205"/>
    </row>
    <row r="64" spans="1:23" ht="12" thickBot="1">
      <c r="A64" s="159" t="s">
        <v>404</v>
      </c>
      <c r="B64" s="207">
        <f>B44+B53-B61</f>
        <v>1064427.6700000004</v>
      </c>
      <c r="C64" s="208">
        <f aca="true" t="shared" si="9" ref="C64:V64">C44+C53-C61</f>
        <v>559974.9999999995</v>
      </c>
      <c r="D64" s="208">
        <f t="shared" si="9"/>
        <v>85134.09999999999</v>
      </c>
      <c r="E64" s="208">
        <f t="shared" si="9"/>
        <v>469413.71999999974</v>
      </c>
      <c r="F64" s="208">
        <f t="shared" si="9"/>
        <v>298848.07999999996</v>
      </c>
      <c r="G64" s="208">
        <f t="shared" si="9"/>
        <v>5332.83</v>
      </c>
      <c r="H64" s="208">
        <f t="shared" si="9"/>
        <v>2141476.76</v>
      </c>
      <c r="I64" s="208">
        <f t="shared" si="9"/>
        <v>203184.5299999998</v>
      </c>
      <c r="J64" s="209">
        <f t="shared" si="9"/>
        <v>130732.95000000013</v>
      </c>
      <c r="K64" s="209">
        <f t="shared" si="9"/>
        <v>126243.78000000003</v>
      </c>
      <c r="L64" s="209">
        <f t="shared" si="9"/>
        <v>127262.69000000018</v>
      </c>
      <c r="M64" s="209">
        <f t="shared" si="9"/>
        <v>394327.6200000001</v>
      </c>
      <c r="N64" s="209">
        <f t="shared" si="9"/>
        <v>187981.14</v>
      </c>
      <c r="O64" s="209">
        <f t="shared" si="9"/>
        <v>-24107.97</v>
      </c>
      <c r="P64" s="209">
        <f t="shared" si="9"/>
        <v>579074.0799999996</v>
      </c>
      <c r="Q64" s="209">
        <f t="shared" si="9"/>
        <v>301731.63000000035</v>
      </c>
      <c r="R64" s="209">
        <f t="shared" si="9"/>
        <v>68418.13</v>
      </c>
      <c r="S64" s="209">
        <f t="shared" si="9"/>
        <v>100438.90000000002</v>
      </c>
      <c r="T64" s="209">
        <f t="shared" si="9"/>
        <v>-33025.71000000008</v>
      </c>
      <c r="U64" s="209">
        <f t="shared" si="9"/>
        <v>-3879.199999999997</v>
      </c>
      <c r="V64" s="209">
        <f t="shared" si="9"/>
        <v>-39744.19</v>
      </c>
      <c r="W64" s="207">
        <f>SUM(B64:V64)</f>
        <v>6743246.540000001</v>
      </c>
    </row>
    <row r="65" spans="2:23" ht="11.25" thickTop="1">
      <c r="B65" s="181"/>
      <c r="C65" s="197"/>
      <c r="D65" s="197"/>
      <c r="E65" s="197"/>
      <c r="F65" s="197"/>
      <c r="G65" s="197"/>
      <c r="H65" s="197"/>
      <c r="I65" s="197"/>
      <c r="J65" s="198"/>
      <c r="K65" s="198"/>
      <c r="L65" s="198"/>
      <c r="M65" s="198"/>
      <c r="N65" s="198"/>
      <c r="O65" s="198"/>
      <c r="P65" s="198"/>
      <c r="Q65" s="198"/>
      <c r="R65" s="198"/>
      <c r="S65" s="198"/>
      <c r="T65" s="198"/>
      <c r="U65" s="198"/>
      <c r="V65" s="198"/>
      <c r="W65" s="181"/>
    </row>
    <row r="66" spans="2:23" ht="10.5">
      <c r="B66" s="181"/>
      <c r="C66" s="197"/>
      <c r="D66" s="197"/>
      <c r="E66" s="197"/>
      <c r="F66" s="197"/>
      <c r="G66" s="197"/>
      <c r="H66" s="197"/>
      <c r="I66" s="197"/>
      <c r="J66" s="198"/>
      <c r="K66" s="198"/>
      <c r="L66" s="198"/>
      <c r="M66" s="198"/>
      <c r="N66" s="198"/>
      <c r="O66" s="198"/>
      <c r="P66" s="198"/>
      <c r="Q66" s="198"/>
      <c r="R66" s="198"/>
      <c r="S66" s="198"/>
      <c r="T66" s="198"/>
      <c r="U66" s="198"/>
      <c r="V66" s="198"/>
      <c r="W66" s="181"/>
    </row>
    <row r="67" spans="1:23" ht="11.25">
      <c r="A67" s="166" t="s">
        <v>405</v>
      </c>
      <c r="B67" s="181">
        <v>11699.54</v>
      </c>
      <c r="C67" s="197">
        <f>88977.41+529782.31+202876.97</f>
        <v>821636.6900000001</v>
      </c>
      <c r="D67" s="197">
        <f>495+3882+1695</f>
        <v>6072</v>
      </c>
      <c r="E67" s="197">
        <f>32341.5+29.5+47481</f>
        <v>79852</v>
      </c>
      <c r="F67" s="197">
        <f>4128+6627.65+816</f>
        <v>11571.65</v>
      </c>
      <c r="G67" s="197">
        <f>75+600+255</f>
        <v>930</v>
      </c>
      <c r="H67" s="197">
        <f>137622.76+780454.64+338129.33</f>
        <v>1256206.73</v>
      </c>
      <c r="I67" s="197">
        <f>55930.3+109092.7+18282</f>
        <v>183305</v>
      </c>
      <c r="J67" s="206">
        <f>2966+137589</f>
        <v>140555</v>
      </c>
      <c r="K67" s="198">
        <f>38211+92224.66+16416.66</f>
        <v>146852.32</v>
      </c>
      <c r="L67" s="198">
        <f>53382.53+26809.02+16991.3</f>
        <v>97182.85</v>
      </c>
      <c r="M67" s="198">
        <f>22319+26682+40921</f>
        <v>89922</v>
      </c>
      <c r="N67" s="198">
        <f>9673+127680.92+20933.85</f>
        <v>158287.77</v>
      </c>
      <c r="O67" s="198">
        <f>4505.6+1762.31+7727.09</f>
        <v>13995</v>
      </c>
      <c r="P67" s="198">
        <f>24383+124955+46681</f>
        <v>196019</v>
      </c>
      <c r="Q67" s="198">
        <f>58529.7+268551.93+125363.64</f>
        <v>452445.27</v>
      </c>
      <c r="R67" s="198">
        <f>11938+48979.8+6593.2</f>
        <v>67511</v>
      </c>
      <c r="S67" s="198">
        <f>9974+56796+2908</f>
        <v>69678</v>
      </c>
      <c r="T67" s="198">
        <f>17860.41+48648.18+31250.83</f>
        <v>97759.42</v>
      </c>
      <c r="U67" s="198">
        <f>474</f>
        <v>474</v>
      </c>
      <c r="V67" s="198">
        <f>3873.66+203+3185.23</f>
        <v>7261.889999999999</v>
      </c>
      <c r="W67" s="181">
        <f>SUM(B67:V67)</f>
        <v>3909217.1300000004</v>
      </c>
    </row>
    <row r="68" spans="1:23" ht="11.25">
      <c r="A68" s="166" t="s">
        <v>406</v>
      </c>
      <c r="B68" s="181">
        <v>0</v>
      </c>
      <c r="C68" s="197">
        <v>0</v>
      </c>
      <c r="D68" s="197">
        <v>0</v>
      </c>
      <c r="E68" s="197">
        <v>0</v>
      </c>
      <c r="F68" s="197">
        <v>0</v>
      </c>
      <c r="G68" s="197">
        <v>0</v>
      </c>
      <c r="H68" s="197">
        <v>0</v>
      </c>
      <c r="I68" s="197">
        <v>0</v>
      </c>
      <c r="J68" s="198">
        <v>0</v>
      </c>
      <c r="K68" s="198">
        <v>0</v>
      </c>
      <c r="L68" s="198">
        <v>0</v>
      </c>
      <c r="M68" s="198">
        <v>0</v>
      </c>
      <c r="N68" s="198">
        <v>0</v>
      </c>
      <c r="O68" s="198">
        <v>0</v>
      </c>
      <c r="P68" s="198">
        <v>0</v>
      </c>
      <c r="Q68" s="198">
        <v>0</v>
      </c>
      <c r="R68" s="198">
        <v>0</v>
      </c>
      <c r="S68" s="198">
        <v>0</v>
      </c>
      <c r="T68" s="198">
        <v>0</v>
      </c>
      <c r="U68" s="198">
        <v>0</v>
      </c>
      <c r="V68" s="198">
        <v>0</v>
      </c>
      <c r="W68" s="181">
        <f>SUM(B68:V68)</f>
        <v>0</v>
      </c>
    </row>
    <row r="69" spans="1:23" ht="11.25">
      <c r="A69" s="167" t="s">
        <v>52</v>
      </c>
      <c r="B69" s="201" t="s">
        <v>53</v>
      </c>
      <c r="C69" s="203"/>
      <c r="D69" s="203"/>
      <c r="E69" s="203"/>
      <c r="F69" s="203"/>
      <c r="G69" s="203"/>
      <c r="H69" s="203"/>
      <c r="I69" s="203"/>
      <c r="J69" s="204"/>
      <c r="K69" s="204"/>
      <c r="L69" s="204"/>
      <c r="M69" s="204"/>
      <c r="N69" s="204"/>
      <c r="O69" s="204"/>
      <c r="P69" s="204"/>
      <c r="Q69" s="204"/>
      <c r="R69" s="204"/>
      <c r="S69" s="204"/>
      <c r="T69" s="204"/>
      <c r="U69" s="204"/>
      <c r="V69" s="204"/>
      <c r="W69" s="205"/>
    </row>
    <row r="70" spans="1:23" ht="11.25">
      <c r="A70" s="159"/>
      <c r="B70" s="181">
        <f>SUM(B67:B69)</f>
        <v>11699.54</v>
      </c>
      <c r="C70" s="197">
        <f aca="true" t="shared" si="10" ref="C70:V70">SUM(C67:C69)</f>
        <v>821636.6900000001</v>
      </c>
      <c r="D70" s="197">
        <f t="shared" si="10"/>
        <v>6072</v>
      </c>
      <c r="E70" s="197">
        <f t="shared" si="10"/>
        <v>79852</v>
      </c>
      <c r="F70" s="197">
        <f t="shared" si="10"/>
        <v>11571.65</v>
      </c>
      <c r="G70" s="197">
        <f t="shared" si="10"/>
        <v>930</v>
      </c>
      <c r="H70" s="197">
        <f t="shared" si="10"/>
        <v>1256206.73</v>
      </c>
      <c r="I70" s="197">
        <f t="shared" si="10"/>
        <v>183305</v>
      </c>
      <c r="J70" s="198">
        <f t="shared" si="10"/>
        <v>140555</v>
      </c>
      <c r="K70" s="198">
        <f t="shared" si="10"/>
        <v>146852.32</v>
      </c>
      <c r="L70" s="198">
        <f t="shared" si="10"/>
        <v>97182.85</v>
      </c>
      <c r="M70" s="198">
        <f t="shared" si="10"/>
        <v>89922</v>
      </c>
      <c r="N70" s="198">
        <f t="shared" si="10"/>
        <v>158287.77</v>
      </c>
      <c r="O70" s="198">
        <f t="shared" si="10"/>
        <v>13995</v>
      </c>
      <c r="P70" s="198">
        <f t="shared" si="10"/>
        <v>196019</v>
      </c>
      <c r="Q70" s="198">
        <f t="shared" si="10"/>
        <v>452445.27</v>
      </c>
      <c r="R70" s="198">
        <f t="shared" si="10"/>
        <v>67511</v>
      </c>
      <c r="S70" s="198">
        <f t="shared" si="10"/>
        <v>69678</v>
      </c>
      <c r="T70" s="198">
        <f t="shared" si="10"/>
        <v>97759.42</v>
      </c>
      <c r="U70" s="198">
        <f t="shared" si="10"/>
        <v>474</v>
      </c>
      <c r="V70" s="198">
        <f t="shared" si="10"/>
        <v>7261.889999999999</v>
      </c>
      <c r="W70" s="181">
        <f>SUM(B70:V70)</f>
        <v>3909217.1300000004</v>
      </c>
    </row>
    <row r="71" spans="1:23" ht="11.25">
      <c r="A71" s="168"/>
      <c r="B71" s="205"/>
      <c r="C71" s="203"/>
      <c r="D71" s="203"/>
      <c r="E71" s="203"/>
      <c r="F71" s="203"/>
      <c r="G71" s="203"/>
      <c r="H71" s="203"/>
      <c r="I71" s="203"/>
      <c r="J71" s="204"/>
      <c r="K71" s="204"/>
      <c r="L71" s="204"/>
      <c r="M71" s="204"/>
      <c r="N71" s="204"/>
      <c r="O71" s="204"/>
      <c r="P71" s="204"/>
      <c r="Q71" s="204"/>
      <c r="R71" s="204"/>
      <c r="S71" s="204"/>
      <c r="T71" s="204"/>
      <c r="U71" s="204"/>
      <c r="V71" s="204"/>
      <c r="W71" s="205"/>
    </row>
    <row r="72" spans="1:23" ht="12" thickBot="1">
      <c r="A72" s="159" t="s">
        <v>402</v>
      </c>
      <c r="B72" s="207">
        <f aca="true" t="shared" si="11" ref="B72:V72">B64-B70</f>
        <v>1052728.1300000004</v>
      </c>
      <c r="C72" s="208">
        <f t="shared" si="11"/>
        <v>-261661.69000000053</v>
      </c>
      <c r="D72" s="208">
        <f t="shared" si="11"/>
        <v>79062.09999999999</v>
      </c>
      <c r="E72" s="208">
        <f t="shared" si="11"/>
        <v>389561.71999999974</v>
      </c>
      <c r="F72" s="208">
        <f t="shared" si="11"/>
        <v>287276.42999999993</v>
      </c>
      <c r="G72" s="208">
        <f t="shared" si="11"/>
        <v>4402.83</v>
      </c>
      <c r="H72" s="208">
        <f t="shared" si="11"/>
        <v>885270.0299999998</v>
      </c>
      <c r="I72" s="208">
        <f t="shared" si="11"/>
        <v>19879.529999999795</v>
      </c>
      <c r="J72" s="209">
        <f t="shared" si="11"/>
        <v>-9822.049999999872</v>
      </c>
      <c r="K72" s="209">
        <f t="shared" si="11"/>
        <v>-20608.53999999998</v>
      </c>
      <c r="L72" s="209">
        <f t="shared" si="11"/>
        <v>30079.84000000017</v>
      </c>
      <c r="M72" s="209">
        <f t="shared" si="11"/>
        <v>304405.6200000001</v>
      </c>
      <c r="N72" s="209">
        <f t="shared" si="11"/>
        <v>29693.370000000024</v>
      </c>
      <c r="O72" s="209">
        <f t="shared" si="11"/>
        <v>-38102.97</v>
      </c>
      <c r="P72" s="209">
        <f t="shared" si="11"/>
        <v>383055.0799999996</v>
      </c>
      <c r="Q72" s="209">
        <f t="shared" si="11"/>
        <v>-150713.63999999966</v>
      </c>
      <c r="R72" s="209">
        <f t="shared" si="11"/>
        <v>907.1300000000047</v>
      </c>
      <c r="S72" s="209">
        <f t="shared" si="11"/>
        <v>30760.900000000023</v>
      </c>
      <c r="T72" s="209">
        <f t="shared" si="11"/>
        <v>-130785.13000000008</v>
      </c>
      <c r="U72" s="209">
        <f t="shared" si="11"/>
        <v>-4353.199999999997</v>
      </c>
      <c r="V72" s="209">
        <f t="shared" si="11"/>
        <v>-47006.08</v>
      </c>
      <c r="W72" s="207">
        <f>SUM(B72:V72)</f>
        <v>2834029.409999999</v>
      </c>
    </row>
    <row r="73" spans="1:22" ht="11.25" thickTop="1">
      <c r="A73" s="158"/>
      <c r="C73" s="219"/>
      <c r="D73" s="219"/>
      <c r="E73" s="219"/>
      <c r="F73" s="219"/>
      <c r="G73" s="219"/>
      <c r="H73" s="219"/>
      <c r="I73" s="219"/>
      <c r="J73" s="219"/>
      <c r="K73" s="219"/>
      <c r="L73" s="219"/>
      <c r="M73" s="219"/>
      <c r="N73" s="219"/>
      <c r="O73" s="219"/>
      <c r="P73" s="219"/>
      <c r="Q73" s="219"/>
      <c r="R73" s="219"/>
      <c r="S73" s="219"/>
      <c r="T73" s="219"/>
      <c r="U73" s="219"/>
      <c r="V73" s="219"/>
    </row>
    <row r="74" spans="1:22" ht="10.5">
      <c r="A74" s="158"/>
      <c r="C74" s="219"/>
      <c r="D74" s="219"/>
      <c r="E74" s="219"/>
      <c r="F74" s="219"/>
      <c r="G74" s="219"/>
      <c r="H74" s="219"/>
      <c r="I74" s="219"/>
      <c r="J74" s="219"/>
      <c r="K74" s="219"/>
      <c r="L74" s="219"/>
      <c r="M74" s="219"/>
      <c r="N74" s="219"/>
      <c r="O74" s="219"/>
      <c r="P74" s="219"/>
      <c r="Q74" s="219"/>
      <c r="R74" s="219"/>
      <c r="S74" s="219"/>
      <c r="T74" s="219"/>
      <c r="U74" s="219"/>
      <c r="V74" s="219"/>
    </row>
    <row r="75" spans="1:22" ht="10.5">
      <c r="A75" s="158"/>
      <c r="C75" s="219"/>
      <c r="D75" s="219"/>
      <c r="E75" s="219"/>
      <c r="F75" s="219"/>
      <c r="G75" s="219"/>
      <c r="H75" s="219"/>
      <c r="I75" s="219"/>
      <c r="J75" s="219"/>
      <c r="K75" s="219"/>
      <c r="L75" s="219"/>
      <c r="M75" s="219"/>
      <c r="N75" s="219"/>
      <c r="O75" s="219"/>
      <c r="P75" s="219"/>
      <c r="Q75" s="219"/>
      <c r="R75" s="219"/>
      <c r="S75" s="219"/>
      <c r="T75" s="219"/>
      <c r="U75" s="219"/>
      <c r="V75" s="219"/>
    </row>
    <row r="76" spans="1:22" ht="10.5">
      <c r="A76" s="158"/>
      <c r="C76" s="219"/>
      <c r="D76" s="219"/>
      <c r="E76" s="219"/>
      <c r="F76" s="219"/>
      <c r="G76" s="219"/>
      <c r="H76" s="219"/>
      <c r="I76" s="219"/>
      <c r="J76" s="219"/>
      <c r="K76" s="219"/>
      <c r="L76" s="219"/>
      <c r="M76" s="219"/>
      <c r="N76" s="219"/>
      <c r="O76" s="219"/>
      <c r="P76" s="219"/>
      <c r="Q76" s="219"/>
      <c r="R76" s="219"/>
      <c r="S76" s="219"/>
      <c r="T76" s="219"/>
      <c r="U76" s="219"/>
      <c r="V76" s="219"/>
    </row>
    <row r="77" spans="1:22" ht="10.5">
      <c r="A77" s="157" t="s">
        <v>327</v>
      </c>
      <c r="B77" s="288" t="s">
        <v>11</v>
      </c>
      <c r="C77" s="289" t="s">
        <v>35</v>
      </c>
      <c r="D77" s="289" t="s">
        <v>25</v>
      </c>
      <c r="E77" s="289" t="s">
        <v>34</v>
      </c>
      <c r="F77" s="289" t="s">
        <v>36</v>
      </c>
      <c r="G77" s="289" t="s">
        <v>28</v>
      </c>
      <c r="H77" s="289" t="s">
        <v>29</v>
      </c>
      <c r="I77" s="289" t="s">
        <v>30</v>
      </c>
      <c r="J77" s="290" t="s">
        <v>32</v>
      </c>
      <c r="K77" s="290" t="s">
        <v>33</v>
      </c>
      <c r="L77" s="290" t="s">
        <v>23</v>
      </c>
      <c r="M77" s="290" t="s">
        <v>31</v>
      </c>
      <c r="N77" s="290" t="s">
        <v>165</v>
      </c>
      <c r="O77" s="290" t="s">
        <v>37</v>
      </c>
      <c r="P77" s="290" t="s">
        <v>27</v>
      </c>
      <c r="Q77" s="290" t="s">
        <v>29</v>
      </c>
      <c r="R77" s="290" t="s">
        <v>30</v>
      </c>
      <c r="S77" s="290" t="s">
        <v>25</v>
      </c>
      <c r="T77" s="290" t="s">
        <v>24</v>
      </c>
      <c r="U77" s="290" t="s">
        <v>26</v>
      </c>
      <c r="V77" s="290" t="s">
        <v>28</v>
      </c>
    </row>
    <row r="78" spans="2:23" ht="10.5">
      <c r="B78" s="288" t="s">
        <v>44</v>
      </c>
      <c r="C78" s="283" t="s">
        <v>280</v>
      </c>
      <c r="D78" s="283" t="s">
        <v>281</v>
      </c>
      <c r="E78" s="283" t="s">
        <v>282</v>
      </c>
      <c r="F78" s="283" t="s">
        <v>283</v>
      </c>
      <c r="G78" s="283" t="s">
        <v>284</v>
      </c>
      <c r="H78" s="283" t="s">
        <v>285</v>
      </c>
      <c r="I78" s="283" t="s">
        <v>286</v>
      </c>
      <c r="J78" s="285" t="s">
        <v>288</v>
      </c>
      <c r="K78" s="285" t="s">
        <v>289</v>
      </c>
      <c r="L78" s="285" t="s">
        <v>291</v>
      </c>
      <c r="M78" s="285" t="s">
        <v>292</v>
      </c>
      <c r="N78" s="285" t="s">
        <v>294</v>
      </c>
      <c r="O78" s="285" t="s">
        <v>296</v>
      </c>
      <c r="P78" s="285" t="s">
        <v>297</v>
      </c>
      <c r="Q78" s="285" t="s">
        <v>285</v>
      </c>
      <c r="R78" s="285" t="s">
        <v>286</v>
      </c>
      <c r="S78" s="285" t="s">
        <v>299</v>
      </c>
      <c r="T78" s="285" t="s">
        <v>304</v>
      </c>
      <c r="U78" s="285" t="s">
        <v>301</v>
      </c>
      <c r="V78" s="285" t="s">
        <v>302</v>
      </c>
      <c r="W78" s="288" t="s">
        <v>3</v>
      </c>
    </row>
    <row r="79" spans="2:23" ht="10.5">
      <c r="B79" s="169" t="s">
        <v>52</v>
      </c>
      <c r="C79" s="280" t="s">
        <v>52</v>
      </c>
      <c r="D79" s="280" t="s">
        <v>52</v>
      </c>
      <c r="E79" s="280" t="s">
        <v>52</v>
      </c>
      <c r="F79" s="280" t="s">
        <v>52</v>
      </c>
      <c r="G79" s="280" t="s">
        <v>52</v>
      </c>
      <c r="H79" s="280" t="s">
        <v>52</v>
      </c>
      <c r="I79" s="284" t="s">
        <v>287</v>
      </c>
      <c r="J79" s="282" t="s">
        <v>52</v>
      </c>
      <c r="K79" s="286" t="s">
        <v>290</v>
      </c>
      <c r="L79" s="282" t="s">
        <v>52</v>
      </c>
      <c r="M79" s="286" t="s">
        <v>293</v>
      </c>
      <c r="N79" s="286" t="s">
        <v>295</v>
      </c>
      <c r="O79" s="282" t="s">
        <v>52</v>
      </c>
      <c r="P79" s="286" t="s">
        <v>298</v>
      </c>
      <c r="Q79" s="282" t="s">
        <v>52</v>
      </c>
      <c r="R79" s="286" t="s">
        <v>287</v>
      </c>
      <c r="S79" s="286" t="s">
        <v>300</v>
      </c>
      <c r="T79" s="286" t="s">
        <v>305</v>
      </c>
      <c r="U79" s="282" t="s">
        <v>52</v>
      </c>
      <c r="V79" s="286" t="s">
        <v>303</v>
      </c>
      <c r="W79" s="163"/>
    </row>
    <row r="80" spans="1:23" ht="11.25">
      <c r="A80" s="160" t="s">
        <v>398</v>
      </c>
      <c r="B80" s="181">
        <f>2767.04+1061670.89-10.26</f>
        <v>1064427.67</v>
      </c>
      <c r="C80" s="197">
        <v>559975</v>
      </c>
      <c r="D80" s="197">
        <v>85134.1</v>
      </c>
      <c r="E80" s="197">
        <v>469413.72</v>
      </c>
      <c r="F80" s="197">
        <v>298848.08</v>
      </c>
      <c r="G80" s="197">
        <v>5332.83</v>
      </c>
      <c r="H80" s="197">
        <v>2141476.76</v>
      </c>
      <c r="I80" s="197">
        <v>203184.53</v>
      </c>
      <c r="J80" s="198">
        <v>130732.95</v>
      </c>
      <c r="K80" s="198">
        <v>126243.78</v>
      </c>
      <c r="L80" s="198">
        <v>127262.69</v>
      </c>
      <c r="M80" s="198">
        <v>394327.62</v>
      </c>
      <c r="N80" s="198">
        <v>187981.14</v>
      </c>
      <c r="O80" s="198">
        <v>-24107.97</v>
      </c>
      <c r="P80" s="198">
        <v>579074.08</v>
      </c>
      <c r="Q80" s="198">
        <v>301731.63</v>
      </c>
      <c r="R80" s="198">
        <v>68418.13</v>
      </c>
      <c r="S80" s="198">
        <v>100438.9</v>
      </c>
      <c r="T80" s="198">
        <v>-33025.71</v>
      </c>
      <c r="U80" s="198">
        <v>-3879.2</v>
      </c>
      <c r="V80" s="198">
        <v>-39744.19</v>
      </c>
      <c r="W80" s="181">
        <f>SUM(B80:V80)</f>
        <v>6743246.540000001</v>
      </c>
    </row>
    <row r="81" spans="1:23" ht="10.5">
      <c r="A81" s="158"/>
      <c r="B81" s="199"/>
      <c r="C81" s="200"/>
      <c r="D81" s="197"/>
      <c r="E81" s="197"/>
      <c r="F81" s="197"/>
      <c r="G81" s="197"/>
      <c r="H81" s="197"/>
      <c r="I81" s="197"/>
      <c r="J81" s="198"/>
      <c r="K81" s="198"/>
      <c r="L81" s="198"/>
      <c r="M81" s="198"/>
      <c r="N81" s="198"/>
      <c r="O81" s="198"/>
      <c r="P81" s="198"/>
      <c r="Q81" s="198"/>
      <c r="R81" s="198"/>
      <c r="S81" s="198"/>
      <c r="T81" s="198"/>
      <c r="U81" s="198"/>
      <c r="V81" s="198"/>
      <c r="W81" s="181"/>
    </row>
    <row r="82" spans="1:23" ht="11.25">
      <c r="A82" s="159" t="s">
        <v>277</v>
      </c>
      <c r="B82" s="181"/>
      <c r="C82" s="197"/>
      <c r="D82" s="197"/>
      <c r="E82" s="197"/>
      <c r="F82" s="197"/>
      <c r="G82" s="197"/>
      <c r="H82" s="197"/>
      <c r="I82" s="197"/>
      <c r="J82" s="198"/>
      <c r="K82" s="198"/>
      <c r="L82" s="198"/>
      <c r="M82" s="198"/>
      <c r="N82" s="198"/>
      <c r="O82" s="198"/>
      <c r="P82" s="198"/>
      <c r="Q82" s="198"/>
      <c r="R82" s="198"/>
      <c r="S82" s="198"/>
      <c r="T82" s="198"/>
      <c r="U82" s="198"/>
      <c r="V82" s="198"/>
      <c r="W82" s="181"/>
    </row>
    <row r="83" spans="1:23" ht="11.25">
      <c r="A83" s="162" t="s">
        <v>190</v>
      </c>
      <c r="B83" s="181">
        <v>702467.3</v>
      </c>
      <c r="C83" s="197">
        <v>4468887.5</v>
      </c>
      <c r="D83" s="197">
        <v>13993.97</v>
      </c>
      <c r="E83" s="197">
        <v>6402525.29</v>
      </c>
      <c r="F83" s="197">
        <v>707666.31</v>
      </c>
      <c r="G83" s="197">
        <v>4190.25</v>
      </c>
      <c r="H83" s="197">
        <v>7882208.5</v>
      </c>
      <c r="I83" s="197">
        <v>3233635.8</v>
      </c>
      <c r="J83" s="198"/>
      <c r="K83" s="198"/>
      <c r="L83" s="198"/>
      <c r="M83" s="198"/>
      <c r="N83" s="198"/>
      <c r="O83" s="198"/>
      <c r="P83" s="198"/>
      <c r="Q83" s="198"/>
      <c r="R83" s="198"/>
      <c r="S83" s="198"/>
      <c r="T83" s="198"/>
      <c r="U83" s="198"/>
      <c r="V83" s="198"/>
      <c r="W83" s="181">
        <f>SUM(B83:V83)</f>
        <v>23415574.919999998</v>
      </c>
    </row>
    <row r="84" spans="1:23" ht="11.25">
      <c r="A84" s="162" t="s">
        <v>278</v>
      </c>
      <c r="B84" s="181">
        <v>476387.79</v>
      </c>
      <c r="C84" s="197">
        <v>0</v>
      </c>
      <c r="D84" s="197"/>
      <c r="E84" s="197"/>
      <c r="F84" s="197"/>
      <c r="G84" s="197"/>
      <c r="H84" s="197"/>
      <c r="I84" s="197"/>
      <c r="J84" s="198">
        <v>648163.48</v>
      </c>
      <c r="K84" s="198">
        <v>2082202.23</v>
      </c>
      <c r="L84" s="198">
        <v>2298522.87</v>
      </c>
      <c r="M84" s="198">
        <v>1964133.08</v>
      </c>
      <c r="N84" s="198">
        <v>992063.32</v>
      </c>
      <c r="O84" s="198">
        <v>202381.61</v>
      </c>
      <c r="P84" s="198">
        <v>2538911.32</v>
      </c>
      <c r="Q84" s="198">
        <v>2503303.81</v>
      </c>
      <c r="R84" s="198">
        <v>606031.73</v>
      </c>
      <c r="S84" s="198">
        <v>580496.34</v>
      </c>
      <c r="T84" s="198">
        <v>654569.04</v>
      </c>
      <c r="U84" s="198">
        <v>109079.18</v>
      </c>
      <c r="V84" s="198">
        <v>223349.8</v>
      </c>
      <c r="W84" s="181">
        <f>SUM(B84:V84)</f>
        <v>15879595.600000001</v>
      </c>
    </row>
    <row r="85" spans="1:23" ht="11.25">
      <c r="A85" s="162" t="s">
        <v>279</v>
      </c>
      <c r="B85" s="181">
        <f>94051.98</f>
        <v>94051.98</v>
      </c>
      <c r="C85" s="197"/>
      <c r="D85" s="197"/>
      <c r="E85" s="197"/>
      <c r="F85" s="197"/>
      <c r="G85" s="197"/>
      <c r="H85" s="197"/>
      <c r="I85" s="197"/>
      <c r="J85" s="198"/>
      <c r="K85" s="198"/>
      <c r="L85" s="198"/>
      <c r="M85" s="198"/>
      <c r="N85" s="198"/>
      <c r="O85" s="198"/>
      <c r="P85" s="198"/>
      <c r="Q85" s="198"/>
      <c r="R85" s="206" t="s">
        <v>52</v>
      </c>
      <c r="S85" s="198"/>
      <c r="T85" s="198"/>
      <c r="U85" s="198"/>
      <c r="V85" s="198"/>
      <c r="W85" s="181">
        <f>SUM(B85:V85)</f>
        <v>94051.98</v>
      </c>
    </row>
    <row r="86" spans="1:23" ht="11.25">
      <c r="A86" s="162" t="s">
        <v>48</v>
      </c>
      <c r="B86" s="181">
        <v>-6423.38</v>
      </c>
      <c r="C86" s="197"/>
      <c r="D86" s="197"/>
      <c r="E86" s="197"/>
      <c r="F86" s="197"/>
      <c r="G86" s="197"/>
      <c r="H86" s="197"/>
      <c r="I86" s="197"/>
      <c r="J86" s="198"/>
      <c r="K86" s="198"/>
      <c r="L86" s="198"/>
      <c r="M86" s="198"/>
      <c r="N86" s="198"/>
      <c r="O86" s="198"/>
      <c r="P86" s="198"/>
      <c r="Q86" s="198"/>
      <c r="R86" s="198"/>
      <c r="S86" s="198"/>
      <c r="T86" s="198"/>
      <c r="U86" s="198"/>
      <c r="V86" s="198"/>
      <c r="W86" s="181">
        <f>SUM(B86:V86)</f>
        <v>-6423.38</v>
      </c>
    </row>
    <row r="87" spans="1:23" ht="11.25">
      <c r="A87" s="162" t="s">
        <v>192</v>
      </c>
      <c r="B87" s="181">
        <v>-1255476.15</v>
      </c>
      <c r="C87" s="197">
        <v>676853.16</v>
      </c>
      <c r="D87" s="197">
        <v>-95560.96</v>
      </c>
      <c r="E87" s="197">
        <v>216870.93</v>
      </c>
      <c r="F87" s="197">
        <v>-222601.96</v>
      </c>
      <c r="G87" s="197">
        <v>-8133.92</v>
      </c>
      <c r="H87" s="197">
        <v>-122864.22</v>
      </c>
      <c r="I87" s="197">
        <v>302933.6</v>
      </c>
      <c r="J87" s="198">
        <v>54903.97</v>
      </c>
      <c r="K87" s="198">
        <v>153490.13</v>
      </c>
      <c r="L87" s="198">
        <v>86605.86</v>
      </c>
      <c r="M87" s="198">
        <v>-212053.25</v>
      </c>
      <c r="N87" s="198">
        <v>28128.06</v>
      </c>
      <c r="O87" s="198">
        <v>50790.1</v>
      </c>
      <c r="P87" s="198">
        <v>-232068.86</v>
      </c>
      <c r="Q87" s="198">
        <v>310928.3</v>
      </c>
      <c r="R87" s="198">
        <v>28738.31</v>
      </c>
      <c r="S87" s="198">
        <v>2615.73</v>
      </c>
      <c r="T87" s="198">
        <v>164781.45</v>
      </c>
      <c r="U87" s="198">
        <v>9448.9</v>
      </c>
      <c r="V87" s="198">
        <v>61670.82</v>
      </c>
      <c r="W87" s="181">
        <f>SUM(B87:V87)</f>
        <v>0</v>
      </c>
    </row>
    <row r="88" spans="2:23" ht="10.5">
      <c r="B88" s="205"/>
      <c r="C88" s="203"/>
      <c r="D88" s="203"/>
      <c r="E88" s="203"/>
      <c r="F88" s="203"/>
      <c r="G88" s="203"/>
      <c r="H88" s="203"/>
      <c r="I88" s="203"/>
      <c r="J88" s="204"/>
      <c r="K88" s="204"/>
      <c r="L88" s="204"/>
      <c r="M88" s="204"/>
      <c r="N88" s="204"/>
      <c r="O88" s="204"/>
      <c r="P88" s="204"/>
      <c r="Q88" s="204"/>
      <c r="R88" s="204"/>
      <c r="S88" s="204"/>
      <c r="T88" s="204"/>
      <c r="U88" s="204"/>
      <c r="V88" s="204"/>
      <c r="W88" s="201" t="s">
        <v>52</v>
      </c>
    </row>
    <row r="89" spans="1:23" ht="11.25">
      <c r="A89" s="159" t="s">
        <v>49</v>
      </c>
      <c r="B89" s="273">
        <f>SUM(B83:B87)</f>
        <v>11007.54000000027</v>
      </c>
      <c r="C89" s="274">
        <f aca="true" t="shared" si="12" ref="C89:W89">SUM(C83:C87)</f>
        <v>5145740.66</v>
      </c>
      <c r="D89" s="274">
        <f t="shared" si="12"/>
        <v>-81566.99</v>
      </c>
      <c r="E89" s="274">
        <f t="shared" si="12"/>
        <v>6619396.22</v>
      </c>
      <c r="F89" s="274">
        <f t="shared" si="12"/>
        <v>485064.3500000001</v>
      </c>
      <c r="G89" s="274">
        <f t="shared" si="12"/>
        <v>-3943.67</v>
      </c>
      <c r="H89" s="274">
        <f t="shared" si="12"/>
        <v>7759344.28</v>
      </c>
      <c r="I89" s="274">
        <f t="shared" si="12"/>
        <v>3536569.4</v>
      </c>
      <c r="J89" s="275">
        <f t="shared" si="12"/>
        <v>703067.45</v>
      </c>
      <c r="K89" s="275">
        <f t="shared" si="12"/>
        <v>2235692.36</v>
      </c>
      <c r="L89" s="275">
        <f t="shared" si="12"/>
        <v>2385128.73</v>
      </c>
      <c r="M89" s="275">
        <f t="shared" si="12"/>
        <v>1752079.83</v>
      </c>
      <c r="N89" s="275">
        <f t="shared" si="12"/>
        <v>1020191.38</v>
      </c>
      <c r="O89" s="275">
        <f t="shared" si="12"/>
        <v>253171.71</v>
      </c>
      <c r="P89" s="275">
        <f t="shared" si="12"/>
        <v>2306842.46</v>
      </c>
      <c r="Q89" s="275">
        <f t="shared" si="12"/>
        <v>2814232.11</v>
      </c>
      <c r="R89" s="275">
        <f t="shared" si="12"/>
        <v>634770.04</v>
      </c>
      <c r="S89" s="275">
        <f t="shared" si="12"/>
        <v>583112.07</v>
      </c>
      <c r="T89" s="275">
        <f t="shared" si="12"/>
        <v>819350.49</v>
      </c>
      <c r="U89" s="275">
        <f t="shared" si="12"/>
        <v>118528.07999999999</v>
      </c>
      <c r="V89" s="275">
        <f t="shared" si="12"/>
        <v>285020.62</v>
      </c>
      <c r="W89" s="273">
        <f t="shared" si="12"/>
        <v>39382799.11999999</v>
      </c>
    </row>
    <row r="90" spans="2:23" ht="10.5">
      <c r="B90" s="181"/>
      <c r="C90" s="197"/>
      <c r="D90" s="197"/>
      <c r="E90" s="197"/>
      <c r="F90" s="197"/>
      <c r="G90" s="197"/>
      <c r="H90" s="197"/>
      <c r="I90" s="197"/>
      <c r="J90" s="198"/>
      <c r="K90" s="198"/>
      <c r="L90" s="198"/>
      <c r="M90" s="198"/>
      <c r="N90" s="198"/>
      <c r="O90" s="198"/>
      <c r="P90" s="198"/>
      <c r="Q90" s="198"/>
      <c r="R90" s="198"/>
      <c r="S90" s="198"/>
      <c r="T90" s="198"/>
      <c r="U90" s="198"/>
      <c r="V90" s="198"/>
      <c r="W90" s="181"/>
    </row>
    <row r="91" spans="1:23" ht="11.25">
      <c r="A91" s="159" t="s">
        <v>50</v>
      </c>
      <c r="B91" s="181"/>
      <c r="C91" s="197"/>
      <c r="D91" s="197"/>
      <c r="E91" s="197"/>
      <c r="F91" s="197"/>
      <c r="G91" s="197"/>
      <c r="H91" s="197"/>
      <c r="I91" s="197"/>
      <c r="J91" s="198"/>
      <c r="K91" s="198"/>
      <c r="L91" s="198"/>
      <c r="M91" s="198"/>
      <c r="N91" s="198"/>
      <c r="O91" s="198"/>
      <c r="P91" s="198"/>
      <c r="Q91" s="198"/>
      <c r="R91" s="198"/>
      <c r="S91" s="198"/>
      <c r="T91" s="198"/>
      <c r="U91" s="198"/>
      <c r="V91" s="198"/>
      <c r="W91" s="181"/>
    </row>
    <row r="92" spans="1:23" ht="11.25">
      <c r="A92" s="167" t="s">
        <v>204</v>
      </c>
      <c r="B92" s="181">
        <f>515011.1-269.57</f>
        <v>514741.52999999997</v>
      </c>
      <c r="C92" s="197"/>
      <c r="D92" s="197"/>
      <c r="E92" s="197"/>
      <c r="F92" s="197"/>
      <c r="G92" s="197"/>
      <c r="H92" s="197"/>
      <c r="I92" s="197"/>
      <c r="J92" s="198"/>
      <c r="K92" s="198"/>
      <c r="L92" s="198"/>
      <c r="M92" s="198"/>
      <c r="N92" s="198"/>
      <c r="O92" s="198"/>
      <c r="P92" s="198"/>
      <c r="Q92" s="198"/>
      <c r="R92" s="198"/>
      <c r="S92" s="198"/>
      <c r="T92" s="198"/>
      <c r="U92" s="198"/>
      <c r="V92" s="198"/>
      <c r="W92" s="181">
        <f>SUM(B92:V92)</f>
        <v>514741.52999999997</v>
      </c>
    </row>
    <row r="93" spans="1:23" ht="11.25">
      <c r="A93" s="162" t="s">
        <v>189</v>
      </c>
      <c r="B93" s="181">
        <v>123641.19</v>
      </c>
      <c r="C93" s="197">
        <v>364817.99</v>
      </c>
      <c r="D93" s="197">
        <v>0</v>
      </c>
      <c r="E93" s="197">
        <v>557661.5</v>
      </c>
      <c r="F93" s="197">
        <v>66380</v>
      </c>
      <c r="G93" s="197">
        <v>0</v>
      </c>
      <c r="H93" s="197">
        <v>516972.4</v>
      </c>
      <c r="I93" s="197">
        <v>175494</v>
      </c>
      <c r="J93" s="198">
        <v>63641</v>
      </c>
      <c r="K93" s="198">
        <v>187742</v>
      </c>
      <c r="L93" s="198">
        <v>130995.05</v>
      </c>
      <c r="M93" s="198">
        <v>87986</v>
      </c>
      <c r="N93" s="198">
        <v>94922</v>
      </c>
      <c r="O93" s="198">
        <v>22793.67</v>
      </c>
      <c r="P93" s="198">
        <v>179756</v>
      </c>
      <c r="Q93" s="198">
        <v>164406.09</v>
      </c>
      <c r="R93" s="198">
        <v>34233</v>
      </c>
      <c r="S93" s="198">
        <v>37894</v>
      </c>
      <c r="T93" s="198">
        <v>38814.07</v>
      </c>
      <c r="U93" s="198">
        <v>8308</v>
      </c>
      <c r="V93" s="198">
        <v>19180.55</v>
      </c>
      <c r="W93" s="181">
        <f>SUM(B93:V93)</f>
        <v>2875638.5099999993</v>
      </c>
    </row>
    <row r="94" spans="1:23" ht="11.25">
      <c r="A94" s="162" t="s">
        <v>187</v>
      </c>
      <c r="B94" s="181"/>
      <c r="C94" s="197">
        <v>450906.76</v>
      </c>
      <c r="D94" s="197"/>
      <c r="E94" s="197">
        <v>858482.5</v>
      </c>
      <c r="F94" s="197">
        <v>95575</v>
      </c>
      <c r="G94" s="197">
        <v>0</v>
      </c>
      <c r="H94" s="197">
        <v>976369.07</v>
      </c>
      <c r="I94" s="197">
        <v>259462.16</v>
      </c>
      <c r="J94" s="198">
        <v>98328</v>
      </c>
      <c r="K94" s="198">
        <v>188551.57</v>
      </c>
      <c r="L94" s="198">
        <v>252507.13</v>
      </c>
      <c r="M94" s="198">
        <v>229109</v>
      </c>
      <c r="N94" s="198">
        <v>140863</v>
      </c>
      <c r="O94" s="198">
        <v>16612</v>
      </c>
      <c r="P94" s="198">
        <v>384841</v>
      </c>
      <c r="Q94" s="198">
        <v>345485.02</v>
      </c>
      <c r="R94" s="198">
        <v>51117</v>
      </c>
      <c r="S94" s="198">
        <v>38903</v>
      </c>
      <c r="T94" s="198">
        <v>58459.86</v>
      </c>
      <c r="U94" s="198">
        <v>5974</v>
      </c>
      <c r="V94" s="198">
        <v>25840.92</v>
      </c>
      <c r="W94" s="181">
        <f>SUM(B94:V94)</f>
        <v>4477386.99</v>
      </c>
    </row>
    <row r="95" spans="1:23" ht="11.25">
      <c r="A95" s="162" t="s">
        <v>188</v>
      </c>
      <c r="B95" s="181">
        <v>0</v>
      </c>
      <c r="C95" s="197">
        <v>3356335</v>
      </c>
      <c r="D95" s="197">
        <v>0</v>
      </c>
      <c r="E95" s="197">
        <v>4259070</v>
      </c>
      <c r="F95" s="197">
        <v>482430</v>
      </c>
      <c r="G95" s="197">
        <v>0</v>
      </c>
      <c r="H95" s="197">
        <v>5208482</v>
      </c>
      <c r="I95" s="197">
        <v>2481242</v>
      </c>
      <c r="J95" s="198">
        <v>515404</v>
      </c>
      <c r="K95" s="198">
        <v>1693489.64</v>
      </c>
      <c r="L95" s="198">
        <v>1536758</v>
      </c>
      <c r="M95" s="198">
        <v>1290342</v>
      </c>
      <c r="N95" s="198">
        <v>880796</v>
      </c>
      <c r="O95" s="198">
        <v>157580</v>
      </c>
      <c r="P95" s="198">
        <v>1531301</v>
      </c>
      <c r="Q95" s="198">
        <v>1506308</v>
      </c>
      <c r="R95" s="198">
        <v>455069</v>
      </c>
      <c r="S95" s="198">
        <v>449007</v>
      </c>
      <c r="T95" s="198">
        <v>386659</v>
      </c>
      <c r="U95" s="198">
        <v>75380</v>
      </c>
      <c r="V95" s="198">
        <v>173090</v>
      </c>
      <c r="W95" s="181">
        <f>SUM(B95:V95)</f>
        <v>26438742.64</v>
      </c>
    </row>
    <row r="96" spans="1:23" ht="11.25">
      <c r="A96" s="162" t="s">
        <v>52</v>
      </c>
      <c r="B96" s="205"/>
      <c r="C96" s="203"/>
      <c r="D96" s="203"/>
      <c r="E96" s="203"/>
      <c r="F96" s="203"/>
      <c r="G96" s="203"/>
      <c r="H96" s="203"/>
      <c r="I96" s="203"/>
      <c r="J96" s="204"/>
      <c r="K96" s="204"/>
      <c r="L96" s="204"/>
      <c r="M96" s="204"/>
      <c r="N96" s="204"/>
      <c r="O96" s="204"/>
      <c r="P96" s="204"/>
      <c r="Q96" s="204"/>
      <c r="R96" s="204"/>
      <c r="S96" s="204"/>
      <c r="T96" s="204"/>
      <c r="U96" s="204"/>
      <c r="V96" s="204"/>
      <c r="W96" s="205"/>
    </row>
    <row r="97" spans="1:23" ht="11.25">
      <c r="A97" s="159" t="s">
        <v>51</v>
      </c>
      <c r="B97" s="181">
        <f>SUM(B92:B96)</f>
        <v>638382.72</v>
      </c>
      <c r="C97" s="197">
        <f aca="true" t="shared" si="13" ref="C97:V97">SUM(C93:C96)</f>
        <v>4172059.75</v>
      </c>
      <c r="D97" s="197">
        <f t="shared" si="13"/>
        <v>0</v>
      </c>
      <c r="E97" s="197">
        <f t="shared" si="13"/>
        <v>5675214</v>
      </c>
      <c r="F97" s="197">
        <f t="shared" si="13"/>
        <v>644385</v>
      </c>
      <c r="G97" s="197">
        <f t="shared" si="13"/>
        <v>0</v>
      </c>
      <c r="H97" s="197">
        <f t="shared" si="13"/>
        <v>6701823.47</v>
      </c>
      <c r="I97" s="197">
        <f t="shared" si="13"/>
        <v>2916198.16</v>
      </c>
      <c r="J97" s="198">
        <f t="shared" si="13"/>
        <v>677373</v>
      </c>
      <c r="K97" s="198">
        <f t="shared" si="13"/>
        <v>2069783.21</v>
      </c>
      <c r="L97" s="198">
        <f t="shared" si="13"/>
        <v>1920260.18</v>
      </c>
      <c r="M97" s="198">
        <f t="shared" si="13"/>
        <v>1607437</v>
      </c>
      <c r="N97" s="198">
        <f t="shared" si="13"/>
        <v>1116581</v>
      </c>
      <c r="O97" s="198">
        <f t="shared" si="13"/>
        <v>196985.66999999998</v>
      </c>
      <c r="P97" s="198">
        <f t="shared" si="13"/>
        <v>2095898</v>
      </c>
      <c r="Q97" s="198">
        <f t="shared" si="13"/>
        <v>2016199.1099999999</v>
      </c>
      <c r="R97" s="198">
        <f t="shared" si="13"/>
        <v>540419</v>
      </c>
      <c r="S97" s="198">
        <f t="shared" si="13"/>
        <v>525804</v>
      </c>
      <c r="T97" s="198">
        <f t="shared" si="13"/>
        <v>483932.93</v>
      </c>
      <c r="U97" s="198">
        <f t="shared" si="13"/>
        <v>89662</v>
      </c>
      <c r="V97" s="198">
        <f t="shared" si="13"/>
        <v>218111.47</v>
      </c>
      <c r="W97" s="181">
        <f>SUM(B97:V97)</f>
        <v>34306509.67</v>
      </c>
    </row>
    <row r="98" spans="1:23" ht="10.5">
      <c r="A98" s="48"/>
      <c r="B98" s="181"/>
      <c r="C98" s="197"/>
      <c r="D98" s="197"/>
      <c r="E98" s="197"/>
      <c r="F98" s="197"/>
      <c r="G98" s="197"/>
      <c r="H98" s="197"/>
      <c r="I98" s="197"/>
      <c r="J98" s="198"/>
      <c r="K98" s="198"/>
      <c r="L98" s="198"/>
      <c r="M98" s="198"/>
      <c r="N98" s="198"/>
      <c r="O98" s="198"/>
      <c r="P98" s="198"/>
      <c r="Q98" s="198"/>
      <c r="R98" s="198"/>
      <c r="S98" s="198"/>
      <c r="T98" s="198"/>
      <c r="U98" s="198"/>
      <c r="V98" s="198"/>
      <c r="W98" s="181"/>
    </row>
    <row r="99" spans="1:23" ht="10.5">
      <c r="A99" s="48"/>
      <c r="B99" s="205"/>
      <c r="C99" s="203"/>
      <c r="D99" s="203"/>
      <c r="E99" s="203"/>
      <c r="F99" s="203"/>
      <c r="G99" s="203"/>
      <c r="H99" s="203"/>
      <c r="I99" s="203"/>
      <c r="J99" s="204"/>
      <c r="K99" s="204"/>
      <c r="L99" s="204"/>
      <c r="M99" s="204"/>
      <c r="N99" s="204"/>
      <c r="O99" s="204"/>
      <c r="P99" s="204"/>
      <c r="Q99" s="204"/>
      <c r="R99" s="204"/>
      <c r="S99" s="204"/>
      <c r="T99" s="204"/>
      <c r="U99" s="204"/>
      <c r="V99" s="204"/>
      <c r="W99" s="205"/>
    </row>
    <row r="100" spans="1:23" ht="12" thickBot="1">
      <c r="A100" s="159" t="s">
        <v>399</v>
      </c>
      <c r="B100" s="207">
        <f>B80+B89-B97</f>
        <v>437052.4900000002</v>
      </c>
      <c r="C100" s="208">
        <f aca="true" t="shared" si="14" ref="C100:V100">C80+C89-C97</f>
        <v>1533655.9100000001</v>
      </c>
      <c r="D100" s="208">
        <f t="shared" si="14"/>
        <v>3567.1100000000006</v>
      </c>
      <c r="E100" s="208">
        <f t="shared" si="14"/>
        <v>1413595.9399999995</v>
      </c>
      <c r="F100" s="208">
        <f t="shared" si="14"/>
        <v>139527.43000000017</v>
      </c>
      <c r="G100" s="208">
        <f t="shared" si="14"/>
        <v>1389.1599999999999</v>
      </c>
      <c r="H100" s="208">
        <f t="shared" si="14"/>
        <v>3198997.5699999994</v>
      </c>
      <c r="I100" s="208">
        <f t="shared" si="14"/>
        <v>823555.7699999996</v>
      </c>
      <c r="J100" s="209">
        <f t="shared" si="14"/>
        <v>156427.3999999999</v>
      </c>
      <c r="K100" s="209">
        <f t="shared" si="14"/>
        <v>292152.9299999997</v>
      </c>
      <c r="L100" s="209">
        <f t="shared" si="14"/>
        <v>592131.24</v>
      </c>
      <c r="M100" s="209">
        <f t="shared" si="14"/>
        <v>538970.4500000002</v>
      </c>
      <c r="N100" s="209">
        <f t="shared" si="14"/>
        <v>91591.52000000002</v>
      </c>
      <c r="O100" s="209">
        <f t="shared" si="14"/>
        <v>32078.070000000007</v>
      </c>
      <c r="P100" s="209">
        <f t="shared" si="14"/>
        <v>790018.54</v>
      </c>
      <c r="Q100" s="209">
        <f t="shared" si="14"/>
        <v>1099764.63</v>
      </c>
      <c r="R100" s="209">
        <f t="shared" si="14"/>
        <v>162769.17000000004</v>
      </c>
      <c r="S100" s="209">
        <f t="shared" si="14"/>
        <v>157746.96999999997</v>
      </c>
      <c r="T100" s="209">
        <f t="shared" si="14"/>
        <v>302391.85000000003</v>
      </c>
      <c r="U100" s="209">
        <f t="shared" si="14"/>
        <v>24986.87999999999</v>
      </c>
      <c r="V100" s="209">
        <f t="shared" si="14"/>
        <v>27164.959999999992</v>
      </c>
      <c r="W100" s="207">
        <f>SUM(B100:V100)</f>
        <v>11819535.989999998</v>
      </c>
    </row>
    <row r="101" spans="2:23" ht="11.25" thickTop="1">
      <c r="B101" s="181"/>
      <c r="C101" s="197"/>
      <c r="D101" s="197"/>
      <c r="E101" s="197"/>
      <c r="F101" s="197"/>
      <c r="G101" s="197"/>
      <c r="H101" s="197"/>
      <c r="I101" s="197"/>
      <c r="J101" s="198"/>
      <c r="K101" s="198"/>
      <c r="L101" s="198"/>
      <c r="M101" s="198"/>
      <c r="N101" s="198"/>
      <c r="O101" s="198"/>
      <c r="P101" s="198"/>
      <c r="Q101" s="198"/>
      <c r="R101" s="198"/>
      <c r="S101" s="198"/>
      <c r="T101" s="198"/>
      <c r="U101" s="198"/>
      <c r="V101" s="198"/>
      <c r="W101" s="181"/>
    </row>
    <row r="102" spans="2:23" ht="10.5">
      <c r="B102" s="181"/>
      <c r="C102" s="197"/>
      <c r="D102" s="197"/>
      <c r="E102" s="197"/>
      <c r="F102" s="197"/>
      <c r="G102" s="197"/>
      <c r="H102" s="197"/>
      <c r="I102" s="197"/>
      <c r="J102" s="198"/>
      <c r="K102" s="198"/>
      <c r="L102" s="198"/>
      <c r="M102" s="198"/>
      <c r="N102" s="198"/>
      <c r="O102" s="198"/>
      <c r="P102" s="198"/>
      <c r="Q102" s="198"/>
      <c r="R102" s="198"/>
      <c r="S102" s="198"/>
      <c r="T102" s="198"/>
      <c r="U102" s="198"/>
      <c r="V102" s="198"/>
      <c r="W102" s="181"/>
    </row>
    <row r="103" spans="1:23" ht="11.25">
      <c r="A103" s="166" t="s">
        <v>400</v>
      </c>
      <c r="B103" s="181">
        <v>0</v>
      </c>
      <c r="C103" s="197">
        <f>191731.34+839883+317891.6</f>
        <v>1349505.94</v>
      </c>
      <c r="D103" s="197">
        <f>301+2188+515</f>
        <v>3004</v>
      </c>
      <c r="E103" s="197">
        <f>148836+817510+182148</f>
        <v>1148494</v>
      </c>
      <c r="F103" s="197">
        <f>11365.65+74524+24745</f>
        <v>110634.65</v>
      </c>
      <c r="G103" s="197">
        <f>127+1021+122</f>
        <v>1270</v>
      </c>
      <c r="H103" s="197">
        <f>320595.92+2064231+490829.34</f>
        <v>2875656.26</v>
      </c>
      <c r="I103" s="197">
        <f>123039.84+487166+82564</f>
        <v>692769.84</v>
      </c>
      <c r="J103" s="206">
        <f>7135+119047+3798</f>
        <v>129980</v>
      </c>
      <c r="K103" s="198">
        <f>38037.54+101419.57+67722</f>
        <v>207179.11000000002</v>
      </c>
      <c r="L103" s="198">
        <f>72520.5+373066+53095.17</f>
        <v>498681.67</v>
      </c>
      <c r="M103" s="198">
        <f>95696+266844+94276</f>
        <v>456816</v>
      </c>
      <c r="N103" s="198">
        <f>15393.77+28353+4446</f>
        <v>48192.770000000004</v>
      </c>
      <c r="O103" s="198">
        <f>15016+8956.33</f>
        <v>23972.33</v>
      </c>
      <c r="P103" s="198">
        <f>90507+501766+95049</f>
        <v>687322</v>
      </c>
      <c r="Q103" s="198">
        <f>101243.34+759055+138457.82</f>
        <v>998756.1599999999</v>
      </c>
      <c r="R103" s="198">
        <f>23662+83277+31270</f>
        <v>138209</v>
      </c>
      <c r="S103" s="198">
        <f>24236+67567+42326</f>
        <v>134129</v>
      </c>
      <c r="T103" s="198">
        <f>27703.16+200679+45764.33</f>
        <v>274146.49</v>
      </c>
      <c r="U103" s="198">
        <f>2446+16165+1864</f>
        <v>20475</v>
      </c>
      <c r="V103" s="198">
        <f>5189.09+11999.33+811</f>
        <v>17999.42</v>
      </c>
      <c r="W103" s="181">
        <f>SUM(B103:V103)</f>
        <v>9817193.639999999</v>
      </c>
    </row>
    <row r="104" spans="1:23" ht="11.25">
      <c r="A104" s="166" t="s">
        <v>401</v>
      </c>
      <c r="B104" s="181">
        <v>0</v>
      </c>
      <c r="C104" s="197">
        <v>0</v>
      </c>
      <c r="D104" s="197">
        <v>0</v>
      </c>
      <c r="E104" s="197">
        <v>0</v>
      </c>
      <c r="F104" s="197">
        <v>0</v>
      </c>
      <c r="G104" s="197">
        <v>0</v>
      </c>
      <c r="H104" s="197">
        <v>0</v>
      </c>
      <c r="I104" s="197">
        <v>0</v>
      </c>
      <c r="J104" s="198">
        <v>0</v>
      </c>
      <c r="K104" s="198">
        <v>0</v>
      </c>
      <c r="L104" s="198">
        <v>0</v>
      </c>
      <c r="M104" s="198">
        <v>0</v>
      </c>
      <c r="N104" s="198">
        <v>0</v>
      </c>
      <c r="O104" s="198">
        <v>0</v>
      </c>
      <c r="P104" s="198">
        <v>0</v>
      </c>
      <c r="Q104" s="198">
        <v>0</v>
      </c>
      <c r="R104" s="198">
        <v>0</v>
      </c>
      <c r="S104" s="198">
        <v>0</v>
      </c>
      <c r="T104" s="198">
        <v>0</v>
      </c>
      <c r="U104" s="198">
        <v>0</v>
      </c>
      <c r="V104" s="198">
        <v>0</v>
      </c>
      <c r="W104" s="181">
        <f>SUM(B104:V104)</f>
        <v>0</v>
      </c>
    </row>
    <row r="105" spans="1:23" ht="11.25">
      <c r="A105" s="167" t="s">
        <v>52</v>
      </c>
      <c r="B105" s="201" t="s">
        <v>53</v>
      </c>
      <c r="C105" s="203"/>
      <c r="D105" s="203"/>
      <c r="E105" s="203"/>
      <c r="F105" s="203"/>
      <c r="G105" s="203"/>
      <c r="H105" s="203"/>
      <c r="I105" s="203"/>
      <c r="J105" s="204"/>
      <c r="K105" s="204"/>
      <c r="L105" s="204"/>
      <c r="M105" s="204"/>
      <c r="N105" s="204"/>
      <c r="O105" s="204"/>
      <c r="P105" s="204"/>
      <c r="Q105" s="204"/>
      <c r="R105" s="204"/>
      <c r="S105" s="204"/>
      <c r="T105" s="204"/>
      <c r="U105" s="204"/>
      <c r="V105" s="204"/>
      <c r="W105" s="205"/>
    </row>
    <row r="106" spans="1:23" ht="11.25">
      <c r="A106" s="159"/>
      <c r="B106" s="181">
        <f>SUM(B103:B105)</f>
        <v>0</v>
      </c>
      <c r="C106" s="197">
        <f aca="true" t="shared" si="15" ref="C106:V106">SUM(C103:C105)</f>
        <v>1349505.94</v>
      </c>
      <c r="D106" s="197">
        <f t="shared" si="15"/>
        <v>3004</v>
      </c>
      <c r="E106" s="197">
        <f t="shared" si="15"/>
        <v>1148494</v>
      </c>
      <c r="F106" s="197">
        <f t="shared" si="15"/>
        <v>110634.65</v>
      </c>
      <c r="G106" s="197">
        <f t="shared" si="15"/>
        <v>1270</v>
      </c>
      <c r="H106" s="197">
        <f t="shared" si="15"/>
        <v>2875656.26</v>
      </c>
      <c r="I106" s="197">
        <f t="shared" si="15"/>
        <v>692769.84</v>
      </c>
      <c r="J106" s="198">
        <f t="shared" si="15"/>
        <v>129980</v>
      </c>
      <c r="K106" s="198">
        <f t="shared" si="15"/>
        <v>207179.11000000002</v>
      </c>
      <c r="L106" s="198">
        <f t="shared" si="15"/>
        <v>498681.67</v>
      </c>
      <c r="M106" s="198">
        <f t="shared" si="15"/>
        <v>456816</v>
      </c>
      <c r="N106" s="198">
        <f t="shared" si="15"/>
        <v>48192.770000000004</v>
      </c>
      <c r="O106" s="198">
        <f t="shared" si="15"/>
        <v>23972.33</v>
      </c>
      <c r="P106" s="198">
        <f t="shared" si="15"/>
        <v>687322</v>
      </c>
      <c r="Q106" s="198">
        <f t="shared" si="15"/>
        <v>998756.1599999999</v>
      </c>
      <c r="R106" s="198">
        <f t="shared" si="15"/>
        <v>138209</v>
      </c>
      <c r="S106" s="198">
        <f t="shared" si="15"/>
        <v>134129</v>
      </c>
      <c r="T106" s="198">
        <f t="shared" si="15"/>
        <v>274146.49</v>
      </c>
      <c r="U106" s="198">
        <f t="shared" si="15"/>
        <v>20475</v>
      </c>
      <c r="V106" s="198">
        <f t="shared" si="15"/>
        <v>17999.42</v>
      </c>
      <c r="W106" s="181">
        <f>SUM(B106:V106)</f>
        <v>9817193.639999999</v>
      </c>
    </row>
    <row r="107" spans="1:23" ht="11.25">
      <c r="A107" s="168"/>
      <c r="B107" s="205"/>
      <c r="C107" s="203"/>
      <c r="D107" s="203"/>
      <c r="E107" s="203"/>
      <c r="F107" s="203"/>
      <c r="G107" s="203"/>
      <c r="H107" s="203"/>
      <c r="I107" s="203"/>
      <c r="J107" s="204"/>
      <c r="K107" s="204"/>
      <c r="L107" s="204"/>
      <c r="M107" s="204"/>
      <c r="N107" s="204"/>
      <c r="O107" s="204"/>
      <c r="P107" s="204"/>
      <c r="Q107" s="204"/>
      <c r="R107" s="204"/>
      <c r="S107" s="204"/>
      <c r="T107" s="204"/>
      <c r="U107" s="204"/>
      <c r="V107" s="204"/>
      <c r="W107" s="205"/>
    </row>
    <row r="108" spans="1:23" ht="12" thickBot="1">
      <c r="A108" s="159" t="s">
        <v>402</v>
      </c>
      <c r="B108" s="207">
        <f aca="true" t="shared" si="16" ref="B108:V108">B100-B106</f>
        <v>437052.4900000002</v>
      </c>
      <c r="C108" s="208">
        <f t="shared" si="16"/>
        <v>184149.9700000002</v>
      </c>
      <c r="D108" s="208">
        <f t="shared" si="16"/>
        <v>563.1100000000006</v>
      </c>
      <c r="E108" s="208">
        <f t="shared" si="16"/>
        <v>265101.9399999995</v>
      </c>
      <c r="F108" s="208">
        <f t="shared" si="16"/>
        <v>28892.780000000173</v>
      </c>
      <c r="G108" s="208">
        <f t="shared" si="16"/>
        <v>119.15999999999985</v>
      </c>
      <c r="H108" s="208">
        <f t="shared" si="16"/>
        <v>323341.3099999996</v>
      </c>
      <c r="I108" s="208">
        <f t="shared" si="16"/>
        <v>130785.92999999959</v>
      </c>
      <c r="J108" s="209">
        <f t="shared" si="16"/>
        <v>26447.399999999907</v>
      </c>
      <c r="K108" s="209">
        <f t="shared" si="16"/>
        <v>84973.81999999969</v>
      </c>
      <c r="L108" s="209">
        <f t="shared" si="16"/>
        <v>93449.57</v>
      </c>
      <c r="M108" s="209">
        <f t="shared" si="16"/>
        <v>82154.45000000019</v>
      </c>
      <c r="N108" s="209">
        <f t="shared" si="16"/>
        <v>43398.750000000015</v>
      </c>
      <c r="O108" s="209">
        <f t="shared" si="16"/>
        <v>8105.740000000005</v>
      </c>
      <c r="P108" s="209">
        <f t="shared" si="16"/>
        <v>102696.54000000004</v>
      </c>
      <c r="Q108" s="209">
        <f t="shared" si="16"/>
        <v>101008.46999999997</v>
      </c>
      <c r="R108" s="209">
        <f t="shared" si="16"/>
        <v>24560.170000000042</v>
      </c>
      <c r="S108" s="209">
        <f t="shared" si="16"/>
        <v>23617.969999999972</v>
      </c>
      <c r="T108" s="209">
        <f t="shared" si="16"/>
        <v>28245.360000000044</v>
      </c>
      <c r="U108" s="209">
        <f t="shared" si="16"/>
        <v>4511.87999999999</v>
      </c>
      <c r="V108" s="209">
        <f t="shared" si="16"/>
        <v>9165.539999999994</v>
      </c>
      <c r="W108" s="207">
        <f>SUM(B108:V108)</f>
        <v>2002342.3499999992</v>
      </c>
    </row>
    <row r="109" spans="1:23" ht="12" thickTop="1">
      <c r="A109" s="159"/>
      <c r="B109" s="224"/>
      <c r="C109" s="298"/>
      <c r="D109" s="298"/>
      <c r="E109" s="298"/>
      <c r="F109" s="298"/>
      <c r="G109" s="298"/>
      <c r="H109" s="298"/>
      <c r="I109" s="298"/>
      <c r="J109" s="298"/>
      <c r="K109" s="298"/>
      <c r="L109" s="298"/>
      <c r="M109" s="298"/>
      <c r="N109" s="298"/>
      <c r="O109" s="298"/>
      <c r="P109" s="298"/>
      <c r="Q109" s="298"/>
      <c r="R109" s="298"/>
      <c r="S109" s="298"/>
      <c r="T109" s="298"/>
      <c r="U109" s="298"/>
      <c r="V109" s="298"/>
      <c r="W109" s="224"/>
    </row>
    <row r="110" spans="1:23" ht="11.25">
      <c r="A110" s="159"/>
      <c r="B110" s="224"/>
      <c r="C110" s="298"/>
      <c r="D110" s="298"/>
      <c r="E110" s="298"/>
      <c r="F110" s="298"/>
      <c r="G110" s="298"/>
      <c r="H110" s="298"/>
      <c r="I110" s="298"/>
      <c r="J110" s="298"/>
      <c r="K110" s="298"/>
      <c r="L110" s="298"/>
      <c r="M110" s="298"/>
      <c r="N110" s="298"/>
      <c r="O110" s="298"/>
      <c r="P110" s="298"/>
      <c r="Q110" s="298"/>
      <c r="R110" s="298"/>
      <c r="S110" s="298"/>
      <c r="T110" s="298"/>
      <c r="U110" s="298"/>
      <c r="V110" s="298"/>
      <c r="W110" s="224"/>
    </row>
    <row r="111" spans="1:22" ht="10.5">
      <c r="A111" s="157" t="s">
        <v>486</v>
      </c>
      <c r="B111" s="288" t="s">
        <v>11</v>
      </c>
      <c r="C111" s="289" t="s">
        <v>35</v>
      </c>
      <c r="D111" s="289" t="s">
        <v>25</v>
      </c>
      <c r="E111" s="289" t="s">
        <v>34</v>
      </c>
      <c r="F111" s="289" t="s">
        <v>36</v>
      </c>
      <c r="G111" s="289" t="s">
        <v>28</v>
      </c>
      <c r="H111" s="289" t="s">
        <v>29</v>
      </c>
      <c r="I111" s="289" t="s">
        <v>30</v>
      </c>
      <c r="J111" s="290" t="s">
        <v>32</v>
      </c>
      <c r="K111" s="290" t="s">
        <v>448</v>
      </c>
      <c r="L111" s="290" t="s">
        <v>23</v>
      </c>
      <c r="M111" s="290" t="s">
        <v>449</v>
      </c>
      <c r="N111" s="290" t="s">
        <v>165</v>
      </c>
      <c r="O111" s="290" t="s">
        <v>37</v>
      </c>
      <c r="P111" s="290" t="s">
        <v>451</v>
      </c>
      <c r="Q111" s="290" t="s">
        <v>29</v>
      </c>
      <c r="R111" s="290" t="s">
        <v>30</v>
      </c>
      <c r="S111" s="290" t="s">
        <v>25</v>
      </c>
      <c r="T111" s="290" t="s">
        <v>24</v>
      </c>
      <c r="U111" s="290" t="s">
        <v>26</v>
      </c>
      <c r="V111" s="290" t="s">
        <v>454</v>
      </c>
    </row>
    <row r="112" spans="2:23" ht="10.5">
      <c r="B112" s="288" t="s">
        <v>44</v>
      </c>
      <c r="C112" s="283" t="s">
        <v>280</v>
      </c>
      <c r="D112" s="283" t="s">
        <v>281</v>
      </c>
      <c r="E112" s="283" t="s">
        <v>282</v>
      </c>
      <c r="F112" s="283" t="s">
        <v>283</v>
      </c>
      <c r="G112" s="283" t="s">
        <v>284</v>
      </c>
      <c r="H112" s="283" t="s">
        <v>285</v>
      </c>
      <c r="I112" s="283" t="s">
        <v>286</v>
      </c>
      <c r="J112" s="285" t="s">
        <v>288</v>
      </c>
      <c r="K112" s="285" t="s">
        <v>289</v>
      </c>
      <c r="L112" s="285" t="s">
        <v>291</v>
      </c>
      <c r="M112" s="285" t="s">
        <v>292</v>
      </c>
      <c r="N112" s="285" t="s">
        <v>294</v>
      </c>
      <c r="O112" s="285" t="s">
        <v>296</v>
      </c>
      <c r="P112" s="285" t="s">
        <v>297</v>
      </c>
      <c r="Q112" s="285" t="s">
        <v>285</v>
      </c>
      <c r="R112" s="285" t="s">
        <v>286</v>
      </c>
      <c r="S112" s="285" t="s">
        <v>299</v>
      </c>
      <c r="T112" s="285" t="s">
        <v>304</v>
      </c>
      <c r="U112" s="285" t="s">
        <v>301</v>
      </c>
      <c r="V112" s="285" t="s">
        <v>302</v>
      </c>
      <c r="W112" s="288" t="s">
        <v>3</v>
      </c>
    </row>
    <row r="113" spans="2:23" ht="10.5">
      <c r="B113" s="169" t="s">
        <v>52</v>
      </c>
      <c r="C113" s="280">
        <v>53</v>
      </c>
      <c r="D113" s="280">
        <v>55</v>
      </c>
      <c r="E113" s="280">
        <v>84</v>
      </c>
      <c r="F113" s="280">
        <v>86</v>
      </c>
      <c r="G113" s="280">
        <v>89</v>
      </c>
      <c r="H113" s="280">
        <v>96</v>
      </c>
      <c r="I113" s="284" t="s">
        <v>455</v>
      </c>
      <c r="J113" s="282">
        <v>56</v>
      </c>
      <c r="K113" s="286" t="s">
        <v>290</v>
      </c>
      <c r="L113" s="282">
        <v>65</v>
      </c>
      <c r="M113" s="286" t="s">
        <v>293</v>
      </c>
      <c r="N113" s="286" t="s">
        <v>450</v>
      </c>
      <c r="O113" s="282">
        <v>70</v>
      </c>
      <c r="P113" s="286" t="s">
        <v>298</v>
      </c>
      <c r="Q113" s="282">
        <v>76</v>
      </c>
      <c r="R113" s="286" t="s">
        <v>452</v>
      </c>
      <c r="S113" s="286" t="s">
        <v>300</v>
      </c>
      <c r="T113" s="286" t="s">
        <v>453</v>
      </c>
      <c r="U113" s="282">
        <v>82</v>
      </c>
      <c r="V113" s="286" t="s">
        <v>303</v>
      </c>
      <c r="W113" s="163"/>
    </row>
    <row r="114" spans="1:25" ht="11.25">
      <c r="A114" s="161" t="s">
        <v>45</v>
      </c>
      <c r="B114" s="181">
        <f>4962.83+432089.66</f>
        <v>437052.49</v>
      </c>
      <c r="C114" s="197">
        <v>1533655.91</v>
      </c>
      <c r="D114" s="197">
        <v>3567.11</v>
      </c>
      <c r="E114" s="197">
        <v>1413595.94</v>
      </c>
      <c r="F114" s="197">
        <v>139527.43</v>
      </c>
      <c r="G114" s="197">
        <v>1389.16</v>
      </c>
      <c r="H114" s="197">
        <v>3198997.57</v>
      </c>
      <c r="I114" s="197">
        <v>823555.77</v>
      </c>
      <c r="J114" s="198">
        <v>156427.4</v>
      </c>
      <c r="K114" s="198">
        <v>292152.93</v>
      </c>
      <c r="L114" s="198">
        <v>592131.24</v>
      </c>
      <c r="M114" s="198">
        <v>538970.45</v>
      </c>
      <c r="N114" s="198">
        <v>91591.52</v>
      </c>
      <c r="O114" s="198">
        <v>32078.07</v>
      </c>
      <c r="P114" s="198">
        <v>790018.54</v>
      </c>
      <c r="Q114" s="198">
        <v>1099764.63</v>
      </c>
      <c r="R114" s="198">
        <v>162769.17</v>
      </c>
      <c r="S114" s="198">
        <v>157746.97</v>
      </c>
      <c r="T114" s="198">
        <v>302391.85</v>
      </c>
      <c r="U114" s="198">
        <v>24986.88</v>
      </c>
      <c r="V114" s="198">
        <v>27164.96</v>
      </c>
      <c r="W114" s="181">
        <f>SUM(B114:V114)</f>
        <v>11819535.990000002</v>
      </c>
      <c r="X114" s="181"/>
      <c r="Y114" s="181"/>
    </row>
    <row r="115" spans="1:25" ht="11.25">
      <c r="A115" s="159" t="s">
        <v>195</v>
      </c>
      <c r="B115" s="199">
        <v>0</v>
      </c>
      <c r="C115" s="200">
        <v>0</v>
      </c>
      <c r="D115" s="197">
        <v>0</v>
      </c>
      <c r="E115" s="197"/>
      <c r="F115" s="197"/>
      <c r="G115" s="197"/>
      <c r="H115" s="197"/>
      <c r="I115" s="197"/>
      <c r="J115" s="198"/>
      <c r="K115" s="198"/>
      <c r="L115" s="198"/>
      <c r="M115" s="198"/>
      <c r="N115" s="198"/>
      <c r="O115" s="198"/>
      <c r="P115" s="198"/>
      <c r="Q115" s="198"/>
      <c r="R115" s="198"/>
      <c r="S115" s="198"/>
      <c r="T115" s="198"/>
      <c r="U115" s="198"/>
      <c r="V115" s="198"/>
      <c r="W115" s="181">
        <f>SUM(B115:V115)</f>
        <v>0</v>
      </c>
      <c r="X115" s="181"/>
      <c r="Y115" s="181"/>
    </row>
    <row r="116" spans="1:25" ht="11.25">
      <c r="A116" s="160" t="s">
        <v>46</v>
      </c>
      <c r="B116" s="199">
        <v>0</v>
      </c>
      <c r="C116" s="200">
        <v>0</v>
      </c>
      <c r="D116" s="197">
        <v>0</v>
      </c>
      <c r="E116" s="197">
        <v>0</v>
      </c>
      <c r="F116" s="197">
        <v>0</v>
      </c>
      <c r="G116" s="197">
        <v>0</v>
      </c>
      <c r="H116" s="197">
        <v>0</v>
      </c>
      <c r="I116" s="197">
        <v>0</v>
      </c>
      <c r="J116" s="198">
        <v>0</v>
      </c>
      <c r="K116" s="198">
        <v>0</v>
      </c>
      <c r="L116" s="198">
        <v>0</v>
      </c>
      <c r="M116" s="198">
        <v>0</v>
      </c>
      <c r="N116" s="198">
        <v>0</v>
      </c>
      <c r="O116" s="198">
        <v>0</v>
      </c>
      <c r="P116" s="198">
        <v>0</v>
      </c>
      <c r="Q116" s="198">
        <v>0</v>
      </c>
      <c r="R116" s="198">
        <v>0</v>
      </c>
      <c r="S116" s="198">
        <v>0</v>
      </c>
      <c r="T116" s="198">
        <v>0</v>
      </c>
      <c r="U116" s="198">
        <v>0</v>
      </c>
      <c r="V116" s="198">
        <v>0</v>
      </c>
      <c r="W116" s="181">
        <f>SUM(B116:V116)</f>
        <v>0</v>
      </c>
      <c r="X116" s="181"/>
      <c r="Y116" s="181"/>
    </row>
    <row r="117" spans="1:25" ht="11.25">
      <c r="A117" s="160" t="s">
        <v>47</v>
      </c>
      <c r="B117" s="201">
        <v>0</v>
      </c>
      <c r="C117" s="202">
        <v>0</v>
      </c>
      <c r="D117" s="203">
        <v>0</v>
      </c>
      <c r="E117" s="203">
        <v>0</v>
      </c>
      <c r="F117" s="203">
        <v>0</v>
      </c>
      <c r="G117" s="203">
        <v>0</v>
      </c>
      <c r="H117" s="203">
        <v>0</v>
      </c>
      <c r="I117" s="203">
        <v>0</v>
      </c>
      <c r="J117" s="204">
        <v>0</v>
      </c>
      <c r="K117" s="204">
        <v>0</v>
      </c>
      <c r="L117" s="204">
        <v>0</v>
      </c>
      <c r="M117" s="204">
        <v>0</v>
      </c>
      <c r="N117" s="204">
        <v>0</v>
      </c>
      <c r="O117" s="204">
        <v>0</v>
      </c>
      <c r="P117" s="204">
        <v>0</v>
      </c>
      <c r="Q117" s="204">
        <v>0</v>
      </c>
      <c r="R117" s="204">
        <v>0</v>
      </c>
      <c r="S117" s="204">
        <v>0</v>
      </c>
      <c r="T117" s="204">
        <v>0</v>
      </c>
      <c r="U117" s="204">
        <v>0</v>
      </c>
      <c r="V117" s="204">
        <v>0</v>
      </c>
      <c r="W117" s="205">
        <f>SUM(B117:V117)</f>
        <v>0</v>
      </c>
      <c r="X117" s="181"/>
      <c r="Y117" s="181"/>
    </row>
    <row r="118" spans="1:25" ht="11.25">
      <c r="A118" s="160" t="s">
        <v>270</v>
      </c>
      <c r="B118" s="199">
        <f aca="true" t="shared" si="17" ref="B118:W118">B114+B115+B116-B117</f>
        <v>437052.49</v>
      </c>
      <c r="C118" s="200">
        <f t="shared" si="17"/>
        <v>1533655.91</v>
      </c>
      <c r="D118" s="200">
        <f t="shared" si="17"/>
        <v>3567.11</v>
      </c>
      <c r="E118" s="200">
        <f t="shared" si="17"/>
        <v>1413595.94</v>
      </c>
      <c r="F118" s="200">
        <f t="shared" si="17"/>
        <v>139527.43</v>
      </c>
      <c r="G118" s="200">
        <f t="shared" si="17"/>
        <v>1389.16</v>
      </c>
      <c r="H118" s="200">
        <f t="shared" si="17"/>
        <v>3198997.57</v>
      </c>
      <c r="I118" s="200">
        <f t="shared" si="17"/>
        <v>823555.77</v>
      </c>
      <c r="J118" s="206">
        <f t="shared" si="17"/>
        <v>156427.4</v>
      </c>
      <c r="K118" s="206">
        <f t="shared" si="17"/>
        <v>292152.93</v>
      </c>
      <c r="L118" s="206">
        <f t="shared" si="17"/>
        <v>592131.24</v>
      </c>
      <c r="M118" s="206">
        <f t="shared" si="17"/>
        <v>538970.45</v>
      </c>
      <c r="N118" s="206">
        <f t="shared" si="17"/>
        <v>91591.52</v>
      </c>
      <c r="O118" s="206">
        <f t="shared" si="17"/>
        <v>32078.07</v>
      </c>
      <c r="P118" s="206">
        <f t="shared" si="17"/>
        <v>790018.54</v>
      </c>
      <c r="Q118" s="206">
        <f t="shared" si="17"/>
        <v>1099764.63</v>
      </c>
      <c r="R118" s="206">
        <f t="shared" si="17"/>
        <v>162769.17</v>
      </c>
      <c r="S118" s="206">
        <f t="shared" si="17"/>
        <v>157746.97</v>
      </c>
      <c r="T118" s="206">
        <f t="shared" si="17"/>
        <v>302391.85</v>
      </c>
      <c r="U118" s="206">
        <f t="shared" si="17"/>
        <v>24986.88</v>
      </c>
      <c r="V118" s="206">
        <f t="shared" si="17"/>
        <v>27164.96</v>
      </c>
      <c r="W118" s="199">
        <f t="shared" si="17"/>
        <v>11819535.990000002</v>
      </c>
      <c r="X118" s="181"/>
      <c r="Y118" s="181"/>
    </row>
    <row r="119" spans="1:25" ht="10.5">
      <c r="A119" s="158"/>
      <c r="B119" s="199"/>
      <c r="C119" s="200"/>
      <c r="D119" s="197"/>
      <c r="E119" s="197"/>
      <c r="F119" s="197"/>
      <c r="G119" s="197"/>
      <c r="H119" s="197"/>
      <c r="I119" s="197"/>
      <c r="J119" s="198"/>
      <c r="K119" s="198"/>
      <c r="L119" s="198"/>
      <c r="M119" s="198"/>
      <c r="N119" s="198"/>
      <c r="O119" s="198"/>
      <c r="P119" s="198"/>
      <c r="Q119" s="198"/>
      <c r="R119" s="198"/>
      <c r="S119" s="198"/>
      <c r="T119" s="198"/>
      <c r="U119" s="198"/>
      <c r="V119" s="198"/>
      <c r="W119" s="181"/>
      <c r="X119" s="181"/>
      <c r="Y119" s="181"/>
    </row>
    <row r="120" spans="1:25" ht="11.25">
      <c r="A120" s="159" t="s">
        <v>277</v>
      </c>
      <c r="B120" s="181"/>
      <c r="C120" s="197"/>
      <c r="D120" s="197"/>
      <c r="E120" s="197"/>
      <c r="F120" s="197"/>
      <c r="G120" s="197"/>
      <c r="H120" s="197"/>
      <c r="I120" s="197"/>
      <c r="J120" s="198"/>
      <c r="K120" s="198"/>
      <c r="L120" s="198"/>
      <c r="M120" s="198"/>
      <c r="N120" s="198"/>
      <c r="O120" s="198"/>
      <c r="P120" s="198"/>
      <c r="Q120" s="198"/>
      <c r="R120" s="198"/>
      <c r="S120" s="198"/>
      <c r="T120" s="198"/>
      <c r="U120" s="198"/>
      <c r="V120" s="198"/>
      <c r="W120" s="181"/>
      <c r="X120" s="181"/>
      <c r="Y120" s="181"/>
    </row>
    <row r="121" spans="1:25" ht="11.25">
      <c r="A121" s="162" t="s">
        <v>190</v>
      </c>
      <c r="B121" s="181">
        <v>712014.31</v>
      </c>
      <c r="C121" s="197">
        <v>4543544.1</v>
      </c>
      <c r="D121" s="197">
        <v>14998.94</v>
      </c>
      <c r="E121" s="197">
        <v>6501837.77</v>
      </c>
      <c r="F121" s="197">
        <v>724301.53</v>
      </c>
      <c r="G121" s="197">
        <v>4675.27</v>
      </c>
      <c r="H121" s="197">
        <v>7978198.43</v>
      </c>
      <c r="I121" s="197">
        <v>3254239.01</v>
      </c>
      <c r="J121" s="198"/>
      <c r="K121" s="198"/>
      <c r="L121" s="198"/>
      <c r="M121" s="198"/>
      <c r="N121" s="198"/>
      <c r="O121" s="198"/>
      <c r="P121" s="198"/>
      <c r="Q121" s="198"/>
      <c r="R121" s="198"/>
      <c r="S121" s="198"/>
      <c r="T121" s="198"/>
      <c r="U121" s="198"/>
      <c r="V121" s="198"/>
      <c r="W121" s="181">
        <f>SUM(B121:V121)</f>
        <v>23733809.36</v>
      </c>
      <c r="X121" s="181"/>
      <c r="Y121" s="181"/>
    </row>
    <row r="122" spans="1:25" ht="11.25">
      <c r="A122" s="162" t="s">
        <v>278</v>
      </c>
      <c r="B122" s="302">
        <v>482421.24</v>
      </c>
      <c r="C122" s="197">
        <v>0</v>
      </c>
      <c r="D122" s="197"/>
      <c r="E122" s="197"/>
      <c r="F122" s="197"/>
      <c r="G122" s="197"/>
      <c r="H122" s="197"/>
      <c r="I122" s="197"/>
      <c r="J122" s="198">
        <v>652645.38</v>
      </c>
      <c r="K122" s="198">
        <v>2108649.71</v>
      </c>
      <c r="L122" s="198">
        <v>2332895.08</v>
      </c>
      <c r="M122" s="198">
        <v>2018561.81</v>
      </c>
      <c r="N122" s="198">
        <v>979380.84</v>
      </c>
      <c r="O122" s="198">
        <v>205992.33</v>
      </c>
      <c r="P122" s="198">
        <v>2567669.81</v>
      </c>
      <c r="Q122" s="198">
        <v>2545871.49</v>
      </c>
      <c r="R122" s="198">
        <v>616703.99</v>
      </c>
      <c r="S122" s="198">
        <v>584698.14</v>
      </c>
      <c r="T122" s="198">
        <v>649716.71</v>
      </c>
      <c r="U122" s="198">
        <v>108856.22</v>
      </c>
      <c r="V122" s="198">
        <v>226643.75</v>
      </c>
      <c r="W122" s="181">
        <f>SUM(B122:V122)</f>
        <v>16080706.500000002</v>
      </c>
      <c r="X122" s="181"/>
      <c r="Y122" s="181"/>
    </row>
    <row r="123" spans="1:25" ht="11.25">
      <c r="A123" s="162" t="s">
        <v>279</v>
      </c>
      <c r="B123" s="181">
        <v>187535.59</v>
      </c>
      <c r="C123" s="197"/>
      <c r="D123" s="197"/>
      <c r="E123" s="197"/>
      <c r="F123" s="197"/>
      <c r="G123" s="197"/>
      <c r="H123" s="197"/>
      <c r="I123" s="197"/>
      <c r="J123" s="198"/>
      <c r="K123" s="198"/>
      <c r="L123" s="198"/>
      <c r="M123" s="198"/>
      <c r="N123" s="198"/>
      <c r="O123" s="198"/>
      <c r="P123" s="198"/>
      <c r="Q123" s="198"/>
      <c r="R123" s="206" t="s">
        <v>52</v>
      </c>
      <c r="S123" s="198"/>
      <c r="T123" s="198"/>
      <c r="U123" s="198"/>
      <c r="V123" s="198"/>
      <c r="W123" s="181">
        <f>SUM(B123:V123)</f>
        <v>187535.59</v>
      </c>
      <c r="X123" s="181"/>
      <c r="Y123" s="181"/>
    </row>
    <row r="124" spans="1:25" ht="11.25">
      <c r="A124" s="162" t="s">
        <v>48</v>
      </c>
      <c r="B124" s="181"/>
      <c r="C124" s="197"/>
      <c r="D124" s="197"/>
      <c r="E124" s="197"/>
      <c r="F124" s="197"/>
      <c r="G124" s="197"/>
      <c r="H124" s="197"/>
      <c r="I124" s="197"/>
      <c r="J124" s="198"/>
      <c r="K124" s="198"/>
      <c r="L124" s="198"/>
      <c r="M124" s="198"/>
      <c r="N124" s="198"/>
      <c r="O124" s="198"/>
      <c r="P124" s="198"/>
      <c r="Q124" s="198"/>
      <c r="R124" s="198"/>
      <c r="S124" s="198"/>
      <c r="T124" s="198"/>
      <c r="U124" s="198"/>
      <c r="V124" s="198"/>
      <c r="W124" s="181">
        <f>SUM(B124:V124)</f>
        <v>0</v>
      </c>
      <c r="X124" s="181"/>
      <c r="Y124" s="181"/>
    </row>
    <row r="125" spans="1:25" ht="11.25">
      <c r="A125" s="162" t="s">
        <v>192</v>
      </c>
      <c r="B125" s="181">
        <v>-854046.76</v>
      </c>
      <c r="C125" s="197">
        <v>104818</v>
      </c>
      <c r="D125" s="197">
        <v>-6068</v>
      </c>
      <c r="E125" s="197">
        <f>150454-75000</f>
        <v>75454</v>
      </c>
      <c r="F125" s="197">
        <f>15897+75000</f>
        <v>90897</v>
      </c>
      <c r="G125" s="197">
        <v>-3849</v>
      </c>
      <c r="H125" s="197">
        <v>177220</v>
      </c>
      <c r="I125" s="197">
        <v>71528</v>
      </c>
      <c r="J125" s="198">
        <v>14410</v>
      </c>
      <c r="K125" s="198">
        <v>49360.36</v>
      </c>
      <c r="L125" s="198">
        <v>51654</v>
      </c>
      <c r="M125" s="198">
        <f>43395+25000</f>
        <v>68395</v>
      </c>
      <c r="N125" s="198">
        <v>21398.4</v>
      </c>
      <c r="O125" s="198">
        <v>4554</v>
      </c>
      <c r="P125" s="198">
        <v>56752</v>
      </c>
      <c r="Q125" s="198">
        <v>55278</v>
      </c>
      <c r="R125" s="198">
        <v>13608</v>
      </c>
      <c r="S125" s="198">
        <f>13213-50000</f>
        <v>-36787</v>
      </c>
      <c r="T125" s="198">
        <f>-31856-25000</f>
        <v>-56856</v>
      </c>
      <c r="U125" s="198">
        <v>2298</v>
      </c>
      <c r="V125" s="198">
        <f>49982+50000</f>
        <v>99982</v>
      </c>
      <c r="W125" s="181">
        <f>SUM(B125:V125)</f>
        <v>0</v>
      </c>
      <c r="X125" s="181"/>
      <c r="Y125" s="181"/>
    </row>
    <row r="126" spans="2:25" ht="10.5">
      <c r="B126" s="205"/>
      <c r="C126" s="203"/>
      <c r="D126" s="203"/>
      <c r="E126" s="203"/>
      <c r="F126" s="203"/>
      <c r="G126" s="203"/>
      <c r="H126" s="203"/>
      <c r="I126" s="203"/>
      <c r="J126" s="204"/>
      <c r="K126" s="204"/>
      <c r="L126" s="204"/>
      <c r="M126" s="204"/>
      <c r="N126" s="204"/>
      <c r="O126" s="204"/>
      <c r="P126" s="204"/>
      <c r="Q126" s="204"/>
      <c r="R126" s="204"/>
      <c r="S126" s="204"/>
      <c r="T126" s="204"/>
      <c r="U126" s="204"/>
      <c r="V126" s="204"/>
      <c r="W126" s="201" t="s">
        <v>52</v>
      </c>
      <c r="X126" s="181"/>
      <c r="Y126" s="181"/>
    </row>
    <row r="127" spans="1:25" ht="11.25">
      <c r="A127" s="159" t="s">
        <v>49</v>
      </c>
      <c r="B127" s="273">
        <f>SUM(B121:B125)</f>
        <v>527924.3800000001</v>
      </c>
      <c r="C127" s="274">
        <f aca="true" t="shared" si="18" ref="C127:W127">SUM(C121:C125)</f>
        <v>4648362.1</v>
      </c>
      <c r="D127" s="274">
        <f t="shared" si="18"/>
        <v>8930.94</v>
      </c>
      <c r="E127" s="274">
        <f t="shared" si="18"/>
        <v>6577291.77</v>
      </c>
      <c r="F127" s="274">
        <f t="shared" si="18"/>
        <v>815198.53</v>
      </c>
      <c r="G127" s="274">
        <f t="shared" si="18"/>
        <v>826.2700000000004</v>
      </c>
      <c r="H127" s="274">
        <f t="shared" si="18"/>
        <v>8155418.43</v>
      </c>
      <c r="I127" s="274">
        <f t="shared" si="18"/>
        <v>3325767.01</v>
      </c>
      <c r="J127" s="275">
        <f t="shared" si="18"/>
        <v>667055.38</v>
      </c>
      <c r="K127" s="275">
        <f t="shared" si="18"/>
        <v>2158010.07</v>
      </c>
      <c r="L127" s="275">
        <f t="shared" si="18"/>
        <v>2384549.08</v>
      </c>
      <c r="M127" s="275">
        <f t="shared" si="18"/>
        <v>2086956.81</v>
      </c>
      <c r="N127" s="275">
        <f t="shared" si="18"/>
        <v>1000779.24</v>
      </c>
      <c r="O127" s="275">
        <f t="shared" si="18"/>
        <v>210546.33</v>
      </c>
      <c r="P127" s="275">
        <f t="shared" si="18"/>
        <v>2624421.81</v>
      </c>
      <c r="Q127" s="275">
        <f t="shared" si="18"/>
        <v>2601149.49</v>
      </c>
      <c r="R127" s="275">
        <f t="shared" si="18"/>
        <v>630311.99</v>
      </c>
      <c r="S127" s="275">
        <f t="shared" si="18"/>
        <v>547911.14</v>
      </c>
      <c r="T127" s="275">
        <f t="shared" si="18"/>
        <v>592860.71</v>
      </c>
      <c r="U127" s="275">
        <f t="shared" si="18"/>
        <v>111154.22</v>
      </c>
      <c r="V127" s="275">
        <f t="shared" si="18"/>
        <v>326625.75</v>
      </c>
      <c r="W127" s="273">
        <f t="shared" si="18"/>
        <v>40002051.45</v>
      </c>
      <c r="X127" s="181"/>
      <c r="Y127" s="181"/>
    </row>
    <row r="128" spans="2:25" ht="10.5">
      <c r="B128" s="181"/>
      <c r="C128" s="197"/>
      <c r="D128" s="197"/>
      <c r="E128" s="197"/>
      <c r="F128" s="197"/>
      <c r="G128" s="197"/>
      <c r="H128" s="197"/>
      <c r="I128" s="197"/>
      <c r="J128" s="198"/>
      <c r="K128" s="198"/>
      <c r="L128" s="198"/>
      <c r="M128" s="198"/>
      <c r="N128" s="198"/>
      <c r="O128" s="198"/>
      <c r="P128" s="198"/>
      <c r="Q128" s="198"/>
      <c r="R128" s="198"/>
      <c r="S128" s="198"/>
      <c r="T128" s="198"/>
      <c r="U128" s="198"/>
      <c r="V128" s="198"/>
      <c r="W128" s="181"/>
      <c r="X128" s="181"/>
      <c r="Y128" s="181"/>
    </row>
    <row r="129" spans="1:25" ht="11.25">
      <c r="A129" s="159" t="s">
        <v>50</v>
      </c>
      <c r="B129" s="181"/>
      <c r="C129" s="197"/>
      <c r="D129" s="197"/>
      <c r="E129" s="197"/>
      <c r="F129" s="197"/>
      <c r="G129" s="197"/>
      <c r="H129" s="197"/>
      <c r="I129" s="197"/>
      <c r="J129" s="198"/>
      <c r="K129" s="198"/>
      <c r="L129" s="198"/>
      <c r="M129" s="198"/>
      <c r="N129" s="198"/>
      <c r="O129" s="198"/>
      <c r="P129" s="198"/>
      <c r="Q129" s="198"/>
      <c r="R129" s="198"/>
      <c r="S129" s="198"/>
      <c r="T129" s="198"/>
      <c r="U129" s="198"/>
      <c r="V129" s="198"/>
      <c r="W129" s="181"/>
      <c r="X129" s="181"/>
      <c r="Y129" s="181"/>
    </row>
    <row r="130" spans="1:25" ht="11.25">
      <c r="A130" s="167" t="s">
        <v>204</v>
      </c>
      <c r="B130" s="181">
        <f>622943.94+344.55</f>
        <v>623288.49</v>
      </c>
      <c r="C130" s="197"/>
      <c r="D130" s="197"/>
      <c r="E130" s="197"/>
      <c r="F130" s="197"/>
      <c r="G130" s="197"/>
      <c r="H130" s="197"/>
      <c r="I130" s="197"/>
      <c r="J130" s="198"/>
      <c r="K130" s="198"/>
      <c r="L130" s="198"/>
      <c r="M130" s="198"/>
      <c r="N130" s="198"/>
      <c r="O130" s="198"/>
      <c r="P130" s="198"/>
      <c r="Q130" s="198"/>
      <c r="R130" s="198"/>
      <c r="S130" s="198"/>
      <c r="T130" s="198"/>
      <c r="U130" s="198"/>
      <c r="V130" s="198"/>
      <c r="W130" s="181">
        <f>SUM(B130:V130)</f>
        <v>623288.49</v>
      </c>
      <c r="X130" s="181"/>
      <c r="Y130" s="181"/>
    </row>
    <row r="131" spans="1:25" ht="11.25">
      <c r="A131" s="162" t="s">
        <v>189</v>
      </c>
      <c r="B131" s="181">
        <f>64611.14+2193.85</f>
        <v>66804.99</v>
      </c>
      <c r="C131" s="197">
        <v>352330.37</v>
      </c>
      <c r="D131" s="197">
        <v>0</v>
      </c>
      <c r="E131" s="197">
        <v>432646</v>
      </c>
      <c r="F131" s="197">
        <v>89261.79</v>
      </c>
      <c r="G131" s="197">
        <v>0</v>
      </c>
      <c r="H131" s="197">
        <v>840527.26</v>
      </c>
      <c r="I131" s="197">
        <v>114475.9</v>
      </c>
      <c r="J131" s="198">
        <v>61927</v>
      </c>
      <c r="K131" s="198">
        <v>231627.43</v>
      </c>
      <c r="L131" s="198">
        <v>145620.71</v>
      </c>
      <c r="M131" s="198">
        <v>130172</v>
      </c>
      <c r="N131" s="198">
        <v>111583.4</v>
      </c>
      <c r="O131" s="198">
        <v>21029</v>
      </c>
      <c r="P131" s="198">
        <v>218370</v>
      </c>
      <c r="Q131" s="198">
        <v>250725.78</v>
      </c>
      <c r="R131" s="198">
        <v>20580.55</v>
      </c>
      <c r="S131" s="198">
        <v>40529.55</v>
      </c>
      <c r="T131" s="198">
        <v>37979.38</v>
      </c>
      <c r="U131" s="198">
        <v>10368</v>
      </c>
      <c r="V131" s="198">
        <v>22648.53</v>
      </c>
      <c r="W131" s="181">
        <f>SUM(B131:V131)</f>
        <v>3199207.639999999</v>
      </c>
      <c r="X131" s="181"/>
      <c r="Y131" s="181"/>
    </row>
    <row r="132" spans="1:25" ht="11.25">
      <c r="A132" s="162" t="s">
        <v>187</v>
      </c>
      <c r="B132" s="181"/>
      <c r="C132" s="197">
        <v>646963.86</v>
      </c>
      <c r="D132" s="197"/>
      <c r="E132" s="197">
        <v>1097296</v>
      </c>
      <c r="F132" s="197">
        <v>125657.48</v>
      </c>
      <c r="G132" s="197">
        <v>0</v>
      </c>
      <c r="H132" s="197">
        <v>891730.34</v>
      </c>
      <c r="I132" s="197">
        <v>235359.01</v>
      </c>
      <c r="J132" s="198">
        <v>84991</v>
      </c>
      <c r="K132" s="198">
        <v>182842.96</v>
      </c>
      <c r="L132" s="198">
        <v>224082.24</v>
      </c>
      <c r="M132" s="198">
        <v>358751</v>
      </c>
      <c r="N132" s="198">
        <v>150769.72</v>
      </c>
      <c r="O132" s="198">
        <v>26997</v>
      </c>
      <c r="P132" s="198">
        <v>391971</v>
      </c>
      <c r="Q132" s="198">
        <v>321674.05</v>
      </c>
      <c r="R132" s="198">
        <v>45312.74</v>
      </c>
      <c r="S132" s="198">
        <v>68020.63</v>
      </c>
      <c r="T132" s="198">
        <v>121219.7</v>
      </c>
      <c r="U132" s="198">
        <v>9847</v>
      </c>
      <c r="V132" s="198">
        <v>38697.91</v>
      </c>
      <c r="W132" s="181">
        <f>SUM(B132:V132)</f>
        <v>5022183.64</v>
      </c>
      <c r="X132" s="181"/>
      <c r="Y132" s="181"/>
    </row>
    <row r="133" spans="1:25" ht="11.25">
      <c r="A133" s="162" t="s">
        <v>188</v>
      </c>
      <c r="B133" s="181">
        <v>0</v>
      </c>
      <c r="C133" s="197">
        <v>3723958</v>
      </c>
      <c r="D133" s="197">
        <v>0</v>
      </c>
      <c r="E133" s="197">
        <v>5662412.6</v>
      </c>
      <c r="F133" s="197">
        <v>660410</v>
      </c>
      <c r="G133" s="197">
        <v>0</v>
      </c>
      <c r="H133" s="197">
        <v>8536162</v>
      </c>
      <c r="I133" s="197">
        <v>3492789</v>
      </c>
      <c r="J133" s="198">
        <v>621585</v>
      </c>
      <c r="K133" s="198">
        <v>1904774.88</v>
      </c>
      <c r="L133" s="198">
        <v>2244610.57</v>
      </c>
      <c r="M133" s="198">
        <v>1865197.61</v>
      </c>
      <c r="N133" s="198">
        <v>770449</v>
      </c>
      <c r="O133" s="198">
        <v>177613</v>
      </c>
      <c r="P133" s="198">
        <v>2587746</v>
      </c>
      <c r="Q133" s="198">
        <v>2470739</v>
      </c>
      <c r="R133" s="198">
        <v>661265</v>
      </c>
      <c r="S133" s="198">
        <v>443293</v>
      </c>
      <c r="T133" s="198">
        <v>613407</v>
      </c>
      <c r="U133" s="198">
        <v>105038</v>
      </c>
      <c r="V133" s="198">
        <v>233887</v>
      </c>
      <c r="W133" s="181">
        <f>SUM(B133:V133)</f>
        <v>36775336.66</v>
      </c>
      <c r="X133" s="181"/>
      <c r="Y133" s="181"/>
    </row>
    <row r="134" spans="1:25" ht="11.25">
      <c r="A134" s="162" t="s">
        <v>52</v>
      </c>
      <c r="B134" s="205"/>
      <c r="C134" s="203"/>
      <c r="D134" s="203"/>
      <c r="E134" s="203"/>
      <c r="F134" s="203"/>
      <c r="G134" s="203"/>
      <c r="H134" s="203"/>
      <c r="I134" s="203"/>
      <c r="J134" s="204"/>
      <c r="K134" s="204"/>
      <c r="L134" s="204"/>
      <c r="M134" s="204"/>
      <c r="N134" s="204"/>
      <c r="O134" s="204"/>
      <c r="P134" s="204"/>
      <c r="Q134" s="204"/>
      <c r="R134" s="204"/>
      <c r="S134" s="204"/>
      <c r="T134" s="204"/>
      <c r="U134" s="204"/>
      <c r="V134" s="204"/>
      <c r="W134" s="205"/>
      <c r="X134" s="181"/>
      <c r="Y134" s="181"/>
    </row>
    <row r="135" spans="1:25" ht="11.25">
      <c r="A135" s="159" t="s">
        <v>51</v>
      </c>
      <c r="B135" s="181">
        <f>SUM(B130:B134)</f>
        <v>690093.48</v>
      </c>
      <c r="C135" s="197">
        <f aca="true" t="shared" si="19" ref="C135:V135">SUM(C131:C134)</f>
        <v>4723252.23</v>
      </c>
      <c r="D135" s="197">
        <f t="shared" si="19"/>
        <v>0</v>
      </c>
      <c r="E135" s="197">
        <f t="shared" si="19"/>
        <v>7192354.6</v>
      </c>
      <c r="F135" s="197">
        <f t="shared" si="19"/>
        <v>875329.27</v>
      </c>
      <c r="G135" s="197">
        <f t="shared" si="19"/>
        <v>0</v>
      </c>
      <c r="H135" s="197">
        <f t="shared" si="19"/>
        <v>10268419.6</v>
      </c>
      <c r="I135" s="197">
        <f t="shared" si="19"/>
        <v>3842623.91</v>
      </c>
      <c r="J135" s="198">
        <f t="shared" si="19"/>
        <v>768503</v>
      </c>
      <c r="K135" s="198">
        <f t="shared" si="19"/>
        <v>2319245.27</v>
      </c>
      <c r="L135" s="198">
        <f t="shared" si="19"/>
        <v>2614313.5199999996</v>
      </c>
      <c r="M135" s="198">
        <f t="shared" si="19"/>
        <v>2354120.6100000003</v>
      </c>
      <c r="N135" s="198">
        <f t="shared" si="19"/>
        <v>1032802.12</v>
      </c>
      <c r="O135" s="198">
        <f t="shared" si="19"/>
        <v>225639</v>
      </c>
      <c r="P135" s="198">
        <f t="shared" si="19"/>
        <v>3198087</v>
      </c>
      <c r="Q135" s="198">
        <f t="shared" si="19"/>
        <v>3043138.83</v>
      </c>
      <c r="R135" s="198">
        <f t="shared" si="19"/>
        <v>727158.29</v>
      </c>
      <c r="S135" s="198">
        <f t="shared" si="19"/>
        <v>551843.18</v>
      </c>
      <c r="T135" s="198">
        <f t="shared" si="19"/>
        <v>772606.08</v>
      </c>
      <c r="U135" s="198">
        <f t="shared" si="19"/>
        <v>125253</v>
      </c>
      <c r="V135" s="198">
        <f t="shared" si="19"/>
        <v>295233.44</v>
      </c>
      <c r="W135" s="181">
        <f>SUM(B135:V135)</f>
        <v>45620016.42999999</v>
      </c>
      <c r="X135" s="181"/>
      <c r="Y135" s="181"/>
    </row>
    <row r="136" spans="1:25" ht="10.5">
      <c r="A136" s="48"/>
      <c r="B136" s="181"/>
      <c r="C136" s="197"/>
      <c r="D136" s="197"/>
      <c r="E136" s="197"/>
      <c r="F136" s="197"/>
      <c r="G136" s="197"/>
      <c r="H136" s="197"/>
      <c r="I136" s="197"/>
      <c r="J136" s="198"/>
      <c r="K136" s="198"/>
      <c r="L136" s="198"/>
      <c r="M136" s="198"/>
      <c r="N136" s="198"/>
      <c r="O136" s="198"/>
      <c r="P136" s="198"/>
      <c r="Q136" s="198"/>
      <c r="R136" s="198"/>
      <c r="S136" s="198"/>
      <c r="T136" s="198"/>
      <c r="U136" s="198"/>
      <c r="V136" s="198"/>
      <c r="W136" s="181"/>
      <c r="X136" s="181"/>
      <c r="Y136" s="181"/>
    </row>
    <row r="137" spans="1:25" ht="10.5">
      <c r="A137" s="48"/>
      <c r="B137" s="205"/>
      <c r="C137" s="203"/>
      <c r="D137" s="203"/>
      <c r="E137" s="203"/>
      <c r="F137" s="203"/>
      <c r="G137" s="203"/>
      <c r="H137" s="203"/>
      <c r="I137" s="203"/>
      <c r="J137" s="204"/>
      <c r="K137" s="204"/>
      <c r="L137" s="204"/>
      <c r="M137" s="204"/>
      <c r="N137" s="204"/>
      <c r="O137" s="204"/>
      <c r="P137" s="204"/>
      <c r="Q137" s="204"/>
      <c r="R137" s="204"/>
      <c r="S137" s="204"/>
      <c r="T137" s="204"/>
      <c r="U137" s="204"/>
      <c r="V137" s="204"/>
      <c r="W137" s="205"/>
      <c r="X137" s="181"/>
      <c r="Y137" s="181"/>
    </row>
    <row r="138" spans="1:25" ht="12" thickBot="1">
      <c r="A138" s="159" t="s">
        <v>479</v>
      </c>
      <c r="B138" s="207">
        <f>B118+B127-B135</f>
        <v>274883.39000000013</v>
      </c>
      <c r="C138" s="208">
        <f>C118+C127-C135</f>
        <v>1458765.7799999993</v>
      </c>
      <c r="D138" s="208">
        <f>D118+D127-D135</f>
        <v>12498.050000000001</v>
      </c>
      <c r="E138" s="208">
        <f aca="true" t="shared" si="20" ref="E138:V138">E118+E127-E135</f>
        <v>798533.1099999994</v>
      </c>
      <c r="F138" s="208">
        <f t="shared" si="20"/>
        <v>79396.68999999994</v>
      </c>
      <c r="G138" s="208">
        <f t="shared" si="20"/>
        <v>2215.4300000000003</v>
      </c>
      <c r="H138" s="208">
        <f t="shared" si="20"/>
        <v>1085996.4000000004</v>
      </c>
      <c r="I138" s="208">
        <f t="shared" si="20"/>
        <v>306698.86999999965</v>
      </c>
      <c r="J138" s="209">
        <f t="shared" si="20"/>
        <v>54979.78000000003</v>
      </c>
      <c r="K138" s="209">
        <f t="shared" si="20"/>
        <v>130917.72999999998</v>
      </c>
      <c r="L138" s="209">
        <f t="shared" si="20"/>
        <v>362366.80000000075</v>
      </c>
      <c r="M138" s="209">
        <f t="shared" si="20"/>
        <v>271806.64999999944</v>
      </c>
      <c r="N138" s="209">
        <f t="shared" si="20"/>
        <v>59568.640000000014</v>
      </c>
      <c r="O138" s="209">
        <f t="shared" si="20"/>
        <v>16985.399999999994</v>
      </c>
      <c r="P138" s="209">
        <f t="shared" si="20"/>
        <v>216353.3500000001</v>
      </c>
      <c r="Q138" s="209">
        <f t="shared" si="20"/>
        <v>657775.29</v>
      </c>
      <c r="R138" s="209">
        <f t="shared" si="20"/>
        <v>65922.87</v>
      </c>
      <c r="S138" s="209">
        <f t="shared" si="20"/>
        <v>153814.92999999993</v>
      </c>
      <c r="T138" s="209">
        <f t="shared" si="20"/>
        <v>122646.47999999998</v>
      </c>
      <c r="U138" s="209">
        <f t="shared" si="20"/>
        <v>10888.100000000006</v>
      </c>
      <c r="V138" s="209">
        <f t="shared" si="20"/>
        <v>58557.27000000002</v>
      </c>
      <c r="W138" s="207">
        <f>SUM(B138:V138)</f>
        <v>6201571.009999998</v>
      </c>
      <c r="X138" s="181"/>
      <c r="Y138" s="181" t="s">
        <v>52</v>
      </c>
    </row>
    <row r="139" spans="2:25" ht="11.25" thickTop="1">
      <c r="B139" s="181"/>
      <c r="C139" s="197"/>
      <c r="D139" s="197"/>
      <c r="E139" s="197"/>
      <c r="F139" s="197"/>
      <c r="G139" s="197"/>
      <c r="H139" s="197"/>
      <c r="I139" s="197"/>
      <c r="J139" s="198"/>
      <c r="K139" s="198"/>
      <c r="L139" s="198"/>
      <c r="M139" s="198"/>
      <c r="N139" s="198"/>
      <c r="O139" s="198"/>
      <c r="P139" s="198"/>
      <c r="Q139" s="198"/>
      <c r="R139" s="198"/>
      <c r="S139" s="198"/>
      <c r="T139" s="198"/>
      <c r="U139" s="198"/>
      <c r="V139" s="198"/>
      <c r="W139" s="181"/>
      <c r="X139" s="181"/>
      <c r="Y139" s="181"/>
    </row>
    <row r="140" spans="2:25" ht="10.5">
      <c r="B140" s="181"/>
      <c r="C140" s="197"/>
      <c r="D140" s="197"/>
      <c r="E140" s="197"/>
      <c r="F140" s="197"/>
      <c r="G140" s="197"/>
      <c r="H140" s="197"/>
      <c r="I140" s="197"/>
      <c r="J140" s="198"/>
      <c r="K140" s="198"/>
      <c r="L140" s="198"/>
      <c r="M140" s="198"/>
      <c r="N140" s="198"/>
      <c r="O140" s="198"/>
      <c r="P140" s="198"/>
      <c r="Q140" s="198"/>
      <c r="R140" s="198"/>
      <c r="S140" s="198"/>
      <c r="T140" s="198"/>
      <c r="U140" s="198"/>
      <c r="V140" s="198"/>
      <c r="W140" s="181"/>
      <c r="X140" s="181"/>
      <c r="Y140" s="181"/>
    </row>
    <row r="141" spans="1:25" ht="11.25">
      <c r="A141" s="166" t="s">
        <v>480</v>
      </c>
      <c r="B141" s="181">
        <v>0</v>
      </c>
      <c r="C141" s="197">
        <v>0</v>
      </c>
      <c r="D141" s="197">
        <v>0</v>
      </c>
      <c r="E141" s="197">
        <v>0</v>
      </c>
      <c r="F141" s="197">
        <v>0</v>
      </c>
      <c r="G141" s="197">
        <v>0</v>
      </c>
      <c r="H141" s="197">
        <v>0</v>
      </c>
      <c r="I141" s="197">
        <v>0</v>
      </c>
      <c r="J141" s="206">
        <v>0</v>
      </c>
      <c r="K141" s="198">
        <v>0</v>
      </c>
      <c r="L141" s="198">
        <v>0</v>
      </c>
      <c r="M141" s="198">
        <v>0</v>
      </c>
      <c r="N141" s="198">
        <v>0</v>
      </c>
      <c r="O141" s="198">
        <v>0</v>
      </c>
      <c r="P141" s="198">
        <v>0</v>
      </c>
      <c r="Q141" s="198">
        <v>0</v>
      </c>
      <c r="R141" s="198">
        <v>0</v>
      </c>
      <c r="S141" s="198">
        <v>0</v>
      </c>
      <c r="T141" s="198">
        <v>0</v>
      </c>
      <c r="U141" s="198">
        <v>0</v>
      </c>
      <c r="V141" s="198">
        <v>0</v>
      </c>
      <c r="W141" s="181">
        <f>SUM(B141:V141)</f>
        <v>0</v>
      </c>
      <c r="X141" s="181"/>
      <c r="Y141" s="181"/>
    </row>
    <row r="142" spans="1:25" ht="11.25">
      <c r="A142" s="166" t="s">
        <v>481</v>
      </c>
      <c r="B142" s="181">
        <f>4643.86+927.4</f>
        <v>5571.259999999999</v>
      </c>
      <c r="C142" s="197">
        <f>177168.61+892414.68+203504.42</f>
        <v>1273087.71</v>
      </c>
      <c r="D142" s="197">
        <v>11870</v>
      </c>
      <c r="E142" s="197">
        <f>222271+203137.4+105888</f>
        <v>531296.4</v>
      </c>
      <c r="F142" s="197">
        <f>3558.86+20612+25710.52</f>
        <v>49881.380000000005</v>
      </c>
      <c r="G142" s="197">
        <v>1977</v>
      </c>
      <c r="H142" s="197">
        <f>264083.6+370633.82+125957.24</f>
        <v>760674.6599999999</v>
      </c>
      <c r="I142" s="197">
        <f>101552+217.93+73823</f>
        <v>175592.93</v>
      </c>
      <c r="J142" s="198">
        <f>10182+2771.6+15042</f>
        <v>27995.6</v>
      </c>
      <c r="K142" s="198">
        <f>7021+8169.2+31963</f>
        <v>47153.2</v>
      </c>
      <c r="L142" s="198">
        <f>61865+205775.95</f>
        <v>267640.95</v>
      </c>
      <c r="M142" s="198">
        <f>63625+101592.79+24322</f>
        <v>189539.78999999998</v>
      </c>
      <c r="N142" s="198">
        <f>2150.6+14441.17+3929.28</f>
        <v>20521.05</v>
      </c>
      <c r="O142" s="198">
        <f>6519.83+2104.5</f>
        <v>8624.33</v>
      </c>
      <c r="P142" s="198">
        <f>62776+30698.88+14973.12</f>
        <v>108448</v>
      </c>
      <c r="Q142" s="198">
        <f>110481.41+378643.24+66111.68</f>
        <v>555236.3300000001</v>
      </c>
      <c r="R142" s="198">
        <f>21739+12776.71+6634</f>
        <v>41149.71</v>
      </c>
      <c r="S142" s="198">
        <f>28975.72+67212+33696.1</f>
        <v>129883.82</v>
      </c>
      <c r="T142" s="198">
        <f>6454.97+83542.45+8420.99</f>
        <v>98418.41</v>
      </c>
      <c r="U142" s="198">
        <f>2445+3467+725</f>
        <v>6637</v>
      </c>
      <c r="V142" s="198">
        <f>9395.58+24190.79+16093.61</f>
        <v>49679.98</v>
      </c>
      <c r="W142" s="181">
        <f>SUM(B142:V142)</f>
        <v>4360879.510000002</v>
      </c>
      <c r="X142" s="181"/>
      <c r="Y142" s="181"/>
    </row>
    <row r="143" spans="1:25" ht="11.25">
      <c r="A143" s="167" t="s">
        <v>52</v>
      </c>
      <c r="B143" s="201" t="s">
        <v>53</v>
      </c>
      <c r="C143" s="203" t="s">
        <v>52</v>
      </c>
      <c r="D143" s="203"/>
      <c r="E143" s="203"/>
      <c r="F143" s="203"/>
      <c r="G143" s="203"/>
      <c r="H143" s="203"/>
      <c r="I143" s="203"/>
      <c r="J143" s="204"/>
      <c r="K143" s="204"/>
      <c r="L143" s="204"/>
      <c r="M143" s="204"/>
      <c r="N143" s="204"/>
      <c r="O143" s="204"/>
      <c r="P143" s="204"/>
      <c r="Q143" s="204"/>
      <c r="R143" s="204"/>
      <c r="S143" s="204"/>
      <c r="T143" s="204"/>
      <c r="U143" s="204"/>
      <c r="V143" s="204"/>
      <c r="W143" s="205"/>
      <c r="X143" s="181"/>
      <c r="Y143" s="181"/>
    </row>
    <row r="144" spans="1:25" ht="11.25">
      <c r="A144" s="159"/>
      <c r="B144" s="181">
        <f>SUM(B141:B143)</f>
        <v>5571.259999999999</v>
      </c>
      <c r="C144" s="197">
        <f aca="true" t="shared" si="21" ref="C144:V144">SUM(C141:C143)</f>
        <v>1273087.71</v>
      </c>
      <c r="D144" s="197">
        <f t="shared" si="21"/>
        <v>11870</v>
      </c>
      <c r="E144" s="197">
        <f t="shared" si="21"/>
        <v>531296.4</v>
      </c>
      <c r="F144" s="197">
        <f t="shared" si="21"/>
        <v>49881.380000000005</v>
      </c>
      <c r="G144" s="197">
        <f t="shared" si="21"/>
        <v>1977</v>
      </c>
      <c r="H144" s="197">
        <f t="shared" si="21"/>
        <v>760674.6599999999</v>
      </c>
      <c r="I144" s="197">
        <f t="shared" si="21"/>
        <v>175592.93</v>
      </c>
      <c r="J144" s="198">
        <f t="shared" si="21"/>
        <v>27995.6</v>
      </c>
      <c r="K144" s="198">
        <f t="shared" si="21"/>
        <v>47153.2</v>
      </c>
      <c r="L144" s="198">
        <f t="shared" si="21"/>
        <v>267640.95</v>
      </c>
      <c r="M144" s="198">
        <f t="shared" si="21"/>
        <v>189539.78999999998</v>
      </c>
      <c r="N144" s="198">
        <f t="shared" si="21"/>
        <v>20521.05</v>
      </c>
      <c r="O144" s="198">
        <f t="shared" si="21"/>
        <v>8624.33</v>
      </c>
      <c r="P144" s="198">
        <f t="shared" si="21"/>
        <v>108448</v>
      </c>
      <c r="Q144" s="198">
        <f t="shared" si="21"/>
        <v>555236.3300000001</v>
      </c>
      <c r="R144" s="198">
        <f t="shared" si="21"/>
        <v>41149.71</v>
      </c>
      <c r="S144" s="198">
        <f t="shared" si="21"/>
        <v>129883.82</v>
      </c>
      <c r="T144" s="198">
        <f t="shared" si="21"/>
        <v>98418.41</v>
      </c>
      <c r="U144" s="198">
        <f t="shared" si="21"/>
        <v>6637</v>
      </c>
      <c r="V144" s="198">
        <f t="shared" si="21"/>
        <v>49679.98</v>
      </c>
      <c r="W144" s="181">
        <f>SUM(B144:V144)</f>
        <v>4360879.510000002</v>
      </c>
      <c r="X144" s="181"/>
      <c r="Y144" s="181"/>
    </row>
    <row r="145" spans="1:25" ht="11.25">
      <c r="A145" s="168"/>
      <c r="B145" s="205"/>
      <c r="C145" s="203"/>
      <c r="D145" s="203"/>
      <c r="E145" s="203"/>
      <c r="F145" s="203"/>
      <c r="G145" s="203"/>
      <c r="H145" s="203"/>
      <c r="I145" s="203"/>
      <c r="J145" s="204"/>
      <c r="K145" s="204"/>
      <c r="L145" s="204"/>
      <c r="M145" s="204"/>
      <c r="N145" s="204"/>
      <c r="O145" s="204"/>
      <c r="P145" s="204"/>
      <c r="Q145" s="204"/>
      <c r="R145" s="204"/>
      <c r="S145" s="204"/>
      <c r="T145" s="204"/>
      <c r="U145" s="204"/>
      <c r="V145" s="204"/>
      <c r="W145" s="205"/>
      <c r="X145" s="181"/>
      <c r="Y145" s="181"/>
    </row>
    <row r="146" spans="1:25" ht="12" thickBot="1">
      <c r="A146" s="159" t="s">
        <v>482</v>
      </c>
      <c r="B146" s="207">
        <f aca="true" t="shared" si="22" ref="B146:V146">B138-B144</f>
        <v>269312.1300000001</v>
      </c>
      <c r="C146" s="208">
        <f t="shared" si="22"/>
        <v>185678.06999999937</v>
      </c>
      <c r="D146" s="208">
        <f t="shared" si="22"/>
        <v>628.0500000000011</v>
      </c>
      <c r="E146" s="208">
        <f t="shared" si="22"/>
        <v>267236.7099999994</v>
      </c>
      <c r="F146" s="208">
        <f t="shared" si="22"/>
        <v>29515.30999999994</v>
      </c>
      <c r="G146" s="208">
        <f t="shared" si="22"/>
        <v>238.4300000000003</v>
      </c>
      <c r="H146" s="208">
        <f t="shared" si="22"/>
        <v>325321.74000000046</v>
      </c>
      <c r="I146" s="208">
        <f t="shared" si="22"/>
        <v>131105.93999999965</v>
      </c>
      <c r="J146" s="209">
        <f t="shared" si="22"/>
        <v>26984.18000000003</v>
      </c>
      <c r="K146" s="209">
        <f t="shared" si="22"/>
        <v>83764.52999999998</v>
      </c>
      <c r="L146" s="209">
        <f t="shared" si="22"/>
        <v>94725.85000000073</v>
      </c>
      <c r="M146" s="209">
        <f t="shared" si="22"/>
        <v>82266.85999999946</v>
      </c>
      <c r="N146" s="209">
        <f t="shared" si="22"/>
        <v>39047.59000000001</v>
      </c>
      <c r="O146" s="209">
        <f t="shared" si="22"/>
        <v>8361.069999999994</v>
      </c>
      <c r="P146" s="209">
        <f t="shared" si="22"/>
        <v>107905.3500000001</v>
      </c>
      <c r="Q146" s="209">
        <f t="shared" si="22"/>
        <v>102538.95999999996</v>
      </c>
      <c r="R146" s="209">
        <f t="shared" si="22"/>
        <v>24773.159999999996</v>
      </c>
      <c r="S146" s="209">
        <f t="shared" si="22"/>
        <v>23931.109999999928</v>
      </c>
      <c r="T146" s="209">
        <f t="shared" si="22"/>
        <v>24228.069999999978</v>
      </c>
      <c r="U146" s="209">
        <f t="shared" si="22"/>
        <v>4251.100000000006</v>
      </c>
      <c r="V146" s="209">
        <f t="shared" si="22"/>
        <v>8877.290000000015</v>
      </c>
      <c r="W146" s="207">
        <f>SUM(B146:V146)</f>
        <v>1840691.4999999993</v>
      </c>
      <c r="X146" s="181"/>
      <c r="Y146" s="181"/>
    </row>
    <row r="147" spans="2:25" ht="11.25" thickTop="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row>
    <row r="148" spans="2:25" ht="10.5">
      <c r="B148" s="181"/>
      <c r="C148" s="181"/>
      <c r="D148" s="181" t="s">
        <v>52</v>
      </c>
      <c r="E148" s="181"/>
      <c r="F148" s="181"/>
      <c r="G148" s="181" t="s">
        <v>52</v>
      </c>
      <c r="H148" s="181"/>
      <c r="I148" s="181"/>
      <c r="J148" s="181"/>
      <c r="K148" s="181" t="s">
        <v>52</v>
      </c>
      <c r="L148" s="181"/>
      <c r="M148" s="181"/>
      <c r="N148" s="181"/>
      <c r="O148" s="181"/>
      <c r="P148" s="181"/>
      <c r="Q148" s="181"/>
      <c r="R148" s="181"/>
      <c r="S148" s="181" t="s">
        <v>52</v>
      </c>
      <c r="T148" s="181"/>
      <c r="U148" s="181"/>
      <c r="V148" s="181" t="s">
        <v>52</v>
      </c>
      <c r="W148" s="181"/>
      <c r="X148" s="181"/>
      <c r="Y148" s="181"/>
    </row>
    <row r="149" spans="1:25" ht="10.5">
      <c r="A149" s="214" t="s">
        <v>52</v>
      </c>
      <c r="B149" s="181" t="s">
        <v>52</v>
      </c>
      <c r="C149" s="181" t="s">
        <v>52</v>
      </c>
      <c r="D149" s="181" t="s">
        <v>52</v>
      </c>
      <c r="E149" s="181" t="s">
        <v>52</v>
      </c>
      <c r="F149" s="181" t="s">
        <v>52</v>
      </c>
      <c r="G149" s="181" t="s">
        <v>52</v>
      </c>
      <c r="H149" s="181" t="s">
        <v>52</v>
      </c>
      <c r="I149" s="181" t="s">
        <v>52</v>
      </c>
      <c r="J149" s="181" t="s">
        <v>52</v>
      </c>
      <c r="K149" s="181" t="s">
        <v>52</v>
      </c>
      <c r="L149" s="181" t="s">
        <v>52</v>
      </c>
      <c r="M149" s="181" t="s">
        <v>52</v>
      </c>
      <c r="N149" s="181" t="s">
        <v>52</v>
      </c>
      <c r="O149" s="181" t="s">
        <v>52</v>
      </c>
      <c r="P149" s="181" t="s">
        <v>52</v>
      </c>
      <c r="Q149" s="181" t="s">
        <v>52</v>
      </c>
      <c r="R149" s="181" t="s">
        <v>52</v>
      </c>
      <c r="S149" s="181" t="s">
        <v>52</v>
      </c>
      <c r="T149" s="181" t="s">
        <v>52</v>
      </c>
      <c r="U149" s="181" t="s">
        <v>52</v>
      </c>
      <c r="V149" s="181" t="s">
        <v>52</v>
      </c>
      <c r="W149" s="181" t="s">
        <v>52</v>
      </c>
      <c r="X149" s="181"/>
      <c r="Y149" s="181"/>
    </row>
    <row r="150" spans="1:25" ht="10.5">
      <c r="A150" s="157" t="s">
        <v>537</v>
      </c>
      <c r="B150" s="391" t="s">
        <v>11</v>
      </c>
      <c r="C150" s="392" t="s">
        <v>35</v>
      </c>
      <c r="D150" s="392" t="s">
        <v>25</v>
      </c>
      <c r="E150" s="392" t="s">
        <v>34</v>
      </c>
      <c r="F150" s="392" t="s">
        <v>36</v>
      </c>
      <c r="G150" s="392" t="s">
        <v>28</v>
      </c>
      <c r="H150" s="392" t="s">
        <v>29</v>
      </c>
      <c r="I150" s="392" t="s">
        <v>30</v>
      </c>
      <c r="J150" s="393" t="s">
        <v>32</v>
      </c>
      <c r="K150" s="393" t="s">
        <v>448</v>
      </c>
      <c r="L150" s="393" t="s">
        <v>23</v>
      </c>
      <c r="M150" s="393" t="s">
        <v>449</v>
      </c>
      <c r="N150" s="393" t="s">
        <v>165</v>
      </c>
      <c r="O150" s="393" t="s">
        <v>37</v>
      </c>
      <c r="P150" s="393" t="s">
        <v>451</v>
      </c>
      <c r="Q150" s="393" t="s">
        <v>29</v>
      </c>
      <c r="R150" s="393" t="s">
        <v>30</v>
      </c>
      <c r="S150" s="393" t="s">
        <v>25</v>
      </c>
      <c r="T150" s="393" t="s">
        <v>24</v>
      </c>
      <c r="U150" s="393" t="s">
        <v>26</v>
      </c>
      <c r="V150" s="393" t="s">
        <v>454</v>
      </c>
      <c r="X150" s="181"/>
      <c r="Y150" s="181"/>
    </row>
    <row r="151" spans="2:25" ht="10.5">
      <c r="B151" s="391" t="s">
        <v>44</v>
      </c>
      <c r="C151" s="283" t="s">
        <v>280</v>
      </c>
      <c r="D151" s="283" t="s">
        <v>281</v>
      </c>
      <c r="E151" s="283" t="s">
        <v>282</v>
      </c>
      <c r="F151" s="283" t="s">
        <v>283</v>
      </c>
      <c r="G151" s="283" t="s">
        <v>284</v>
      </c>
      <c r="H151" s="283" t="s">
        <v>285</v>
      </c>
      <c r="I151" s="283" t="s">
        <v>286</v>
      </c>
      <c r="J151" s="285" t="s">
        <v>288</v>
      </c>
      <c r="K151" s="285" t="s">
        <v>289</v>
      </c>
      <c r="L151" s="285" t="s">
        <v>291</v>
      </c>
      <c r="M151" s="285" t="s">
        <v>292</v>
      </c>
      <c r="N151" s="285" t="s">
        <v>294</v>
      </c>
      <c r="O151" s="285" t="s">
        <v>296</v>
      </c>
      <c r="P151" s="285" t="s">
        <v>297</v>
      </c>
      <c r="Q151" s="285" t="s">
        <v>285</v>
      </c>
      <c r="R151" s="285" t="s">
        <v>286</v>
      </c>
      <c r="S151" s="285" t="s">
        <v>299</v>
      </c>
      <c r="T151" s="285" t="s">
        <v>304</v>
      </c>
      <c r="U151" s="285" t="s">
        <v>301</v>
      </c>
      <c r="V151" s="285" t="s">
        <v>302</v>
      </c>
      <c r="W151" s="391" t="s">
        <v>3</v>
      </c>
      <c r="X151" s="181"/>
      <c r="Y151" s="181"/>
    </row>
    <row r="152" spans="2:23" ht="10.5">
      <c r="B152" s="169" t="s">
        <v>52</v>
      </c>
      <c r="C152" s="280">
        <v>53</v>
      </c>
      <c r="D152" s="280">
        <v>55</v>
      </c>
      <c r="E152" s="280">
        <v>84</v>
      </c>
      <c r="F152" s="280">
        <v>86</v>
      </c>
      <c r="G152" s="280">
        <v>89</v>
      </c>
      <c r="H152" s="280">
        <v>96</v>
      </c>
      <c r="I152" s="284" t="s">
        <v>455</v>
      </c>
      <c r="J152" s="282">
        <v>56</v>
      </c>
      <c r="K152" s="286" t="s">
        <v>290</v>
      </c>
      <c r="L152" s="282">
        <v>65</v>
      </c>
      <c r="M152" s="286" t="s">
        <v>293</v>
      </c>
      <c r="N152" s="286" t="s">
        <v>450</v>
      </c>
      <c r="O152" s="282">
        <v>70</v>
      </c>
      <c r="P152" s="286" t="s">
        <v>298</v>
      </c>
      <c r="Q152" s="282">
        <v>76</v>
      </c>
      <c r="R152" s="286" t="s">
        <v>452</v>
      </c>
      <c r="S152" s="286" t="s">
        <v>300</v>
      </c>
      <c r="T152" s="286" t="s">
        <v>453</v>
      </c>
      <c r="U152" s="282">
        <v>82</v>
      </c>
      <c r="V152" s="286" t="s">
        <v>303</v>
      </c>
      <c r="W152" s="163"/>
    </row>
    <row r="153" spans="1:23" ht="11.25">
      <c r="A153" s="161" t="s">
        <v>504</v>
      </c>
      <c r="B153" s="181">
        <f>7064.72+267818.67</f>
        <v>274883.38999999996</v>
      </c>
      <c r="C153" s="197">
        <v>1458765.78</v>
      </c>
      <c r="D153" s="197">
        <v>12498.05</v>
      </c>
      <c r="E153" s="197">
        <v>798533.11</v>
      </c>
      <c r="F153" s="197">
        <v>79396.69</v>
      </c>
      <c r="G153" s="197">
        <v>2215.43</v>
      </c>
      <c r="H153" s="197">
        <v>1085996.4</v>
      </c>
      <c r="I153" s="197">
        <v>306698.87</v>
      </c>
      <c r="J153" s="198">
        <v>54979.78</v>
      </c>
      <c r="K153" s="198">
        <v>130917.73</v>
      </c>
      <c r="L153" s="198">
        <v>362366.8</v>
      </c>
      <c r="M153" s="198">
        <v>271806.65</v>
      </c>
      <c r="N153" s="198">
        <v>59568.64</v>
      </c>
      <c r="O153" s="198">
        <v>16985.4</v>
      </c>
      <c r="P153" s="198">
        <v>216353.35</v>
      </c>
      <c r="Q153" s="198">
        <v>657775.29</v>
      </c>
      <c r="R153" s="198">
        <v>65922.87</v>
      </c>
      <c r="S153" s="198">
        <v>153814.93</v>
      </c>
      <c r="T153" s="198">
        <v>122646.48</v>
      </c>
      <c r="U153" s="198">
        <v>10888.1</v>
      </c>
      <c r="V153" s="198">
        <v>58557.27</v>
      </c>
      <c r="W153" s="181">
        <f>SUM(B153:V153)</f>
        <v>6201571.01</v>
      </c>
    </row>
    <row r="154" spans="1:24" ht="11.25">
      <c r="A154" s="159" t="s">
        <v>195</v>
      </c>
      <c r="B154" s="199">
        <v>0</v>
      </c>
      <c r="C154" s="200">
        <v>0</v>
      </c>
      <c r="D154" s="197">
        <v>0</v>
      </c>
      <c r="E154" s="197"/>
      <c r="F154" s="197"/>
      <c r="G154" s="197"/>
      <c r="H154" s="197"/>
      <c r="I154" s="197"/>
      <c r="J154" s="198"/>
      <c r="K154" s="198"/>
      <c r="L154" s="198"/>
      <c r="M154" s="198"/>
      <c r="N154" s="198"/>
      <c r="O154" s="198"/>
      <c r="P154" s="198"/>
      <c r="Q154" s="198"/>
      <c r="R154" s="198"/>
      <c r="S154" s="198"/>
      <c r="T154" s="198"/>
      <c r="U154" s="198"/>
      <c r="V154" s="198"/>
      <c r="W154" s="181">
        <f>SUM(B154:V154)</f>
        <v>0</v>
      </c>
      <c r="X154" s="223"/>
    </row>
    <row r="155" spans="1:24" ht="11.25">
      <c r="A155" s="160" t="s">
        <v>501</v>
      </c>
      <c r="B155" s="199">
        <v>0</v>
      </c>
      <c r="C155" s="200">
        <v>0</v>
      </c>
      <c r="D155" s="197">
        <v>0</v>
      </c>
      <c r="E155" s="197">
        <v>0</v>
      </c>
      <c r="F155" s="197">
        <v>0</v>
      </c>
      <c r="G155" s="197">
        <v>0</v>
      </c>
      <c r="H155" s="197">
        <v>0</v>
      </c>
      <c r="I155" s="197">
        <v>0</v>
      </c>
      <c r="J155" s="198">
        <v>0</v>
      </c>
      <c r="K155" s="198">
        <v>0</v>
      </c>
      <c r="L155" s="198">
        <v>0</v>
      </c>
      <c r="M155" s="198">
        <v>0</v>
      </c>
      <c r="N155" s="198">
        <v>0</v>
      </c>
      <c r="O155" s="198">
        <v>0</v>
      </c>
      <c r="P155" s="198">
        <v>0</v>
      </c>
      <c r="Q155" s="198">
        <v>0</v>
      </c>
      <c r="R155" s="198">
        <v>0</v>
      </c>
      <c r="S155" s="198">
        <v>0</v>
      </c>
      <c r="T155" s="198">
        <v>0</v>
      </c>
      <c r="U155" s="198">
        <v>0</v>
      </c>
      <c r="V155" s="198">
        <v>0</v>
      </c>
      <c r="W155" s="181">
        <f>SUM(B155:V155)</f>
        <v>0</v>
      </c>
      <c r="X155" s="223"/>
    </row>
    <row r="156" spans="1:24" ht="11.25">
      <c r="A156" s="160" t="s">
        <v>503</v>
      </c>
      <c r="B156" s="201">
        <v>0</v>
      </c>
      <c r="C156" s="202">
        <v>0</v>
      </c>
      <c r="D156" s="203">
        <v>0</v>
      </c>
      <c r="E156" s="203">
        <v>0</v>
      </c>
      <c r="F156" s="203">
        <v>0</v>
      </c>
      <c r="G156" s="203">
        <v>0</v>
      </c>
      <c r="H156" s="203">
        <v>0</v>
      </c>
      <c r="I156" s="203">
        <v>0</v>
      </c>
      <c r="J156" s="204">
        <v>0</v>
      </c>
      <c r="K156" s="204">
        <v>0</v>
      </c>
      <c r="L156" s="204">
        <v>0</v>
      </c>
      <c r="M156" s="204">
        <v>0</v>
      </c>
      <c r="N156" s="204">
        <v>0</v>
      </c>
      <c r="O156" s="204">
        <v>0</v>
      </c>
      <c r="P156" s="204">
        <v>0</v>
      </c>
      <c r="Q156" s="204">
        <v>0</v>
      </c>
      <c r="R156" s="204">
        <v>0</v>
      </c>
      <c r="S156" s="204">
        <v>0</v>
      </c>
      <c r="T156" s="204">
        <v>0</v>
      </c>
      <c r="U156" s="204">
        <v>0</v>
      </c>
      <c r="V156" s="204">
        <v>0</v>
      </c>
      <c r="W156" s="205">
        <f>SUM(B156:V156)</f>
        <v>0</v>
      </c>
      <c r="X156" s="223"/>
    </row>
    <row r="157" spans="1:24" ht="11.25">
      <c r="A157" s="160" t="s">
        <v>502</v>
      </c>
      <c r="B157" s="199">
        <f aca="true" t="shared" si="23" ref="B157:W157">B153+B154+B155-B156</f>
        <v>274883.38999999996</v>
      </c>
      <c r="C157" s="200">
        <f t="shared" si="23"/>
        <v>1458765.78</v>
      </c>
      <c r="D157" s="200">
        <f t="shared" si="23"/>
        <v>12498.05</v>
      </c>
      <c r="E157" s="200">
        <f t="shared" si="23"/>
        <v>798533.11</v>
      </c>
      <c r="F157" s="200">
        <f t="shared" si="23"/>
        <v>79396.69</v>
      </c>
      <c r="G157" s="200">
        <f t="shared" si="23"/>
        <v>2215.43</v>
      </c>
      <c r="H157" s="200">
        <f t="shared" si="23"/>
        <v>1085996.4</v>
      </c>
      <c r="I157" s="200">
        <f t="shared" si="23"/>
        <v>306698.87</v>
      </c>
      <c r="J157" s="206">
        <f t="shared" si="23"/>
        <v>54979.78</v>
      </c>
      <c r="K157" s="206">
        <f t="shared" si="23"/>
        <v>130917.73</v>
      </c>
      <c r="L157" s="206">
        <f t="shared" si="23"/>
        <v>362366.8</v>
      </c>
      <c r="M157" s="206">
        <f t="shared" si="23"/>
        <v>271806.65</v>
      </c>
      <c r="N157" s="206">
        <f t="shared" si="23"/>
        <v>59568.64</v>
      </c>
      <c r="O157" s="206">
        <f t="shared" si="23"/>
        <v>16985.4</v>
      </c>
      <c r="P157" s="206">
        <f t="shared" si="23"/>
        <v>216353.35</v>
      </c>
      <c r="Q157" s="206">
        <f t="shared" si="23"/>
        <v>657775.29</v>
      </c>
      <c r="R157" s="206">
        <f t="shared" si="23"/>
        <v>65922.87</v>
      </c>
      <c r="S157" s="206">
        <f t="shared" si="23"/>
        <v>153814.93</v>
      </c>
      <c r="T157" s="206">
        <f t="shared" si="23"/>
        <v>122646.48</v>
      </c>
      <c r="U157" s="206">
        <f t="shared" si="23"/>
        <v>10888.1</v>
      </c>
      <c r="V157" s="206">
        <f t="shared" si="23"/>
        <v>58557.27</v>
      </c>
      <c r="W157" s="199">
        <f t="shared" si="23"/>
        <v>6201571.01</v>
      </c>
      <c r="X157" s="223"/>
    </row>
    <row r="158" spans="1:24" ht="10.5">
      <c r="A158" s="158"/>
      <c r="B158" s="199"/>
      <c r="C158" s="200"/>
      <c r="D158" s="197"/>
      <c r="E158" s="197"/>
      <c r="F158" s="197"/>
      <c r="G158" s="197"/>
      <c r="H158" s="197"/>
      <c r="I158" s="197"/>
      <c r="J158" s="198"/>
      <c r="K158" s="198"/>
      <c r="L158" s="198"/>
      <c r="M158" s="198"/>
      <c r="N158" s="198"/>
      <c r="O158" s="198"/>
      <c r="P158" s="198"/>
      <c r="Q158" s="198"/>
      <c r="R158" s="198"/>
      <c r="S158" s="198"/>
      <c r="T158" s="198"/>
      <c r="U158" s="198"/>
      <c r="V158" s="198"/>
      <c r="W158" s="181"/>
      <c r="X158" s="223"/>
    </row>
    <row r="159" spans="1:24" ht="11.25">
      <c r="A159" s="159" t="s">
        <v>277</v>
      </c>
      <c r="B159" s="181"/>
      <c r="C159" s="197"/>
      <c r="D159" s="197"/>
      <c r="E159" s="197"/>
      <c r="F159" s="197"/>
      <c r="G159" s="197"/>
      <c r="H159" s="197"/>
      <c r="I159" s="197"/>
      <c r="J159" s="198"/>
      <c r="K159" s="198"/>
      <c r="L159" s="198"/>
      <c r="M159" s="198"/>
      <c r="N159" s="198"/>
      <c r="O159" s="198"/>
      <c r="P159" s="198"/>
      <c r="Q159" s="198"/>
      <c r="R159" s="198"/>
      <c r="S159" s="198"/>
      <c r="T159" s="198"/>
      <c r="U159" s="198"/>
      <c r="V159" s="198"/>
      <c r="W159" s="181"/>
      <c r="X159" s="223"/>
    </row>
    <row r="160" spans="1:24" ht="11.25">
      <c r="A160" s="162" t="s">
        <v>190</v>
      </c>
      <c r="B160" s="181">
        <v>272275.97</v>
      </c>
      <c r="C160" s="197">
        <v>1743765.58</v>
      </c>
      <c r="D160" s="197">
        <v>5352.84</v>
      </c>
      <c r="E160" s="197">
        <v>2495458</v>
      </c>
      <c r="F160" s="197">
        <v>280040.48</v>
      </c>
      <c r="G160" s="197">
        <v>1589.7</v>
      </c>
      <c r="H160" s="197">
        <v>3033354.05</v>
      </c>
      <c r="I160" s="197">
        <v>1244029.03</v>
      </c>
      <c r="J160" s="198"/>
      <c r="K160" s="198"/>
      <c r="L160" s="198"/>
      <c r="M160" s="198"/>
      <c r="N160" s="198"/>
      <c r="O160" s="198"/>
      <c r="P160" s="198"/>
      <c r="Q160" s="198"/>
      <c r="R160" s="198"/>
      <c r="S160" s="198"/>
      <c r="T160" s="198"/>
      <c r="U160" s="198"/>
      <c r="V160" s="198"/>
      <c r="W160" s="181">
        <f>SUM(B160:V160)</f>
        <v>9075865.65</v>
      </c>
      <c r="X160" s="223"/>
    </row>
    <row r="161" spans="1:24" ht="11.25">
      <c r="A161" s="162" t="s">
        <v>278</v>
      </c>
      <c r="B161" s="302">
        <v>184434.65</v>
      </c>
      <c r="C161" s="197">
        <v>0</v>
      </c>
      <c r="D161" s="197"/>
      <c r="E161" s="197"/>
      <c r="F161" s="197"/>
      <c r="G161" s="197"/>
      <c r="H161" s="197"/>
      <c r="I161" s="197"/>
      <c r="J161" s="198">
        <v>244634.01</v>
      </c>
      <c r="K161" s="198">
        <v>800963.34</v>
      </c>
      <c r="L161" s="198">
        <v>896655.69</v>
      </c>
      <c r="M161" s="198">
        <v>785411.42</v>
      </c>
      <c r="N161" s="198">
        <v>377315.65</v>
      </c>
      <c r="O161" s="198">
        <v>79303.34</v>
      </c>
      <c r="P161" s="198">
        <v>971548.73</v>
      </c>
      <c r="Q161" s="198">
        <v>965581.75</v>
      </c>
      <c r="R161" s="198">
        <v>236825.33</v>
      </c>
      <c r="S161" s="198">
        <v>223443.58</v>
      </c>
      <c r="T161" s="198">
        <v>253531.94</v>
      </c>
      <c r="U161" s="198">
        <v>42021.12</v>
      </c>
      <c r="V161" s="198">
        <v>86149.3</v>
      </c>
      <c r="W161" s="181">
        <f>SUM(B161:V161)</f>
        <v>6147819.850000001</v>
      </c>
      <c r="X161" s="223"/>
    </row>
    <row r="162" spans="1:24" ht="11.25">
      <c r="A162" s="162" t="s">
        <v>279</v>
      </c>
      <c r="B162" s="181">
        <v>88305.25</v>
      </c>
      <c r="C162" s="197"/>
      <c r="D162" s="197"/>
      <c r="E162" s="197"/>
      <c r="F162" s="197"/>
      <c r="G162" s="197"/>
      <c r="H162" s="197"/>
      <c r="I162" s="197"/>
      <c r="J162" s="198"/>
      <c r="K162" s="198"/>
      <c r="L162" s="198"/>
      <c r="M162" s="198"/>
      <c r="N162" s="198"/>
      <c r="O162" s="198"/>
      <c r="P162" s="198"/>
      <c r="Q162" s="198"/>
      <c r="R162" s="206" t="s">
        <v>52</v>
      </c>
      <c r="S162" s="198"/>
      <c r="T162" s="198"/>
      <c r="U162" s="198"/>
      <c r="V162" s="198"/>
      <c r="W162" s="181">
        <f>SUM(B162:V162)</f>
        <v>88305.25</v>
      </c>
      <c r="X162" s="223"/>
    </row>
    <row r="163" spans="1:24" ht="11.25">
      <c r="A163" s="162" t="s">
        <v>48</v>
      </c>
      <c r="B163" s="181"/>
      <c r="C163" s="197"/>
      <c r="D163" s="197"/>
      <c r="E163" s="197"/>
      <c r="F163" s="197"/>
      <c r="G163" s="197"/>
      <c r="H163" s="197"/>
      <c r="I163" s="197"/>
      <c r="J163" s="198"/>
      <c r="K163" s="198"/>
      <c r="L163" s="198"/>
      <c r="M163" s="198"/>
      <c r="N163" s="198"/>
      <c r="O163" s="198"/>
      <c r="P163" s="198"/>
      <c r="Q163" s="198"/>
      <c r="R163" s="198"/>
      <c r="S163" s="198"/>
      <c r="T163" s="198"/>
      <c r="U163" s="198"/>
      <c r="V163" s="198"/>
      <c r="W163" s="181">
        <f>SUM(B163:V163)</f>
        <v>0</v>
      </c>
      <c r="X163" s="223"/>
    </row>
    <row r="164" spans="1:23" ht="11.25">
      <c r="A164" s="162" t="s">
        <v>192</v>
      </c>
      <c r="B164" s="181">
        <v>0</v>
      </c>
      <c r="C164" s="197">
        <v>2378</v>
      </c>
      <c r="D164" s="197">
        <v>-13699</v>
      </c>
      <c r="E164" s="197">
        <v>13699</v>
      </c>
      <c r="F164" s="197">
        <v>0</v>
      </c>
      <c r="G164" s="197">
        <v>-2378</v>
      </c>
      <c r="H164" s="197">
        <v>0</v>
      </c>
      <c r="I164" s="197">
        <v>0</v>
      </c>
      <c r="J164" s="198">
        <v>0</v>
      </c>
      <c r="K164" s="198">
        <v>0</v>
      </c>
      <c r="L164" s="198">
        <v>0</v>
      </c>
      <c r="M164" s="198">
        <v>0</v>
      </c>
      <c r="N164" s="198">
        <v>0</v>
      </c>
      <c r="O164" s="198">
        <v>0</v>
      </c>
      <c r="P164" s="198">
        <v>0</v>
      </c>
      <c r="Q164" s="198">
        <v>0</v>
      </c>
      <c r="R164" s="198">
        <v>0</v>
      </c>
      <c r="S164" s="198">
        <v>0</v>
      </c>
      <c r="T164" s="198">
        <v>0</v>
      </c>
      <c r="U164" s="198">
        <v>0</v>
      </c>
      <c r="V164" s="198">
        <v>0</v>
      </c>
      <c r="W164" s="181">
        <f>SUM(B164:V164)</f>
        <v>0</v>
      </c>
    </row>
    <row r="165" spans="2:23" ht="10.5">
      <c r="B165" s="205"/>
      <c r="C165" s="203"/>
      <c r="D165" s="203"/>
      <c r="E165" s="203"/>
      <c r="F165" s="203"/>
      <c r="G165" s="203"/>
      <c r="H165" s="203"/>
      <c r="I165" s="203"/>
      <c r="J165" s="204"/>
      <c r="K165" s="204"/>
      <c r="L165" s="204"/>
      <c r="M165" s="204"/>
      <c r="N165" s="204"/>
      <c r="O165" s="204"/>
      <c r="P165" s="204"/>
      <c r="Q165" s="204"/>
      <c r="R165" s="204"/>
      <c r="S165" s="204"/>
      <c r="T165" s="204"/>
      <c r="U165" s="204"/>
      <c r="V165" s="204"/>
      <c r="W165" s="201" t="s">
        <v>52</v>
      </c>
    </row>
    <row r="166" spans="1:23" ht="11.25">
      <c r="A166" s="159" t="s">
        <v>49</v>
      </c>
      <c r="B166" s="273">
        <f>SUM(B160:B164)</f>
        <v>545015.87</v>
      </c>
      <c r="C166" s="274">
        <f aca="true" t="shared" si="24" ref="C166:W166">SUM(C160:C164)</f>
        <v>1746143.58</v>
      </c>
      <c r="D166" s="274">
        <f t="shared" si="24"/>
        <v>-8346.16</v>
      </c>
      <c r="E166" s="274">
        <f t="shared" si="24"/>
        <v>2509157</v>
      </c>
      <c r="F166" s="274">
        <f t="shared" si="24"/>
        <v>280040.48</v>
      </c>
      <c r="G166" s="274">
        <f t="shared" si="24"/>
        <v>-788.3</v>
      </c>
      <c r="H166" s="274">
        <f t="shared" si="24"/>
        <v>3033354.05</v>
      </c>
      <c r="I166" s="274">
        <f t="shared" si="24"/>
        <v>1244029.03</v>
      </c>
      <c r="J166" s="275">
        <f t="shared" si="24"/>
        <v>244634.01</v>
      </c>
      <c r="K166" s="275">
        <f t="shared" si="24"/>
        <v>800963.34</v>
      </c>
      <c r="L166" s="275">
        <f t="shared" si="24"/>
        <v>896655.69</v>
      </c>
      <c r="M166" s="275">
        <f t="shared" si="24"/>
        <v>785411.42</v>
      </c>
      <c r="N166" s="275">
        <f t="shared" si="24"/>
        <v>377315.65</v>
      </c>
      <c r="O166" s="275">
        <f t="shared" si="24"/>
        <v>79303.34</v>
      </c>
      <c r="P166" s="275">
        <f t="shared" si="24"/>
        <v>971548.73</v>
      </c>
      <c r="Q166" s="275">
        <f t="shared" si="24"/>
        <v>965581.75</v>
      </c>
      <c r="R166" s="275">
        <f t="shared" si="24"/>
        <v>236825.33</v>
      </c>
      <c r="S166" s="275">
        <f t="shared" si="24"/>
        <v>223443.58</v>
      </c>
      <c r="T166" s="275">
        <f t="shared" si="24"/>
        <v>253531.94</v>
      </c>
      <c r="U166" s="275">
        <f t="shared" si="24"/>
        <v>42021.12</v>
      </c>
      <c r="V166" s="275">
        <f t="shared" si="24"/>
        <v>86149.3</v>
      </c>
      <c r="W166" s="273">
        <f t="shared" si="24"/>
        <v>15311990.75</v>
      </c>
    </row>
    <row r="167" spans="2:23" ht="10.5">
      <c r="B167" s="181"/>
      <c r="C167" s="197"/>
      <c r="D167" s="197"/>
      <c r="E167" s="197"/>
      <c r="F167" s="197"/>
      <c r="G167" s="197"/>
      <c r="H167" s="197"/>
      <c r="I167" s="197"/>
      <c r="J167" s="198"/>
      <c r="K167" s="198"/>
      <c r="L167" s="198"/>
      <c r="M167" s="198"/>
      <c r="N167" s="198"/>
      <c r="O167" s="198"/>
      <c r="P167" s="198"/>
      <c r="Q167" s="198"/>
      <c r="R167" s="198"/>
      <c r="S167" s="198"/>
      <c r="T167" s="198"/>
      <c r="U167" s="198"/>
      <c r="V167" s="198"/>
      <c r="W167" s="181"/>
    </row>
    <row r="168" spans="1:23" ht="11.25">
      <c r="A168" s="159" t="s">
        <v>50</v>
      </c>
      <c r="B168" s="181"/>
      <c r="C168" s="197"/>
      <c r="D168" s="197"/>
      <c r="E168" s="197"/>
      <c r="F168" s="197"/>
      <c r="G168" s="197"/>
      <c r="H168" s="197"/>
      <c r="I168" s="197"/>
      <c r="J168" s="198"/>
      <c r="K168" s="198"/>
      <c r="L168" s="198"/>
      <c r="M168" s="198"/>
      <c r="N168" s="198"/>
      <c r="O168" s="198"/>
      <c r="P168" s="198"/>
      <c r="Q168" s="198"/>
      <c r="R168" s="198"/>
      <c r="S168" s="198"/>
      <c r="T168" s="198"/>
      <c r="U168" s="198"/>
      <c r="V168" s="198"/>
      <c r="W168" s="181"/>
    </row>
    <row r="169" spans="1:23" ht="11.25">
      <c r="A169" s="167" t="s">
        <v>204</v>
      </c>
      <c r="B169" s="181">
        <f>254809.74+119.24</f>
        <v>254928.97999999998</v>
      </c>
      <c r="C169" s="197"/>
      <c r="D169" s="197"/>
      <c r="E169" s="197"/>
      <c r="F169" s="197"/>
      <c r="G169" s="197"/>
      <c r="H169" s="197"/>
      <c r="I169" s="197"/>
      <c r="J169" s="198"/>
      <c r="K169" s="198"/>
      <c r="L169" s="198"/>
      <c r="M169" s="198"/>
      <c r="N169" s="198"/>
      <c r="O169" s="198"/>
      <c r="P169" s="198"/>
      <c r="Q169" s="198"/>
      <c r="R169" s="198"/>
      <c r="S169" s="198"/>
      <c r="T169" s="198"/>
      <c r="U169" s="198"/>
      <c r="V169" s="198"/>
      <c r="W169" s="181">
        <f>SUM(B169:V169)</f>
        <v>254928.97999999998</v>
      </c>
    </row>
    <row r="170" spans="1:23" ht="11.25">
      <c r="A170" s="162" t="s">
        <v>189</v>
      </c>
      <c r="B170" s="181">
        <f>38582.86+633+927.4</f>
        <v>40143.26</v>
      </c>
      <c r="C170" s="197">
        <v>136895.85</v>
      </c>
      <c r="D170" s="197">
        <v>0</v>
      </c>
      <c r="E170" s="197">
        <v>122654</v>
      </c>
      <c r="F170" s="197">
        <v>23144.44</v>
      </c>
      <c r="G170" s="197">
        <v>0</v>
      </c>
      <c r="H170" s="197">
        <v>259691.48</v>
      </c>
      <c r="I170" s="197">
        <v>42942.78</v>
      </c>
      <c r="J170" s="198">
        <v>16278</v>
      </c>
      <c r="K170" s="198">
        <v>73688</v>
      </c>
      <c r="L170" s="198">
        <v>62782.72</v>
      </c>
      <c r="M170" s="198">
        <v>33906</v>
      </c>
      <c r="N170" s="198">
        <v>20133.84</v>
      </c>
      <c r="O170" s="198">
        <v>7852</v>
      </c>
      <c r="P170" s="198">
        <v>70148</v>
      </c>
      <c r="Q170" s="198">
        <v>96692.62</v>
      </c>
      <c r="R170" s="198">
        <v>6771.18</v>
      </c>
      <c r="S170" s="198">
        <v>30644.1</v>
      </c>
      <c r="T170" s="198">
        <v>10084.93</v>
      </c>
      <c r="U170" s="198">
        <v>3195</v>
      </c>
      <c r="V170" s="198">
        <v>9144.24</v>
      </c>
      <c r="W170" s="181">
        <f>SUM(B170:V170)</f>
        <v>1066792.44</v>
      </c>
    </row>
    <row r="171" spans="1:23" ht="11.25">
      <c r="A171" s="162" t="s">
        <v>187</v>
      </c>
      <c r="B171" s="181"/>
      <c r="C171" s="197">
        <v>299725.05</v>
      </c>
      <c r="D171" s="197"/>
      <c r="E171" s="197">
        <v>421290</v>
      </c>
      <c r="F171" s="197">
        <v>49279.01</v>
      </c>
      <c r="G171" s="197">
        <v>0</v>
      </c>
      <c r="H171" s="197">
        <v>222631.64</v>
      </c>
      <c r="I171" s="197">
        <v>85757.87</v>
      </c>
      <c r="J171" s="198">
        <v>49952</v>
      </c>
      <c r="K171" s="198">
        <v>74745</v>
      </c>
      <c r="L171" s="198">
        <v>35900.28</v>
      </c>
      <c r="M171" s="198">
        <v>104083</v>
      </c>
      <c r="N171" s="198">
        <v>60715.15</v>
      </c>
      <c r="O171" s="198">
        <v>8552.5</v>
      </c>
      <c r="P171" s="198">
        <v>129646</v>
      </c>
      <c r="Q171" s="198">
        <v>82396.51</v>
      </c>
      <c r="R171" s="198">
        <v>19931.92</v>
      </c>
      <c r="S171" s="198">
        <v>56302.45</v>
      </c>
      <c r="T171" s="198">
        <v>39982.44</v>
      </c>
      <c r="U171" s="198">
        <v>2234</v>
      </c>
      <c r="V171" s="198">
        <v>31853.25</v>
      </c>
      <c r="W171" s="181">
        <f>SUM(B171:V171)</f>
        <v>1774978.0699999998</v>
      </c>
    </row>
    <row r="172" spans="1:23" ht="11.25">
      <c r="A172" s="162" t="s">
        <v>188</v>
      </c>
      <c r="B172" s="181">
        <v>0</v>
      </c>
      <c r="C172" s="197">
        <v>1840755</v>
      </c>
      <c r="D172" s="197">
        <v>0</v>
      </c>
      <c r="E172" s="197">
        <v>1727874</v>
      </c>
      <c r="F172" s="197">
        <v>197920</v>
      </c>
      <c r="G172" s="197">
        <v>0</v>
      </c>
      <c r="H172" s="197">
        <v>1840923</v>
      </c>
      <c r="I172" s="197">
        <v>1056320</v>
      </c>
      <c r="J172" s="198">
        <v>151399</v>
      </c>
      <c r="K172" s="198">
        <v>610214.29</v>
      </c>
      <c r="L172" s="198">
        <v>650862</v>
      </c>
      <c r="M172" s="198">
        <v>702610</v>
      </c>
      <c r="N172" s="198">
        <v>177096</v>
      </c>
      <c r="O172" s="198">
        <v>56115</v>
      </c>
      <c r="P172" s="198">
        <v>714020</v>
      </c>
      <c r="Q172" s="198">
        <v>749695</v>
      </c>
      <c r="R172" s="198">
        <v>229153</v>
      </c>
      <c r="S172" s="198">
        <v>212990</v>
      </c>
      <c r="T172" s="198">
        <v>207180</v>
      </c>
      <c r="U172" s="198">
        <v>11744</v>
      </c>
      <c r="V172" s="198">
        <v>86795</v>
      </c>
      <c r="W172" s="181">
        <f>SUM(B172:V172)</f>
        <v>11223665.29</v>
      </c>
    </row>
    <row r="173" spans="1:23" ht="11.25">
      <c r="A173" s="162" t="s">
        <v>52</v>
      </c>
      <c r="B173" s="205"/>
      <c r="C173" s="203"/>
      <c r="D173" s="203"/>
      <c r="E173" s="203"/>
      <c r="F173" s="203"/>
      <c r="G173" s="203"/>
      <c r="H173" s="203"/>
      <c r="I173" s="203"/>
      <c r="J173" s="204"/>
      <c r="K173" s="204"/>
      <c r="L173" s="204"/>
      <c r="M173" s="204"/>
      <c r="N173" s="204"/>
      <c r="O173" s="204"/>
      <c r="P173" s="204"/>
      <c r="Q173" s="204"/>
      <c r="R173" s="204"/>
      <c r="S173" s="204"/>
      <c r="T173" s="204"/>
      <c r="U173" s="204"/>
      <c r="V173" s="204"/>
      <c r="W173" s="205"/>
    </row>
    <row r="174" spans="1:23" ht="11.25">
      <c r="A174" s="159" t="s">
        <v>51</v>
      </c>
      <c r="B174" s="181">
        <f>SUM(B169:B173)</f>
        <v>295072.24</v>
      </c>
      <c r="C174" s="197">
        <f aca="true" t="shared" si="25" ref="C174:V174">SUM(C170:C173)</f>
        <v>2277375.9</v>
      </c>
      <c r="D174" s="197">
        <f t="shared" si="25"/>
        <v>0</v>
      </c>
      <c r="E174" s="197">
        <f t="shared" si="25"/>
        <v>2271818</v>
      </c>
      <c r="F174" s="197">
        <f t="shared" si="25"/>
        <v>270343.45</v>
      </c>
      <c r="G174" s="197">
        <f t="shared" si="25"/>
        <v>0</v>
      </c>
      <c r="H174" s="197">
        <f t="shared" si="25"/>
        <v>2323246.12</v>
      </c>
      <c r="I174" s="197">
        <f t="shared" si="25"/>
        <v>1185020.65</v>
      </c>
      <c r="J174" s="198">
        <f t="shared" si="25"/>
        <v>217629</v>
      </c>
      <c r="K174" s="198">
        <f t="shared" si="25"/>
        <v>758647.29</v>
      </c>
      <c r="L174" s="198">
        <f t="shared" si="25"/>
        <v>749545</v>
      </c>
      <c r="M174" s="198">
        <f t="shared" si="25"/>
        <v>840599</v>
      </c>
      <c r="N174" s="198">
        <f t="shared" si="25"/>
        <v>257944.99</v>
      </c>
      <c r="O174" s="198">
        <f t="shared" si="25"/>
        <v>72519.5</v>
      </c>
      <c r="P174" s="198">
        <f t="shared" si="25"/>
        <v>913814</v>
      </c>
      <c r="Q174" s="198">
        <f t="shared" si="25"/>
        <v>928784.13</v>
      </c>
      <c r="R174" s="198">
        <f t="shared" si="25"/>
        <v>255856.1</v>
      </c>
      <c r="S174" s="198">
        <f t="shared" si="25"/>
        <v>299936.55</v>
      </c>
      <c r="T174" s="198">
        <f t="shared" si="25"/>
        <v>257247.37</v>
      </c>
      <c r="U174" s="198">
        <f t="shared" si="25"/>
        <v>17173</v>
      </c>
      <c r="V174" s="198">
        <f t="shared" si="25"/>
        <v>127792.48999999999</v>
      </c>
      <c r="W174" s="181">
        <f>SUM(B174:V174)</f>
        <v>14320364.78</v>
      </c>
    </row>
    <row r="175" spans="1:23" ht="10.5">
      <c r="A175" s="48"/>
      <c r="B175" s="181"/>
      <c r="C175" s="197"/>
      <c r="D175" s="197"/>
      <c r="E175" s="197"/>
      <c r="F175" s="197"/>
      <c r="G175" s="197"/>
      <c r="H175" s="197"/>
      <c r="I175" s="197"/>
      <c r="J175" s="198"/>
      <c r="K175" s="198"/>
      <c r="L175" s="198"/>
      <c r="M175" s="198"/>
      <c r="N175" s="198"/>
      <c r="O175" s="198"/>
      <c r="P175" s="198"/>
      <c r="Q175" s="198"/>
      <c r="R175" s="198"/>
      <c r="S175" s="198"/>
      <c r="T175" s="198"/>
      <c r="U175" s="198"/>
      <c r="V175" s="198"/>
      <c r="W175" s="181"/>
    </row>
    <row r="176" spans="1:23" ht="10.5">
      <c r="A176" s="48"/>
      <c r="B176" s="205"/>
      <c r="C176" s="203"/>
      <c r="D176" s="203"/>
      <c r="E176" s="203"/>
      <c r="F176" s="203"/>
      <c r="G176" s="203"/>
      <c r="H176" s="203"/>
      <c r="I176" s="203"/>
      <c r="J176" s="204"/>
      <c r="K176" s="204"/>
      <c r="L176" s="204"/>
      <c r="M176" s="204"/>
      <c r="N176" s="204"/>
      <c r="O176" s="204"/>
      <c r="P176" s="204"/>
      <c r="Q176" s="204"/>
      <c r="R176" s="204"/>
      <c r="S176" s="204"/>
      <c r="T176" s="204"/>
      <c r="U176" s="204"/>
      <c r="V176" s="204"/>
      <c r="W176" s="205"/>
    </row>
    <row r="177" spans="1:23" ht="12" thickBot="1">
      <c r="A177" s="159" t="s">
        <v>538</v>
      </c>
      <c r="B177" s="207">
        <f>B157+B166-B174</f>
        <v>524827.02</v>
      </c>
      <c r="C177" s="208">
        <f>C157+C166-C174</f>
        <v>927533.4600000004</v>
      </c>
      <c r="D177" s="208">
        <f>D157+D166-D174</f>
        <v>4151.889999999999</v>
      </c>
      <c r="E177" s="208">
        <f aca="true" t="shared" si="26" ref="E177:V177">E157+E166-E174</f>
        <v>1035872.1099999999</v>
      </c>
      <c r="F177" s="208">
        <f t="shared" si="26"/>
        <v>89093.71999999997</v>
      </c>
      <c r="G177" s="208">
        <f t="shared" si="26"/>
        <v>1427.1299999999999</v>
      </c>
      <c r="H177" s="208">
        <f t="shared" si="26"/>
        <v>1796104.3299999996</v>
      </c>
      <c r="I177" s="208">
        <f t="shared" si="26"/>
        <v>365707.25</v>
      </c>
      <c r="J177" s="209">
        <f t="shared" si="26"/>
        <v>81984.79000000004</v>
      </c>
      <c r="K177" s="209">
        <f t="shared" si="26"/>
        <v>173233.7799999999</v>
      </c>
      <c r="L177" s="209">
        <f t="shared" si="26"/>
        <v>509477.49</v>
      </c>
      <c r="M177" s="209">
        <f t="shared" si="26"/>
        <v>216619.07000000007</v>
      </c>
      <c r="N177" s="209">
        <f t="shared" si="26"/>
        <v>178939.30000000005</v>
      </c>
      <c r="O177" s="209">
        <f t="shared" si="26"/>
        <v>23769.23999999999</v>
      </c>
      <c r="P177" s="209">
        <f t="shared" si="26"/>
        <v>274088.0800000001</v>
      </c>
      <c r="Q177" s="209">
        <f t="shared" si="26"/>
        <v>694572.91</v>
      </c>
      <c r="R177" s="209">
        <f t="shared" si="26"/>
        <v>46892.09999999995</v>
      </c>
      <c r="S177" s="209">
        <f t="shared" si="26"/>
        <v>77321.96000000002</v>
      </c>
      <c r="T177" s="209">
        <f t="shared" si="26"/>
        <v>118931.04999999999</v>
      </c>
      <c r="U177" s="209">
        <f t="shared" si="26"/>
        <v>35736.22</v>
      </c>
      <c r="V177" s="209">
        <f t="shared" si="26"/>
        <v>16914.080000000016</v>
      </c>
      <c r="W177" s="207">
        <f>SUM(B177:V177)</f>
        <v>7193196.98</v>
      </c>
    </row>
    <row r="178" spans="2:23" ht="11.25" thickTop="1">
      <c r="B178" s="181"/>
      <c r="C178" s="197"/>
      <c r="D178" s="197"/>
      <c r="E178" s="197"/>
      <c r="F178" s="197"/>
      <c r="G178" s="197"/>
      <c r="H178" s="197"/>
      <c r="I178" s="197"/>
      <c r="J178" s="198"/>
      <c r="K178" s="198"/>
      <c r="L178" s="198"/>
      <c r="M178" s="198"/>
      <c r="N178" s="198"/>
      <c r="O178" s="198"/>
      <c r="P178" s="198"/>
      <c r="Q178" s="198"/>
      <c r="R178" s="198"/>
      <c r="S178" s="198"/>
      <c r="T178" s="198"/>
      <c r="U178" s="198"/>
      <c r="V178" s="198"/>
      <c r="W178" s="181"/>
    </row>
    <row r="179" spans="2:23" ht="10.5">
      <c r="B179" s="181"/>
      <c r="C179" s="197"/>
      <c r="D179" s="197"/>
      <c r="E179" s="197"/>
      <c r="F179" s="197"/>
      <c r="G179" s="197"/>
      <c r="H179" s="197"/>
      <c r="I179" s="197"/>
      <c r="J179" s="198"/>
      <c r="K179" s="198"/>
      <c r="L179" s="198"/>
      <c r="M179" s="198"/>
      <c r="N179" s="198"/>
      <c r="O179" s="198"/>
      <c r="P179" s="198"/>
      <c r="Q179" s="198"/>
      <c r="R179" s="198"/>
      <c r="S179" s="198"/>
      <c r="T179" s="198"/>
      <c r="U179" s="198"/>
      <c r="V179" s="198"/>
      <c r="W179" s="181"/>
    </row>
    <row r="180" spans="1:23" ht="11.25">
      <c r="A180" s="166" t="s">
        <v>539</v>
      </c>
      <c r="B180" s="181">
        <v>0</v>
      </c>
      <c r="C180" s="197">
        <v>0</v>
      </c>
      <c r="D180" s="197">
        <v>0</v>
      </c>
      <c r="E180" s="197">
        <v>0</v>
      </c>
      <c r="F180" s="197">
        <v>0</v>
      </c>
      <c r="G180" s="197">
        <v>0</v>
      </c>
      <c r="H180" s="197">
        <v>0</v>
      </c>
      <c r="I180" s="197">
        <v>0</v>
      </c>
      <c r="J180" s="206">
        <v>0</v>
      </c>
      <c r="K180" s="198">
        <v>0</v>
      </c>
      <c r="L180" s="198">
        <v>0</v>
      </c>
      <c r="M180" s="198">
        <v>0</v>
      </c>
      <c r="N180" s="198">
        <v>0</v>
      </c>
      <c r="O180" s="198">
        <v>0</v>
      </c>
      <c r="P180" s="198">
        <v>0</v>
      </c>
      <c r="Q180" s="198">
        <v>0</v>
      </c>
      <c r="R180" s="198">
        <v>0</v>
      </c>
      <c r="S180" s="198">
        <v>0</v>
      </c>
      <c r="T180" s="198">
        <v>0</v>
      </c>
      <c r="U180" s="198">
        <v>0</v>
      </c>
      <c r="V180" s="198">
        <v>0</v>
      </c>
      <c r="W180" s="181">
        <f>SUM(B180:V180)</f>
        <v>0</v>
      </c>
    </row>
    <row r="181" spans="1:23" ht="11.25">
      <c r="A181" s="166" t="s">
        <v>540</v>
      </c>
      <c r="B181" s="181">
        <v>300</v>
      </c>
      <c r="C181" s="197">
        <f>163140.82+358174+213088.99</f>
        <v>734403.81</v>
      </c>
      <c r="D181" s="197">
        <v>3501</v>
      </c>
      <c r="E181" s="197">
        <f>100668+648617.4+8326</f>
        <v>757611.4</v>
      </c>
      <c r="F181" s="197">
        <f>8251.38+30512+19146.55</f>
        <v>57909.92999999999</v>
      </c>
      <c r="G181" s="197">
        <v>946</v>
      </c>
      <c r="H181" s="197">
        <f>163041.89+1072010+219519.65</f>
        <v>1454571.54</v>
      </c>
      <c r="I181" s="197">
        <f>37157.98+158054+33115.3</f>
        <v>228327.28000000003</v>
      </c>
      <c r="J181" s="198">
        <f>13207.6+64917+3860</f>
        <v>81984.6</v>
      </c>
      <c r="K181" s="198">
        <f>21805+108533.92+42894.99</f>
        <v>173233.91</v>
      </c>
      <c r="L181" s="198">
        <f>70067.12+385489+53919.83</f>
        <v>509475.95</v>
      </c>
      <c r="M181" s="198">
        <f>62447.79+112284+41888</f>
        <v>216619.79</v>
      </c>
      <c r="N181" s="198">
        <f>9292.26+78378.17+14360.5+71397+5511.13</f>
        <v>178939.06</v>
      </c>
      <c r="O181" s="198">
        <f>914+19685.83+3170</f>
        <v>23769.83</v>
      </c>
      <c r="P181" s="198">
        <f>67797+194316+11975</f>
        <v>274088</v>
      </c>
      <c r="Q181" s="198">
        <f>81661.93+498086+114825.27</f>
        <v>694573.2</v>
      </c>
      <c r="R181" s="198">
        <f>20374.11+20583+5935.5</f>
        <v>46892.61</v>
      </c>
      <c r="S181" s="198">
        <f>22528.62+44005+10787.65</f>
        <v>77321.26999999999</v>
      </c>
      <c r="T181" s="198">
        <f>14838.13+95676.45+8416.46</f>
        <v>118931.04000000001</v>
      </c>
      <c r="U181" s="198">
        <f>3849+29902+1985</f>
        <v>35736</v>
      </c>
      <c r="V181" s="198">
        <f>6332.15+6255+4339.34</f>
        <v>16926.489999999998</v>
      </c>
      <c r="W181" s="181">
        <f>SUM(B181:V181)</f>
        <v>5686062.71</v>
      </c>
    </row>
    <row r="182" spans="1:23" ht="11.25">
      <c r="A182" s="167" t="s">
        <v>52</v>
      </c>
      <c r="B182" s="201" t="s">
        <v>53</v>
      </c>
      <c r="C182" s="203" t="s">
        <v>52</v>
      </c>
      <c r="D182" s="203"/>
      <c r="E182" s="203"/>
      <c r="F182" s="203"/>
      <c r="G182" s="203"/>
      <c r="H182" s="203"/>
      <c r="I182" s="203"/>
      <c r="J182" s="204"/>
      <c r="K182" s="204"/>
      <c r="L182" s="204"/>
      <c r="M182" s="204"/>
      <c r="N182" s="204"/>
      <c r="O182" s="204"/>
      <c r="P182" s="204"/>
      <c r="Q182" s="204"/>
      <c r="R182" s="204"/>
      <c r="S182" s="204"/>
      <c r="T182" s="204"/>
      <c r="U182" s="204"/>
      <c r="V182" s="204"/>
      <c r="W182" s="205"/>
    </row>
    <row r="183" spans="1:23" ht="11.25">
      <c r="A183" s="159"/>
      <c r="B183" s="181">
        <f>SUM(B180:B182)</f>
        <v>300</v>
      </c>
      <c r="C183" s="197">
        <f aca="true" t="shared" si="27" ref="C183:V183">SUM(C180:C182)</f>
        <v>734403.81</v>
      </c>
      <c r="D183" s="197">
        <f t="shared" si="27"/>
        <v>3501</v>
      </c>
      <c r="E183" s="197">
        <f t="shared" si="27"/>
        <v>757611.4</v>
      </c>
      <c r="F183" s="197">
        <f t="shared" si="27"/>
        <v>57909.92999999999</v>
      </c>
      <c r="G183" s="197">
        <f t="shared" si="27"/>
        <v>946</v>
      </c>
      <c r="H183" s="197">
        <f t="shared" si="27"/>
        <v>1454571.54</v>
      </c>
      <c r="I183" s="197">
        <f t="shared" si="27"/>
        <v>228327.28000000003</v>
      </c>
      <c r="J183" s="198">
        <f t="shared" si="27"/>
        <v>81984.6</v>
      </c>
      <c r="K183" s="198">
        <f t="shared" si="27"/>
        <v>173233.91</v>
      </c>
      <c r="L183" s="198">
        <f t="shared" si="27"/>
        <v>509475.95</v>
      </c>
      <c r="M183" s="198">
        <f t="shared" si="27"/>
        <v>216619.79</v>
      </c>
      <c r="N183" s="198">
        <f t="shared" si="27"/>
        <v>178939.06</v>
      </c>
      <c r="O183" s="198">
        <f t="shared" si="27"/>
        <v>23769.83</v>
      </c>
      <c r="P183" s="198">
        <f t="shared" si="27"/>
        <v>274088</v>
      </c>
      <c r="Q183" s="198">
        <f t="shared" si="27"/>
        <v>694573.2</v>
      </c>
      <c r="R183" s="198">
        <f t="shared" si="27"/>
        <v>46892.61</v>
      </c>
      <c r="S183" s="198">
        <f t="shared" si="27"/>
        <v>77321.26999999999</v>
      </c>
      <c r="T183" s="198">
        <f t="shared" si="27"/>
        <v>118931.04000000001</v>
      </c>
      <c r="U183" s="198">
        <f t="shared" si="27"/>
        <v>35736</v>
      </c>
      <c r="V183" s="198">
        <f t="shared" si="27"/>
        <v>16926.489999999998</v>
      </c>
      <c r="W183" s="181">
        <f>SUM(B183:V183)</f>
        <v>5686062.71</v>
      </c>
    </row>
    <row r="184" spans="1:23" ht="11.25">
      <c r="A184" s="168"/>
      <c r="B184" s="205"/>
      <c r="C184" s="203"/>
      <c r="D184" s="203"/>
      <c r="E184" s="203"/>
      <c r="F184" s="203"/>
      <c r="G184" s="203"/>
      <c r="H184" s="203"/>
      <c r="I184" s="203"/>
      <c r="J184" s="204"/>
      <c r="K184" s="204"/>
      <c r="L184" s="204"/>
      <c r="M184" s="204"/>
      <c r="N184" s="204"/>
      <c r="O184" s="204"/>
      <c r="P184" s="204"/>
      <c r="Q184" s="204"/>
      <c r="R184" s="204"/>
      <c r="S184" s="204"/>
      <c r="T184" s="204"/>
      <c r="U184" s="204"/>
      <c r="V184" s="204"/>
      <c r="W184" s="205"/>
    </row>
    <row r="185" spans="1:23" ht="12" thickBot="1">
      <c r="A185" s="159" t="s">
        <v>541</v>
      </c>
      <c r="B185" s="207">
        <f aca="true" t="shared" si="28" ref="B185:V185">B177-B183</f>
        <v>524527.02</v>
      </c>
      <c r="C185" s="208">
        <f t="shared" si="28"/>
        <v>193129.65000000037</v>
      </c>
      <c r="D185" s="208">
        <f t="shared" si="28"/>
        <v>650.8899999999994</v>
      </c>
      <c r="E185" s="208">
        <f t="shared" si="28"/>
        <v>278260.70999999985</v>
      </c>
      <c r="F185" s="208">
        <f t="shared" si="28"/>
        <v>31183.78999999998</v>
      </c>
      <c r="G185" s="208">
        <f t="shared" si="28"/>
        <v>481.1299999999999</v>
      </c>
      <c r="H185" s="208">
        <f t="shared" si="28"/>
        <v>341532.7899999996</v>
      </c>
      <c r="I185" s="208">
        <f t="shared" si="28"/>
        <v>137379.96999999997</v>
      </c>
      <c r="J185" s="209">
        <f t="shared" si="28"/>
        <v>0.19000000003143214</v>
      </c>
      <c r="K185" s="209">
        <f t="shared" si="28"/>
        <v>-0.1300000000919681</v>
      </c>
      <c r="L185" s="209">
        <f t="shared" si="28"/>
        <v>1.5399999999790452</v>
      </c>
      <c r="M185" s="209">
        <f t="shared" si="28"/>
        <v>-0.7199999999429565</v>
      </c>
      <c r="N185" s="209">
        <f t="shared" si="28"/>
        <v>0.24000000004889444</v>
      </c>
      <c r="O185" s="209">
        <f t="shared" si="28"/>
        <v>-0.5900000000110595</v>
      </c>
      <c r="P185" s="209">
        <f t="shared" si="28"/>
        <v>0.0800000000745058</v>
      </c>
      <c r="Q185" s="209">
        <f t="shared" si="28"/>
        <v>-0.2899999999208376</v>
      </c>
      <c r="R185" s="209">
        <f t="shared" si="28"/>
        <v>-0.510000000052969</v>
      </c>
      <c r="S185" s="209">
        <f t="shared" si="28"/>
        <v>0.6900000000314321</v>
      </c>
      <c r="T185" s="209">
        <f t="shared" si="28"/>
        <v>0.009999999980209395</v>
      </c>
      <c r="U185" s="209">
        <f t="shared" si="28"/>
        <v>0.22000000000116415</v>
      </c>
      <c r="V185" s="209">
        <f t="shared" si="28"/>
        <v>-12.409999999981665</v>
      </c>
      <c r="W185" s="207">
        <f>SUM(B185:V185)</f>
        <v>1507134.27</v>
      </c>
    </row>
    <row r="186" ht="11.25" thickTop="1"/>
    <row r="200" ht="8.25" customHeight="1"/>
  </sheetData>
  <sheetProtection/>
  <printOptions/>
  <pageMargins left="0.7" right="0.7" top="0.75" bottom="0.75" header="0.3" footer="0.3"/>
  <pageSetup horizontalDpi="600" verticalDpi="600" orientation="landscape" paperSize="17" r:id="rId3"/>
  <colBreaks count="1" manualBreakCount="1">
    <brk id="9" max="65535" man="1"/>
  </colBreaks>
  <ignoredErrors>
    <ignoredError sqref="C22:C24 J22:J23 K22:K23 L22:L24 M22:M23 N22:N23 O22:T22 P23:V23 V22 E22:E23 F22:F24 H22:H23 I22:I23 G9 W9 K9 N9 B26:V26 K16 K13 N13 N16 H12 W12:W13 B18:K18 L18:V18 B29:H29 C32:F32 O32:R32 B32 H32:K32 L32:M32 S32:V32 P29:V29 N32 B37:W37 C34:V34 B49 B34 I29:O29 B21:B22 W44 B44 F47 H47:I47 B53:D53 E53:M53 G51 K61:L61 M144:W144 M146:W146 M118:W118 W114:W117 W121 W141 W142 J121:K121 B118:L118 B146:L146 B144:L144 B114:L117 B145:L145 B119:L120 B143 L121 W138 N123:S123 N143:S143 W135 W127 W130:W133 W122:W123 T124:W124 T123:V123 W134 W128:W129 J123:L123 W126 W125 G61:J61 B56:J60 B62:J72 B61:F61 C103:E103 B108:E108 B106:E106 B100:E100 B97:E97 B89:E89 B80:J88 B90:J96 F89:J89 B98:J99 F97:J97 B101:J102 F100:J100 B107:J107 F106:J106 F108:J108 B104:J105 B103 F103:J103 P45:W72 P80:W108 W18 W15:W16 W17 W19:W34 E125:F125 B126:H126 G132 G131 C123:I123 D133 D132 D131 G133 B130:B131 B134:H134 C130:H130 B141:H141 C122:H122 C124:H124 B139:H140 B136:H137 B128:H129 B127:H127 B135:H135 B138:H138 I122 B125:D125 B124 G125:H125 S124 I125 I138 I135 I127 I128:I129 I136:I137 I139:I140 I124 I141 I130 I134 I126 N126:R126 J126:L126 N134:R134 J134:L134 J130:L130 J141:K141 N139:R141 N136:R137 N128:R130 N124:R124 N127:R127 N135:R135 N138:R138 J124:L124 J139:L140 J136:L137 J128:L129 J127:L127 J135:L135 J138:L138 M138 M135 M127 J125:R125 M128:M129 M136:M137 M139:M140 M124 L141:M141 M130 M134 M126 S126 T126:V126 S134 T128:V129 T130:V130 T134:V134 T127:V127 T135:V135 S139:S141 S136:S137 S128:S130 S127 S135 S138 T138:V138 S125:V125 T136:V137 T139:V141 D143:L143 B132:B133 N142:V142 G142 C142:D142 B142 E142:F142 H142:M142 B154:F159 B173:F179 B169:F169 B170:B171 D170:D171 B172 D172 B165:F168 B153 O153:W160 I154:N159 G165:G168 G172 G171 G170 G169 G173:G179 G154:G159 G153:H153 H164 H154:H159 H173:H179 H169 H165:H168 B182:F185 G182:G185 H182:H185 I183:N185 O183:W185 W180 I153:J153 L153:N153 I174:N179 O173:W179 W170 W171 W172 C161:F161 G161:G163 H161:H163 I162:N169 J160:N160 I161 O162:W169 W161 B163:F163 C162:F162 U180 S180 Q180 J180:K180 B180:C180 H180:I180 E180 M180 O180:P180 T180 I173:K173 M173:N173 I182 W182 O182:V182 J182:N182 D181 W181 C181 E181:V181" unlockedFormula="1"/>
  </ignoredError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M180"/>
  <sheetViews>
    <sheetView zoomScalePageLayoutView="0" workbookViewId="0" topLeftCell="A1">
      <selection activeCell="A2" sqref="A2"/>
    </sheetView>
  </sheetViews>
  <sheetFormatPr defaultColWidth="9.33203125" defaultRowHeight="10.5"/>
  <cols>
    <col min="1" max="1" width="9.33203125" style="99" customWidth="1"/>
    <col min="2" max="3" width="3" style="99" customWidth="1"/>
    <col min="4" max="4" width="4.16015625" style="99" customWidth="1"/>
    <col min="5" max="5" width="5.5" style="99" customWidth="1"/>
    <col min="6" max="6" width="4.83203125" style="99" customWidth="1"/>
    <col min="7" max="7" width="3.66015625" style="99" customWidth="1"/>
    <col min="8" max="8" width="9.33203125" style="99" customWidth="1"/>
    <col min="9" max="9" width="3.83203125" style="99" customWidth="1"/>
    <col min="10" max="11" width="2.66015625" style="99" customWidth="1"/>
    <col min="12" max="12" width="3.5" style="99" customWidth="1"/>
    <col min="13" max="13" width="9.33203125" style="99" customWidth="1"/>
    <col min="14" max="14" width="3" style="99" customWidth="1"/>
    <col min="15" max="15" width="2.5" style="99" customWidth="1"/>
    <col min="16" max="16" width="2" style="99" customWidth="1"/>
    <col min="17" max="17" width="2.33203125" style="99" customWidth="1"/>
    <col min="18" max="18" width="9.33203125" style="99" customWidth="1"/>
    <col min="19" max="19" width="2" style="99" customWidth="1"/>
    <col min="20" max="20" width="2.33203125" style="99" customWidth="1"/>
    <col min="21" max="21" width="3.66015625" style="99" customWidth="1"/>
    <col min="22" max="22" width="7.83203125" style="99" customWidth="1"/>
    <col min="23" max="23" width="3" style="99" customWidth="1"/>
    <col min="24" max="24" width="4.33203125" style="99" customWidth="1"/>
    <col min="25" max="25" width="11.66015625" style="99" bestFit="1" customWidth="1"/>
    <col min="26" max="26" width="2.33203125" style="99" customWidth="1"/>
    <col min="27" max="29" width="2.66015625" style="99" customWidth="1"/>
    <col min="30" max="30" width="9.33203125" style="99" customWidth="1"/>
    <col min="31" max="32" width="2.5" style="99" customWidth="1"/>
    <col min="33" max="33" width="9.33203125" style="99" customWidth="1"/>
    <col min="34" max="34" width="1.5" style="99" customWidth="1"/>
    <col min="35" max="35" width="9.33203125" style="99" customWidth="1"/>
    <col min="36" max="36" width="1.0078125" style="99" customWidth="1"/>
    <col min="37" max="37" width="2.33203125" style="99" customWidth="1"/>
    <col min="38" max="38" width="10.66015625" style="99" bestFit="1" customWidth="1"/>
    <col min="39" max="16384" width="9.33203125" style="99" customWidth="1"/>
  </cols>
  <sheetData>
    <row r="1" ht="10.5">
      <c r="A1" s="90" t="s">
        <v>522</v>
      </c>
    </row>
    <row r="2" ht="10.5">
      <c r="A2" s="90" t="s">
        <v>497</v>
      </c>
    </row>
    <row r="3" spans="1:36" ht="12">
      <c r="A3" s="446" t="s">
        <v>329</v>
      </c>
      <c r="B3" s="446"/>
      <c r="C3" s="446"/>
      <c r="D3" s="406"/>
      <c r="E3" s="442" t="s">
        <v>487</v>
      </c>
      <c r="F3" s="442"/>
      <c r="G3" s="442"/>
      <c r="H3" s="442"/>
      <c r="I3" s="442"/>
      <c r="J3" s="442"/>
      <c r="K3" s="442"/>
      <c r="L3" s="442"/>
      <c r="M3" s="442"/>
      <c r="N3" s="442"/>
      <c r="O3" s="442"/>
      <c r="P3" s="442"/>
      <c r="Q3" s="406"/>
      <c r="R3" s="406"/>
      <c r="S3" s="406"/>
      <c r="T3" s="406"/>
      <c r="U3" s="406"/>
      <c r="V3" s="406"/>
      <c r="W3" s="406"/>
      <c r="X3" s="406"/>
      <c r="Y3" s="406"/>
      <c r="Z3" s="406"/>
      <c r="AA3" s="406"/>
      <c r="AB3" s="406"/>
      <c r="AC3" s="406"/>
      <c r="AD3" s="406"/>
      <c r="AE3" s="406"/>
      <c r="AF3" s="406"/>
      <c r="AG3" s="406"/>
      <c r="AH3" s="406"/>
      <c r="AI3" s="406"/>
      <c r="AJ3" s="406"/>
    </row>
    <row r="4" spans="1:36" ht="10.5" customHeight="1">
      <c r="A4" s="439"/>
      <c r="B4" s="446"/>
      <c r="C4" s="44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row>
    <row r="5" spans="1:36" ht="12">
      <c r="A5" s="406"/>
      <c r="B5" s="406"/>
      <c r="C5" s="446" t="s">
        <v>331</v>
      </c>
      <c r="D5" s="446"/>
      <c r="E5" s="446"/>
      <c r="F5" s="446"/>
      <c r="G5" s="406"/>
      <c r="H5" s="442" t="s">
        <v>44</v>
      </c>
      <c r="I5" s="442"/>
      <c r="J5" s="442"/>
      <c r="K5" s="442"/>
      <c r="L5" s="442"/>
      <c r="M5" s="442"/>
      <c r="N5" s="442"/>
      <c r="O5" s="442"/>
      <c r="P5" s="442"/>
      <c r="Q5" s="442"/>
      <c r="R5" s="442"/>
      <c r="S5" s="442"/>
      <c r="T5" s="406"/>
      <c r="U5" s="406"/>
      <c r="V5" s="406"/>
      <c r="W5" s="406"/>
      <c r="X5" s="406"/>
      <c r="Y5" s="406"/>
      <c r="Z5" s="406"/>
      <c r="AA5" s="406"/>
      <c r="AB5" s="406"/>
      <c r="AC5" s="406"/>
      <c r="AD5" s="406"/>
      <c r="AE5" s="406"/>
      <c r="AF5" s="406"/>
      <c r="AG5" s="406"/>
      <c r="AH5" s="406"/>
      <c r="AI5" s="406"/>
      <c r="AJ5" s="406"/>
    </row>
    <row r="6" spans="1:39" ht="12" customHeight="1">
      <c r="A6" s="446" t="s">
        <v>332</v>
      </c>
      <c r="B6" s="446"/>
      <c r="C6" s="446"/>
      <c r="D6" s="446"/>
      <c r="E6" s="446"/>
      <c r="F6" s="406"/>
      <c r="G6" s="406"/>
      <c r="H6" s="406"/>
      <c r="I6" s="447" t="s">
        <v>510</v>
      </c>
      <c r="J6" s="447"/>
      <c r="K6" s="447"/>
      <c r="L6" s="447"/>
      <c r="M6" s="447"/>
      <c r="N6" s="447"/>
      <c r="O6" s="445" t="s">
        <v>511</v>
      </c>
      <c r="P6" s="445"/>
      <c r="Q6" s="445"/>
      <c r="R6" s="445"/>
      <c r="S6" s="406"/>
      <c r="T6" s="445" t="s">
        <v>512</v>
      </c>
      <c r="U6" s="445"/>
      <c r="V6" s="445"/>
      <c r="W6" s="406"/>
      <c r="X6" s="448" t="s">
        <v>488</v>
      </c>
      <c r="Y6" s="448"/>
      <c r="Z6" s="406"/>
      <c r="AA6" s="406"/>
      <c r="AB6" s="445" t="s">
        <v>513</v>
      </c>
      <c r="AC6" s="445"/>
      <c r="AD6" s="445"/>
      <c r="AE6" s="406"/>
      <c r="AF6" s="406"/>
      <c r="AG6" s="405" t="s">
        <v>514</v>
      </c>
      <c r="AH6" s="406"/>
      <c r="AI6" s="445" t="s">
        <v>515</v>
      </c>
      <c r="AJ6" s="445"/>
      <c r="AL6" s="164"/>
      <c r="AM6" s="164"/>
    </row>
    <row r="7" spans="1:39" ht="10.5">
      <c r="A7" s="406"/>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L7" s="164"/>
      <c r="AM7" s="164"/>
    </row>
    <row r="8" spans="1:39" ht="11.25" customHeight="1">
      <c r="A8" s="441" t="s">
        <v>196</v>
      </c>
      <c r="B8" s="441"/>
      <c r="C8" s="441"/>
      <c r="D8" s="441"/>
      <c r="E8" s="441"/>
      <c r="F8" s="441"/>
      <c r="G8" s="441"/>
      <c r="H8" s="441" t="s">
        <v>489</v>
      </c>
      <c r="I8" s="441"/>
      <c r="J8" s="441"/>
      <c r="K8" s="442" t="s">
        <v>344</v>
      </c>
      <c r="L8" s="442"/>
      <c r="M8" s="441" t="s">
        <v>490</v>
      </c>
      <c r="N8" s="441"/>
      <c r="O8" s="406"/>
      <c r="P8" s="443">
        <v>33939</v>
      </c>
      <c r="Q8" s="443"/>
      <c r="R8" s="443"/>
      <c r="S8" s="406"/>
      <c r="T8" s="443">
        <v>12026.28</v>
      </c>
      <c r="U8" s="443"/>
      <c r="V8" s="443"/>
      <c r="W8" s="406"/>
      <c r="X8" s="444">
        <v>21912.72</v>
      </c>
      <c r="Y8" s="444"/>
      <c r="Z8" s="406"/>
      <c r="AA8" s="443">
        <v>12026.28</v>
      </c>
      <c r="AB8" s="443"/>
      <c r="AC8" s="443"/>
      <c r="AD8" s="443"/>
      <c r="AE8" s="406"/>
      <c r="AF8" s="444">
        <v>0</v>
      </c>
      <c r="AG8" s="444"/>
      <c r="AH8" s="406"/>
      <c r="AI8" s="407">
        <v>35.43</v>
      </c>
      <c r="AJ8" s="406"/>
      <c r="AL8" s="164">
        <v>12026.28</v>
      </c>
      <c r="AM8" s="164">
        <f>T8-AL8</f>
        <v>0</v>
      </c>
    </row>
    <row r="9" spans="1:39" ht="10.5" customHeight="1">
      <c r="A9" s="406"/>
      <c r="B9" s="406"/>
      <c r="C9" s="406"/>
      <c r="D9" s="406"/>
      <c r="E9" s="406"/>
      <c r="F9" s="406"/>
      <c r="G9" s="406"/>
      <c r="H9" s="406"/>
      <c r="I9" s="406"/>
      <c r="J9" s="406"/>
      <c r="K9" s="439"/>
      <c r="L9" s="442"/>
      <c r="M9" s="406"/>
      <c r="N9" s="406"/>
      <c r="O9" s="406"/>
      <c r="P9" s="406"/>
      <c r="Q9" s="406"/>
      <c r="R9" s="406"/>
      <c r="S9" s="406"/>
      <c r="T9" s="406"/>
      <c r="U9" s="406"/>
      <c r="V9" s="406"/>
      <c r="W9" s="406"/>
      <c r="X9" s="406"/>
      <c r="Y9" s="406"/>
      <c r="Z9" s="406"/>
      <c r="AA9" s="406"/>
      <c r="AB9" s="406"/>
      <c r="AC9" s="406"/>
      <c r="AD9" s="406"/>
      <c r="AE9" s="406"/>
      <c r="AF9" s="406"/>
      <c r="AG9" s="406"/>
      <c r="AH9" s="406"/>
      <c r="AI9" s="406"/>
      <c r="AJ9" s="406"/>
      <c r="AL9" s="164"/>
      <c r="AM9" s="164"/>
    </row>
    <row r="10" spans="1:39" ht="11.25" customHeight="1">
      <c r="A10" s="441" t="s">
        <v>36</v>
      </c>
      <c r="B10" s="441"/>
      <c r="C10" s="441"/>
      <c r="D10" s="441"/>
      <c r="E10" s="441"/>
      <c r="F10" s="441"/>
      <c r="G10" s="441"/>
      <c r="H10" s="441" t="s">
        <v>489</v>
      </c>
      <c r="I10" s="441"/>
      <c r="J10" s="441"/>
      <c r="K10" s="442" t="s">
        <v>344</v>
      </c>
      <c r="L10" s="442"/>
      <c r="M10" s="441" t="s">
        <v>490</v>
      </c>
      <c r="N10" s="441"/>
      <c r="O10" s="406"/>
      <c r="P10" s="443">
        <v>633</v>
      </c>
      <c r="Q10" s="443"/>
      <c r="R10" s="443"/>
      <c r="S10" s="406"/>
      <c r="T10" s="443">
        <v>633</v>
      </c>
      <c r="U10" s="443"/>
      <c r="V10" s="443"/>
      <c r="W10" s="406"/>
      <c r="X10" s="444">
        <v>0</v>
      </c>
      <c r="Y10" s="444"/>
      <c r="Z10" s="406"/>
      <c r="AA10" s="443">
        <v>633</v>
      </c>
      <c r="AB10" s="443"/>
      <c r="AC10" s="443"/>
      <c r="AD10" s="443"/>
      <c r="AE10" s="406"/>
      <c r="AF10" s="444">
        <v>0</v>
      </c>
      <c r="AG10" s="444"/>
      <c r="AH10" s="406"/>
      <c r="AI10" s="407">
        <v>100</v>
      </c>
      <c r="AJ10" s="406"/>
      <c r="AL10" s="164">
        <v>633</v>
      </c>
      <c r="AM10" s="164">
        <f>T10-AL10</f>
        <v>0</v>
      </c>
    </row>
    <row r="11" spans="1:39" ht="10.5" customHeight="1">
      <c r="A11" s="406"/>
      <c r="B11" s="406"/>
      <c r="C11" s="406"/>
      <c r="D11" s="406"/>
      <c r="E11" s="406"/>
      <c r="F11" s="406"/>
      <c r="G11" s="406"/>
      <c r="H11" s="406"/>
      <c r="I11" s="406"/>
      <c r="J11" s="406"/>
      <c r="K11" s="439"/>
      <c r="L11" s="442"/>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L11" s="164"/>
      <c r="AM11" s="164"/>
    </row>
    <row r="12" spans="1:39" ht="11.25" customHeight="1">
      <c r="A12" s="406"/>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L12" s="164"/>
      <c r="AM12" s="164"/>
    </row>
    <row r="13" spans="1:39" ht="10.5" customHeight="1">
      <c r="A13" s="406"/>
      <c r="B13" s="406"/>
      <c r="C13" s="406"/>
      <c r="D13" s="406"/>
      <c r="E13" s="406"/>
      <c r="F13" s="406"/>
      <c r="G13" s="406"/>
      <c r="H13" s="406"/>
      <c r="I13" s="406"/>
      <c r="J13" s="406"/>
      <c r="K13" s="406"/>
      <c r="L13" s="406"/>
      <c r="M13" s="406"/>
      <c r="N13" s="406"/>
      <c r="O13" s="437">
        <v>34572</v>
      </c>
      <c r="P13" s="437"/>
      <c r="Q13" s="437"/>
      <c r="R13" s="437"/>
      <c r="S13" s="406"/>
      <c r="T13" s="437">
        <v>12659.28</v>
      </c>
      <c r="U13" s="437"/>
      <c r="V13" s="437"/>
      <c r="W13" s="406"/>
      <c r="X13" s="437">
        <v>21912.72</v>
      </c>
      <c r="Y13" s="437"/>
      <c r="Z13" s="406"/>
      <c r="AA13" s="437">
        <v>12659.28</v>
      </c>
      <c r="AB13" s="437"/>
      <c r="AC13" s="437"/>
      <c r="AD13" s="437"/>
      <c r="AE13" s="406"/>
      <c r="AF13" s="437">
        <v>0</v>
      </c>
      <c r="AG13" s="437"/>
      <c r="AH13" s="406"/>
      <c r="AI13" s="406"/>
      <c r="AJ13" s="406"/>
      <c r="AL13" s="164">
        <f>SUM(AL8:AL10)</f>
        <v>12659.28</v>
      </c>
      <c r="AM13" s="164">
        <f>SUM(AM8:AM10)</f>
        <v>0</v>
      </c>
    </row>
    <row r="14" spans="1:39" ht="10.5" customHeight="1">
      <c r="A14" s="406"/>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L14" s="164"/>
      <c r="AM14" s="164"/>
    </row>
    <row r="15" spans="1:39" ht="10.5" customHeight="1">
      <c r="A15" s="406"/>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L15" s="164"/>
      <c r="AM15" s="164"/>
    </row>
    <row r="16" spans="1:39" ht="11.25" customHeight="1">
      <c r="A16" s="406"/>
      <c r="B16" s="438" t="s">
        <v>491</v>
      </c>
      <c r="C16" s="438"/>
      <c r="D16" s="438"/>
      <c r="E16" s="438"/>
      <c r="F16" s="438"/>
      <c r="G16" s="438"/>
      <c r="H16" s="438"/>
      <c r="I16" s="438"/>
      <c r="J16" s="438"/>
      <c r="K16" s="438"/>
      <c r="L16" s="438"/>
      <c r="M16" s="438"/>
      <c r="N16" s="406"/>
      <c r="O16" s="440">
        <v>34572</v>
      </c>
      <c r="P16" s="440"/>
      <c r="Q16" s="440"/>
      <c r="R16" s="440"/>
      <c r="S16" s="406"/>
      <c r="T16" s="440">
        <v>12659.28</v>
      </c>
      <c r="U16" s="440"/>
      <c r="V16" s="440"/>
      <c r="W16" s="406"/>
      <c r="X16" s="437">
        <v>21912.72</v>
      </c>
      <c r="Y16" s="437"/>
      <c r="Z16" s="406"/>
      <c r="AA16" s="440">
        <v>12659.28</v>
      </c>
      <c r="AB16" s="440"/>
      <c r="AC16" s="440"/>
      <c r="AD16" s="440"/>
      <c r="AE16" s="406"/>
      <c r="AF16" s="440">
        <v>0</v>
      </c>
      <c r="AG16" s="440"/>
      <c r="AH16" s="406"/>
      <c r="AI16" s="406"/>
      <c r="AJ16" s="406"/>
      <c r="AL16" s="164"/>
      <c r="AM16" s="164"/>
    </row>
    <row r="17" spans="1:39" ht="10.5" customHeight="1">
      <c r="A17" s="406"/>
      <c r="B17" s="439"/>
      <c r="C17" s="438"/>
      <c r="D17" s="438"/>
      <c r="E17" s="438"/>
      <c r="F17" s="438"/>
      <c r="G17" s="438"/>
      <c r="H17" s="438"/>
      <c r="I17" s="438"/>
      <c r="J17" s="438"/>
      <c r="K17" s="438"/>
      <c r="L17" s="438"/>
      <c r="M17" s="438"/>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L17" s="164"/>
      <c r="AM17" s="164"/>
    </row>
    <row r="18" spans="1:39" ht="11.25" customHeight="1">
      <c r="A18" s="406"/>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L18" s="164"/>
      <c r="AM18" s="164"/>
    </row>
    <row r="19" spans="1:39" ht="10.5" customHeight="1">
      <c r="A19" s="446" t="s">
        <v>329</v>
      </c>
      <c r="B19" s="446"/>
      <c r="C19" s="446"/>
      <c r="D19" s="406"/>
      <c r="E19" s="442" t="s">
        <v>492</v>
      </c>
      <c r="F19" s="442"/>
      <c r="G19" s="442"/>
      <c r="H19" s="442"/>
      <c r="I19" s="442"/>
      <c r="J19" s="442"/>
      <c r="K19" s="442"/>
      <c r="L19" s="442"/>
      <c r="M19" s="442"/>
      <c r="N19" s="442"/>
      <c r="O19" s="442"/>
      <c r="P19" s="442"/>
      <c r="Q19" s="406"/>
      <c r="R19" s="406"/>
      <c r="S19" s="406"/>
      <c r="T19" s="406"/>
      <c r="U19" s="406"/>
      <c r="V19" s="406"/>
      <c r="W19" s="406"/>
      <c r="X19" s="406"/>
      <c r="Y19" s="406"/>
      <c r="Z19" s="406"/>
      <c r="AA19" s="406"/>
      <c r="AB19" s="406"/>
      <c r="AC19" s="406"/>
      <c r="AD19" s="406"/>
      <c r="AE19" s="406"/>
      <c r="AF19" s="406"/>
      <c r="AG19" s="406"/>
      <c r="AH19" s="406"/>
      <c r="AI19" s="406"/>
      <c r="AJ19" s="406"/>
      <c r="AL19" s="164"/>
      <c r="AM19" s="164"/>
    </row>
    <row r="20" spans="1:39" ht="11.25" customHeight="1">
      <c r="A20" s="439"/>
      <c r="B20" s="446"/>
      <c r="C20" s="44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L20" s="164"/>
      <c r="AM20" s="164"/>
    </row>
    <row r="21" spans="1:39" ht="10.5" customHeight="1">
      <c r="A21" s="406"/>
      <c r="B21" s="406"/>
      <c r="C21" s="446" t="s">
        <v>331</v>
      </c>
      <c r="D21" s="446"/>
      <c r="E21" s="446"/>
      <c r="F21" s="446"/>
      <c r="G21" s="406"/>
      <c r="H21" s="442" t="s">
        <v>44</v>
      </c>
      <c r="I21" s="442"/>
      <c r="J21" s="442"/>
      <c r="K21" s="442"/>
      <c r="L21" s="442"/>
      <c r="M21" s="442"/>
      <c r="N21" s="442"/>
      <c r="O21" s="442"/>
      <c r="P21" s="442"/>
      <c r="Q21" s="442"/>
      <c r="R21" s="442"/>
      <c r="S21" s="442"/>
      <c r="T21" s="406"/>
      <c r="U21" s="406"/>
      <c r="V21" s="406"/>
      <c r="W21" s="406"/>
      <c r="X21" s="406"/>
      <c r="Y21" s="406"/>
      <c r="Z21" s="406"/>
      <c r="AA21" s="406"/>
      <c r="AB21" s="406"/>
      <c r="AC21" s="406"/>
      <c r="AD21" s="406"/>
      <c r="AE21" s="406"/>
      <c r="AF21" s="406"/>
      <c r="AG21" s="406"/>
      <c r="AH21" s="406"/>
      <c r="AI21" s="406"/>
      <c r="AJ21" s="406"/>
      <c r="AL21" s="164"/>
      <c r="AM21" s="164"/>
    </row>
    <row r="22" spans="1:39" ht="11.25" customHeight="1">
      <c r="A22" s="446" t="s">
        <v>332</v>
      </c>
      <c r="B22" s="446"/>
      <c r="C22" s="446"/>
      <c r="D22" s="446"/>
      <c r="E22" s="446"/>
      <c r="F22" s="406"/>
      <c r="G22" s="406"/>
      <c r="H22" s="406"/>
      <c r="I22" s="447" t="s">
        <v>510</v>
      </c>
      <c r="J22" s="447"/>
      <c r="K22" s="447"/>
      <c r="L22" s="447"/>
      <c r="M22" s="447"/>
      <c r="N22" s="447"/>
      <c r="O22" s="445" t="s">
        <v>511</v>
      </c>
      <c r="P22" s="445"/>
      <c r="Q22" s="445"/>
      <c r="R22" s="445"/>
      <c r="S22" s="406"/>
      <c r="T22" s="445" t="s">
        <v>512</v>
      </c>
      <c r="U22" s="445"/>
      <c r="V22" s="445"/>
      <c r="W22" s="406"/>
      <c r="X22" s="448" t="s">
        <v>488</v>
      </c>
      <c r="Y22" s="448"/>
      <c r="Z22" s="406"/>
      <c r="AA22" s="406"/>
      <c r="AB22" s="445" t="s">
        <v>513</v>
      </c>
      <c r="AC22" s="445"/>
      <c r="AD22" s="445"/>
      <c r="AE22" s="406"/>
      <c r="AF22" s="406"/>
      <c r="AG22" s="405" t="s">
        <v>514</v>
      </c>
      <c r="AH22" s="406"/>
      <c r="AI22" s="445" t="s">
        <v>515</v>
      </c>
      <c r="AJ22" s="445"/>
      <c r="AL22" s="164"/>
      <c r="AM22" s="164"/>
    </row>
    <row r="23" spans="1:39" ht="10.5" customHeight="1">
      <c r="A23" s="406"/>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L23" s="164"/>
      <c r="AM23" s="164"/>
    </row>
    <row r="24" spans="1:39" ht="11.25" customHeight="1">
      <c r="A24" s="441" t="s">
        <v>23</v>
      </c>
      <c r="B24" s="441"/>
      <c r="C24" s="441"/>
      <c r="D24" s="441"/>
      <c r="E24" s="441"/>
      <c r="F24" s="441"/>
      <c r="G24" s="441"/>
      <c r="H24" s="441" t="s">
        <v>489</v>
      </c>
      <c r="I24" s="441"/>
      <c r="J24" s="441"/>
      <c r="K24" s="442" t="s">
        <v>344</v>
      </c>
      <c r="L24" s="442"/>
      <c r="M24" s="441" t="s">
        <v>490</v>
      </c>
      <c r="N24" s="441"/>
      <c r="O24" s="406"/>
      <c r="P24" s="443">
        <v>30102</v>
      </c>
      <c r="Q24" s="443"/>
      <c r="R24" s="443"/>
      <c r="S24" s="406"/>
      <c r="T24" s="443">
        <v>0</v>
      </c>
      <c r="U24" s="443"/>
      <c r="V24" s="443"/>
      <c r="W24" s="406"/>
      <c r="X24" s="444">
        <v>30102</v>
      </c>
      <c r="Y24" s="444"/>
      <c r="Z24" s="406"/>
      <c r="AA24" s="443">
        <v>12848.72</v>
      </c>
      <c r="AB24" s="443"/>
      <c r="AC24" s="443"/>
      <c r="AD24" s="443"/>
      <c r="AE24" s="406"/>
      <c r="AF24" s="444">
        <v>-12848.72</v>
      </c>
      <c r="AG24" s="444"/>
      <c r="AH24" s="406"/>
      <c r="AI24" s="407">
        <v>42.68</v>
      </c>
      <c r="AJ24" s="406"/>
      <c r="AL24" s="164"/>
      <c r="AM24" s="164"/>
    </row>
    <row r="25" spans="1:39" ht="10.5" customHeight="1">
      <c r="A25" s="406"/>
      <c r="B25" s="406"/>
      <c r="C25" s="406"/>
      <c r="D25" s="406"/>
      <c r="E25" s="406"/>
      <c r="F25" s="406"/>
      <c r="G25" s="406"/>
      <c r="H25" s="406"/>
      <c r="I25" s="406"/>
      <c r="J25" s="406"/>
      <c r="K25" s="439"/>
      <c r="L25" s="442"/>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L25" s="164"/>
      <c r="AM25" s="164"/>
    </row>
    <row r="26" spans="1:39" ht="11.25" customHeight="1">
      <c r="A26" s="441" t="s">
        <v>24</v>
      </c>
      <c r="B26" s="441"/>
      <c r="C26" s="441"/>
      <c r="D26" s="441"/>
      <c r="E26" s="441"/>
      <c r="F26" s="441"/>
      <c r="G26" s="441"/>
      <c r="H26" s="441" t="s">
        <v>489</v>
      </c>
      <c r="I26" s="441"/>
      <c r="J26" s="441"/>
      <c r="K26" s="442" t="s">
        <v>344</v>
      </c>
      <c r="L26" s="442"/>
      <c r="M26" s="441" t="s">
        <v>490</v>
      </c>
      <c r="N26" s="441"/>
      <c r="O26" s="406"/>
      <c r="P26" s="443">
        <v>12239.53</v>
      </c>
      <c r="Q26" s="443"/>
      <c r="R26" s="443"/>
      <c r="S26" s="406"/>
      <c r="T26" s="443">
        <v>1689.62</v>
      </c>
      <c r="U26" s="443"/>
      <c r="V26" s="443"/>
      <c r="W26" s="406"/>
      <c r="X26" s="444">
        <v>10549.91</v>
      </c>
      <c r="Y26" s="444"/>
      <c r="Z26" s="406"/>
      <c r="AA26" s="443">
        <v>1189.62</v>
      </c>
      <c r="AB26" s="443"/>
      <c r="AC26" s="443"/>
      <c r="AD26" s="443"/>
      <c r="AE26" s="406"/>
      <c r="AF26" s="444">
        <v>500</v>
      </c>
      <c r="AG26" s="444"/>
      <c r="AH26" s="406"/>
      <c r="AI26" s="407">
        <v>9.72</v>
      </c>
      <c r="AJ26" s="406"/>
      <c r="AL26" s="164">
        <v>1689.62</v>
      </c>
      <c r="AM26" s="164">
        <f>T26-AL26</f>
        <v>0</v>
      </c>
    </row>
    <row r="27" spans="1:39" ht="10.5" customHeight="1">
      <c r="A27" s="406"/>
      <c r="B27" s="406"/>
      <c r="C27" s="406"/>
      <c r="D27" s="406"/>
      <c r="E27" s="406"/>
      <c r="F27" s="406"/>
      <c r="G27" s="406"/>
      <c r="H27" s="406"/>
      <c r="I27" s="406"/>
      <c r="J27" s="406"/>
      <c r="K27" s="439"/>
      <c r="L27" s="442"/>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L27" s="164"/>
      <c r="AM27" s="164"/>
    </row>
    <row r="28" spans="1:39" ht="11.25" customHeight="1">
      <c r="A28" s="441" t="s">
        <v>25</v>
      </c>
      <c r="B28" s="441"/>
      <c r="C28" s="441"/>
      <c r="D28" s="441"/>
      <c r="E28" s="441"/>
      <c r="F28" s="441"/>
      <c r="G28" s="441"/>
      <c r="H28" s="441" t="s">
        <v>489</v>
      </c>
      <c r="I28" s="441"/>
      <c r="J28" s="441"/>
      <c r="K28" s="442" t="s">
        <v>344</v>
      </c>
      <c r="L28" s="442"/>
      <c r="M28" s="441" t="s">
        <v>490</v>
      </c>
      <c r="N28" s="441"/>
      <c r="O28" s="406"/>
      <c r="P28" s="443">
        <v>16557.76</v>
      </c>
      <c r="Q28" s="443"/>
      <c r="R28" s="443"/>
      <c r="S28" s="406"/>
      <c r="T28" s="443">
        <v>0</v>
      </c>
      <c r="U28" s="443"/>
      <c r="V28" s="443"/>
      <c r="W28" s="406"/>
      <c r="X28" s="444">
        <v>16557.76</v>
      </c>
      <c r="Y28" s="444"/>
      <c r="Z28" s="406"/>
      <c r="AA28" s="443">
        <v>0</v>
      </c>
      <c r="AB28" s="443"/>
      <c r="AC28" s="443"/>
      <c r="AD28" s="443"/>
      <c r="AE28" s="406"/>
      <c r="AF28" s="444">
        <v>0</v>
      </c>
      <c r="AG28" s="444"/>
      <c r="AH28" s="406"/>
      <c r="AI28" s="407">
        <v>0</v>
      </c>
      <c r="AJ28" s="406"/>
      <c r="AL28" s="164"/>
      <c r="AM28" s="164"/>
    </row>
    <row r="29" spans="1:39" ht="10.5" customHeight="1">
      <c r="A29" s="406"/>
      <c r="B29" s="406"/>
      <c r="C29" s="406"/>
      <c r="D29" s="406"/>
      <c r="E29" s="406"/>
      <c r="F29" s="406"/>
      <c r="G29" s="406"/>
      <c r="H29" s="406"/>
      <c r="I29" s="406"/>
      <c r="J29" s="406"/>
      <c r="K29" s="439"/>
      <c r="L29" s="442"/>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L29" s="164"/>
      <c r="AM29" s="164"/>
    </row>
    <row r="30" spans="1:39" ht="11.25" customHeight="1">
      <c r="A30" s="441" t="s">
        <v>493</v>
      </c>
      <c r="B30" s="441"/>
      <c r="C30" s="441"/>
      <c r="D30" s="441"/>
      <c r="E30" s="441"/>
      <c r="F30" s="441"/>
      <c r="G30" s="441"/>
      <c r="H30" s="441" t="s">
        <v>489</v>
      </c>
      <c r="I30" s="441"/>
      <c r="J30" s="441"/>
      <c r="K30" s="442" t="s">
        <v>344</v>
      </c>
      <c r="L30" s="442"/>
      <c r="M30" s="441" t="s">
        <v>490</v>
      </c>
      <c r="N30" s="441"/>
      <c r="O30" s="406"/>
      <c r="P30" s="443">
        <v>2856</v>
      </c>
      <c r="Q30" s="443"/>
      <c r="R30" s="443"/>
      <c r="S30" s="406"/>
      <c r="T30" s="443">
        <v>0</v>
      </c>
      <c r="U30" s="443"/>
      <c r="V30" s="443"/>
      <c r="W30" s="406"/>
      <c r="X30" s="444">
        <v>2856</v>
      </c>
      <c r="Y30" s="444"/>
      <c r="Z30" s="406"/>
      <c r="AA30" s="443">
        <v>0</v>
      </c>
      <c r="AB30" s="443"/>
      <c r="AC30" s="443"/>
      <c r="AD30" s="443"/>
      <c r="AE30" s="406"/>
      <c r="AF30" s="444">
        <v>0</v>
      </c>
      <c r="AG30" s="444"/>
      <c r="AH30" s="406"/>
      <c r="AI30" s="407">
        <v>0</v>
      </c>
      <c r="AJ30" s="406"/>
      <c r="AL30" s="164"/>
      <c r="AM30" s="164"/>
    </row>
    <row r="31" spans="1:39" ht="10.5" customHeight="1">
      <c r="A31" s="406"/>
      <c r="B31" s="406"/>
      <c r="C31" s="406"/>
      <c r="D31" s="406"/>
      <c r="E31" s="406"/>
      <c r="F31" s="406"/>
      <c r="G31" s="406"/>
      <c r="H31" s="406"/>
      <c r="I31" s="406"/>
      <c r="J31" s="406"/>
      <c r="K31" s="439"/>
      <c r="L31" s="442"/>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L31" s="164"/>
      <c r="AM31" s="164"/>
    </row>
    <row r="32" spans="1:39" ht="11.25" customHeight="1">
      <c r="A32" s="441" t="s">
        <v>27</v>
      </c>
      <c r="B32" s="441"/>
      <c r="C32" s="441"/>
      <c r="D32" s="441"/>
      <c r="E32" s="441"/>
      <c r="F32" s="441"/>
      <c r="G32" s="441"/>
      <c r="H32" s="441" t="s">
        <v>489</v>
      </c>
      <c r="I32" s="441"/>
      <c r="J32" s="441"/>
      <c r="K32" s="442" t="s">
        <v>344</v>
      </c>
      <c r="L32" s="442"/>
      <c r="M32" s="441" t="s">
        <v>490</v>
      </c>
      <c r="N32" s="441"/>
      <c r="O32" s="406"/>
      <c r="P32" s="443">
        <v>92930</v>
      </c>
      <c r="Q32" s="443"/>
      <c r="R32" s="443"/>
      <c r="S32" s="406"/>
      <c r="T32" s="443">
        <v>2123</v>
      </c>
      <c r="U32" s="443"/>
      <c r="V32" s="443"/>
      <c r="W32" s="406"/>
      <c r="X32" s="444">
        <v>90807</v>
      </c>
      <c r="Y32" s="444"/>
      <c r="Z32" s="406"/>
      <c r="AA32" s="443">
        <v>2123</v>
      </c>
      <c r="AB32" s="443"/>
      <c r="AC32" s="443"/>
      <c r="AD32" s="443"/>
      <c r="AE32" s="406"/>
      <c r="AF32" s="444">
        <v>0</v>
      </c>
      <c r="AG32" s="444"/>
      <c r="AH32" s="406"/>
      <c r="AI32" s="407">
        <v>2.28</v>
      </c>
      <c r="AJ32" s="406"/>
      <c r="AL32" s="164">
        <v>2123</v>
      </c>
      <c r="AM32" s="164">
        <f>T32-AL32</f>
        <v>0</v>
      </c>
    </row>
    <row r="33" spans="1:39" ht="10.5" customHeight="1">
      <c r="A33" s="406"/>
      <c r="B33" s="406"/>
      <c r="C33" s="406"/>
      <c r="D33" s="406"/>
      <c r="E33" s="406"/>
      <c r="F33" s="406"/>
      <c r="G33" s="406"/>
      <c r="H33" s="406"/>
      <c r="I33" s="406"/>
      <c r="J33" s="406"/>
      <c r="K33" s="439"/>
      <c r="L33" s="442"/>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L33" s="164"/>
      <c r="AM33" s="164"/>
    </row>
    <row r="34" spans="1:39" ht="11.25" customHeight="1">
      <c r="A34" s="441" t="s">
        <v>165</v>
      </c>
      <c r="B34" s="441"/>
      <c r="C34" s="441"/>
      <c r="D34" s="441"/>
      <c r="E34" s="441"/>
      <c r="F34" s="441"/>
      <c r="G34" s="441"/>
      <c r="H34" s="441" t="s">
        <v>489</v>
      </c>
      <c r="I34" s="441"/>
      <c r="J34" s="441"/>
      <c r="K34" s="442" t="s">
        <v>344</v>
      </c>
      <c r="L34" s="442"/>
      <c r="M34" s="441" t="s">
        <v>490</v>
      </c>
      <c r="N34" s="441"/>
      <c r="O34" s="406"/>
      <c r="P34" s="443">
        <v>13818</v>
      </c>
      <c r="Q34" s="443"/>
      <c r="R34" s="443"/>
      <c r="S34" s="406"/>
      <c r="T34" s="443">
        <v>3151.26</v>
      </c>
      <c r="U34" s="443"/>
      <c r="V34" s="443"/>
      <c r="W34" s="406"/>
      <c r="X34" s="444">
        <v>10666.74</v>
      </c>
      <c r="Y34" s="444"/>
      <c r="Z34" s="406"/>
      <c r="AA34" s="443">
        <v>3794.66</v>
      </c>
      <c r="AB34" s="443"/>
      <c r="AC34" s="443"/>
      <c r="AD34" s="443"/>
      <c r="AE34" s="406"/>
      <c r="AF34" s="444">
        <v>-643.4</v>
      </c>
      <c r="AG34" s="444"/>
      <c r="AH34" s="406"/>
      <c r="AI34" s="407">
        <v>27.46</v>
      </c>
      <c r="AJ34" s="406"/>
      <c r="AL34" s="164">
        <v>3151.26</v>
      </c>
      <c r="AM34" s="164">
        <f>T34-AL34</f>
        <v>0</v>
      </c>
    </row>
    <row r="35" spans="1:39" ht="10.5" customHeight="1">
      <c r="A35" s="406"/>
      <c r="B35" s="406"/>
      <c r="C35" s="406"/>
      <c r="D35" s="406"/>
      <c r="E35" s="406"/>
      <c r="F35" s="406"/>
      <c r="G35" s="406"/>
      <c r="H35" s="406"/>
      <c r="I35" s="406"/>
      <c r="J35" s="406"/>
      <c r="K35" s="439"/>
      <c r="L35" s="442"/>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L35" s="164"/>
      <c r="AM35" s="164"/>
    </row>
    <row r="36" spans="1:39" ht="11.25" customHeight="1">
      <c r="A36" s="441" t="s">
        <v>516</v>
      </c>
      <c r="B36" s="441"/>
      <c r="C36" s="441"/>
      <c r="D36" s="441"/>
      <c r="E36" s="441"/>
      <c r="F36" s="441"/>
      <c r="G36" s="441"/>
      <c r="H36" s="441" t="s">
        <v>489</v>
      </c>
      <c r="I36" s="441"/>
      <c r="J36" s="441"/>
      <c r="K36" s="442" t="s">
        <v>344</v>
      </c>
      <c r="L36" s="442"/>
      <c r="M36" s="441" t="s">
        <v>490</v>
      </c>
      <c r="N36" s="441"/>
      <c r="O36" s="406"/>
      <c r="P36" s="443">
        <v>2618</v>
      </c>
      <c r="Q36" s="443"/>
      <c r="R36" s="443"/>
      <c r="S36" s="406"/>
      <c r="T36" s="443">
        <v>978</v>
      </c>
      <c r="U36" s="443"/>
      <c r="V36" s="443"/>
      <c r="W36" s="406"/>
      <c r="X36" s="444">
        <v>1640</v>
      </c>
      <c r="Y36" s="444"/>
      <c r="Z36" s="406"/>
      <c r="AA36" s="443">
        <v>978</v>
      </c>
      <c r="AB36" s="443"/>
      <c r="AC36" s="443"/>
      <c r="AD36" s="443"/>
      <c r="AE36" s="406"/>
      <c r="AF36" s="444">
        <v>0</v>
      </c>
      <c r="AG36" s="444"/>
      <c r="AH36" s="406"/>
      <c r="AI36" s="407">
        <v>37.36</v>
      </c>
      <c r="AJ36" s="406"/>
      <c r="AL36" s="164">
        <v>978</v>
      </c>
      <c r="AM36" s="164">
        <f>T36-AL36</f>
        <v>0</v>
      </c>
    </row>
    <row r="37" spans="1:39" ht="10.5" customHeight="1">
      <c r="A37" s="406"/>
      <c r="B37" s="406"/>
      <c r="C37" s="406"/>
      <c r="D37" s="406"/>
      <c r="E37" s="406"/>
      <c r="F37" s="406"/>
      <c r="G37" s="406"/>
      <c r="H37" s="406"/>
      <c r="I37" s="406"/>
      <c r="J37" s="406"/>
      <c r="K37" s="439"/>
      <c r="L37" s="442"/>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L37" s="164"/>
      <c r="AM37" s="164"/>
    </row>
    <row r="38" spans="1:39" ht="12" customHeight="1">
      <c r="A38" s="441" t="s">
        <v>28</v>
      </c>
      <c r="B38" s="441"/>
      <c r="C38" s="441"/>
      <c r="D38" s="441"/>
      <c r="E38" s="441"/>
      <c r="F38" s="441"/>
      <c r="G38" s="441"/>
      <c r="H38" s="441" t="s">
        <v>489</v>
      </c>
      <c r="I38" s="441"/>
      <c r="J38" s="441"/>
      <c r="K38" s="442" t="s">
        <v>344</v>
      </c>
      <c r="L38" s="442"/>
      <c r="M38" s="441" t="s">
        <v>490</v>
      </c>
      <c r="N38" s="441"/>
      <c r="O38" s="406"/>
      <c r="P38" s="443">
        <v>2883</v>
      </c>
      <c r="Q38" s="443"/>
      <c r="R38" s="443"/>
      <c r="S38" s="406"/>
      <c r="T38" s="443">
        <v>0</v>
      </c>
      <c r="U38" s="443"/>
      <c r="V38" s="443"/>
      <c r="W38" s="406"/>
      <c r="X38" s="444">
        <v>2883</v>
      </c>
      <c r="Y38" s="444"/>
      <c r="Z38" s="406"/>
      <c r="AA38" s="443">
        <v>0</v>
      </c>
      <c r="AB38" s="443"/>
      <c r="AC38" s="443"/>
      <c r="AD38" s="443"/>
      <c r="AE38" s="406"/>
      <c r="AF38" s="444">
        <v>0</v>
      </c>
      <c r="AG38" s="444"/>
      <c r="AH38" s="406"/>
      <c r="AI38" s="407">
        <v>0</v>
      </c>
      <c r="AJ38" s="406"/>
      <c r="AL38" s="164"/>
      <c r="AM38" s="164"/>
    </row>
    <row r="39" spans="1:39" ht="10.5" customHeight="1">
      <c r="A39" s="406"/>
      <c r="B39" s="406"/>
      <c r="C39" s="406"/>
      <c r="D39" s="406"/>
      <c r="E39" s="406"/>
      <c r="F39" s="406"/>
      <c r="G39" s="406"/>
      <c r="H39" s="406"/>
      <c r="I39" s="406"/>
      <c r="J39" s="406"/>
      <c r="K39" s="439"/>
      <c r="L39" s="442"/>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L39" s="164"/>
      <c r="AM39" s="164"/>
    </row>
    <row r="40" spans="1:39" ht="11.25" customHeight="1">
      <c r="A40" s="441" t="s">
        <v>29</v>
      </c>
      <c r="B40" s="441"/>
      <c r="C40" s="441"/>
      <c r="D40" s="441"/>
      <c r="E40" s="441"/>
      <c r="F40" s="441"/>
      <c r="G40" s="441"/>
      <c r="H40" s="441" t="s">
        <v>489</v>
      </c>
      <c r="I40" s="441"/>
      <c r="J40" s="441"/>
      <c r="K40" s="442" t="s">
        <v>344</v>
      </c>
      <c r="L40" s="442"/>
      <c r="M40" s="441" t="s">
        <v>490</v>
      </c>
      <c r="N40" s="441"/>
      <c r="O40" s="406"/>
      <c r="P40" s="443">
        <v>125981.53</v>
      </c>
      <c r="Q40" s="443"/>
      <c r="R40" s="443"/>
      <c r="S40" s="406"/>
      <c r="T40" s="443">
        <v>0</v>
      </c>
      <c r="U40" s="443"/>
      <c r="V40" s="443"/>
      <c r="W40" s="406"/>
      <c r="X40" s="444">
        <v>125981.53</v>
      </c>
      <c r="Y40" s="444"/>
      <c r="Z40" s="406"/>
      <c r="AA40" s="443">
        <v>2566.18</v>
      </c>
      <c r="AB40" s="443"/>
      <c r="AC40" s="443"/>
      <c r="AD40" s="443"/>
      <c r="AE40" s="406"/>
      <c r="AF40" s="444">
        <v>-2566.18</v>
      </c>
      <c r="AG40" s="444"/>
      <c r="AH40" s="406"/>
      <c r="AI40" s="407">
        <v>2.04</v>
      </c>
      <c r="AJ40" s="406"/>
      <c r="AL40" s="164"/>
      <c r="AM40" s="164"/>
    </row>
    <row r="41" spans="1:39" ht="10.5" customHeight="1">
      <c r="A41" s="406"/>
      <c r="B41" s="406"/>
      <c r="C41" s="406"/>
      <c r="D41" s="406"/>
      <c r="E41" s="406"/>
      <c r="F41" s="406"/>
      <c r="G41" s="406"/>
      <c r="H41" s="406"/>
      <c r="I41" s="406"/>
      <c r="J41" s="406"/>
      <c r="K41" s="439"/>
      <c r="L41" s="442"/>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L41" s="164"/>
      <c r="AM41" s="164"/>
    </row>
    <row r="42" spans="1:39" ht="11.25" customHeight="1">
      <c r="A42" s="441" t="s">
        <v>30</v>
      </c>
      <c r="B42" s="441"/>
      <c r="C42" s="441"/>
      <c r="D42" s="441"/>
      <c r="E42" s="441"/>
      <c r="F42" s="441"/>
      <c r="G42" s="441"/>
      <c r="H42" s="441" t="s">
        <v>489</v>
      </c>
      <c r="I42" s="441"/>
      <c r="J42" s="441"/>
      <c r="K42" s="442" t="s">
        <v>344</v>
      </c>
      <c r="L42" s="442"/>
      <c r="M42" s="441" t="s">
        <v>490</v>
      </c>
      <c r="N42" s="441"/>
      <c r="O42" s="406"/>
      <c r="P42" s="443">
        <v>29540.46</v>
      </c>
      <c r="Q42" s="443"/>
      <c r="R42" s="443"/>
      <c r="S42" s="406"/>
      <c r="T42" s="443">
        <v>0</v>
      </c>
      <c r="U42" s="443"/>
      <c r="V42" s="443"/>
      <c r="W42" s="406"/>
      <c r="X42" s="444">
        <v>29540.46</v>
      </c>
      <c r="Y42" s="444"/>
      <c r="Z42" s="406"/>
      <c r="AA42" s="443">
        <v>0</v>
      </c>
      <c r="AB42" s="443"/>
      <c r="AC42" s="443"/>
      <c r="AD42" s="443"/>
      <c r="AE42" s="406"/>
      <c r="AF42" s="444">
        <v>0</v>
      </c>
      <c r="AG42" s="444"/>
      <c r="AH42" s="406"/>
      <c r="AI42" s="407">
        <v>0</v>
      </c>
      <c r="AJ42" s="406"/>
      <c r="AL42" s="164"/>
      <c r="AM42" s="164"/>
    </row>
    <row r="43" spans="1:39" ht="10.5" customHeight="1">
      <c r="A43" s="406"/>
      <c r="B43" s="406"/>
      <c r="C43" s="406"/>
      <c r="D43" s="406"/>
      <c r="E43" s="406"/>
      <c r="F43" s="406"/>
      <c r="G43" s="406"/>
      <c r="H43" s="406"/>
      <c r="I43" s="406"/>
      <c r="J43" s="406"/>
      <c r="K43" s="439"/>
      <c r="L43" s="442"/>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L43" s="164"/>
      <c r="AM43" s="164"/>
    </row>
    <row r="44" spans="1:39" ht="11.25" customHeight="1">
      <c r="A44" s="441" t="s">
        <v>31</v>
      </c>
      <c r="B44" s="441"/>
      <c r="C44" s="441"/>
      <c r="D44" s="441"/>
      <c r="E44" s="441"/>
      <c r="F44" s="441"/>
      <c r="G44" s="441"/>
      <c r="H44" s="441" t="s">
        <v>489</v>
      </c>
      <c r="I44" s="441"/>
      <c r="J44" s="441"/>
      <c r="K44" s="442" t="s">
        <v>344</v>
      </c>
      <c r="L44" s="442"/>
      <c r="M44" s="441" t="s">
        <v>490</v>
      </c>
      <c r="N44" s="441"/>
      <c r="O44" s="406"/>
      <c r="P44" s="443">
        <v>85820</v>
      </c>
      <c r="Q44" s="443"/>
      <c r="R44" s="443"/>
      <c r="S44" s="406"/>
      <c r="T44" s="443">
        <v>4562</v>
      </c>
      <c r="U44" s="443"/>
      <c r="V44" s="443"/>
      <c r="W44" s="406"/>
      <c r="X44" s="444">
        <v>81258</v>
      </c>
      <c r="Y44" s="444"/>
      <c r="Z44" s="406"/>
      <c r="AA44" s="443">
        <v>4562</v>
      </c>
      <c r="AB44" s="443"/>
      <c r="AC44" s="443"/>
      <c r="AD44" s="443"/>
      <c r="AE44" s="406"/>
      <c r="AF44" s="444">
        <v>0</v>
      </c>
      <c r="AG44" s="444"/>
      <c r="AH44" s="406"/>
      <c r="AI44" s="407">
        <v>5.32</v>
      </c>
      <c r="AJ44" s="406"/>
      <c r="AL44" s="164">
        <v>4562</v>
      </c>
      <c r="AM44" s="164">
        <f>T44-AL44</f>
        <v>0</v>
      </c>
    </row>
    <row r="45" spans="1:39" ht="10.5" customHeight="1">
      <c r="A45" s="406"/>
      <c r="B45" s="406"/>
      <c r="C45" s="406"/>
      <c r="D45" s="406"/>
      <c r="E45" s="406"/>
      <c r="F45" s="406"/>
      <c r="G45" s="406"/>
      <c r="H45" s="406"/>
      <c r="I45" s="406"/>
      <c r="J45" s="406"/>
      <c r="K45" s="439"/>
      <c r="L45" s="442"/>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L45" s="164"/>
      <c r="AM45" s="164"/>
    </row>
    <row r="46" spans="1:39" ht="11.25" customHeight="1">
      <c r="A46" s="441" t="s">
        <v>32</v>
      </c>
      <c r="B46" s="441"/>
      <c r="C46" s="441"/>
      <c r="D46" s="441"/>
      <c r="E46" s="441"/>
      <c r="F46" s="441"/>
      <c r="G46" s="441"/>
      <c r="H46" s="441" t="s">
        <v>489</v>
      </c>
      <c r="I46" s="441"/>
      <c r="J46" s="441"/>
      <c r="K46" s="442" t="s">
        <v>344</v>
      </c>
      <c r="L46" s="442"/>
      <c r="M46" s="441" t="s">
        <v>490</v>
      </c>
      <c r="N46" s="441"/>
      <c r="O46" s="406"/>
      <c r="P46" s="443">
        <v>15821</v>
      </c>
      <c r="Q46" s="443"/>
      <c r="R46" s="443"/>
      <c r="S46" s="406"/>
      <c r="T46" s="443">
        <v>2199</v>
      </c>
      <c r="U46" s="443"/>
      <c r="V46" s="443"/>
      <c r="W46" s="406"/>
      <c r="X46" s="444">
        <v>13622</v>
      </c>
      <c r="Y46" s="444"/>
      <c r="Z46" s="406"/>
      <c r="AA46" s="443">
        <v>2199</v>
      </c>
      <c r="AB46" s="443"/>
      <c r="AC46" s="443"/>
      <c r="AD46" s="443"/>
      <c r="AE46" s="406"/>
      <c r="AF46" s="444">
        <v>0</v>
      </c>
      <c r="AG46" s="444"/>
      <c r="AH46" s="406"/>
      <c r="AI46" s="407">
        <v>13.9</v>
      </c>
      <c r="AJ46" s="406"/>
      <c r="AL46" s="164">
        <v>2199</v>
      </c>
      <c r="AM46" s="164">
        <f>T46-AL46</f>
        <v>0</v>
      </c>
    </row>
    <row r="47" spans="1:39" ht="10.5" customHeight="1">
      <c r="A47" s="406"/>
      <c r="B47" s="406"/>
      <c r="C47" s="406"/>
      <c r="D47" s="406"/>
      <c r="E47" s="406"/>
      <c r="F47" s="406"/>
      <c r="G47" s="406"/>
      <c r="H47" s="406"/>
      <c r="I47" s="406"/>
      <c r="J47" s="406"/>
      <c r="K47" s="439"/>
      <c r="L47" s="442"/>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L47" s="164"/>
      <c r="AM47" s="164"/>
    </row>
    <row r="48" spans="1:39" ht="11.25" customHeight="1">
      <c r="A48" s="441" t="s">
        <v>33</v>
      </c>
      <c r="B48" s="441"/>
      <c r="C48" s="441"/>
      <c r="D48" s="441"/>
      <c r="E48" s="441"/>
      <c r="F48" s="441"/>
      <c r="G48" s="441"/>
      <c r="H48" s="441" t="s">
        <v>489</v>
      </c>
      <c r="I48" s="441"/>
      <c r="J48" s="441"/>
      <c r="K48" s="442" t="s">
        <v>344</v>
      </c>
      <c r="L48" s="442"/>
      <c r="M48" s="441" t="s">
        <v>490</v>
      </c>
      <c r="N48" s="441"/>
      <c r="O48" s="406"/>
      <c r="P48" s="443">
        <v>27693</v>
      </c>
      <c r="Q48" s="443"/>
      <c r="R48" s="443"/>
      <c r="S48" s="406"/>
      <c r="T48" s="443">
        <v>17387</v>
      </c>
      <c r="U48" s="443"/>
      <c r="V48" s="443"/>
      <c r="W48" s="406"/>
      <c r="X48" s="444">
        <v>10306</v>
      </c>
      <c r="Y48" s="444"/>
      <c r="Z48" s="406"/>
      <c r="AA48" s="443">
        <v>22853</v>
      </c>
      <c r="AB48" s="443"/>
      <c r="AC48" s="443"/>
      <c r="AD48" s="443"/>
      <c r="AE48" s="406"/>
      <c r="AF48" s="444">
        <v>-5466</v>
      </c>
      <c r="AG48" s="444"/>
      <c r="AH48" s="406"/>
      <c r="AI48" s="407">
        <v>82.52</v>
      </c>
      <c r="AJ48" s="406"/>
      <c r="AL48" s="164">
        <v>17387</v>
      </c>
      <c r="AM48" s="164">
        <f>T48-AL48</f>
        <v>0</v>
      </c>
    </row>
    <row r="49" spans="1:39" ht="10.5" customHeight="1">
      <c r="A49" s="406"/>
      <c r="B49" s="406"/>
      <c r="C49" s="406"/>
      <c r="D49" s="406"/>
      <c r="E49" s="406"/>
      <c r="F49" s="406"/>
      <c r="G49" s="406"/>
      <c r="H49" s="406"/>
      <c r="I49" s="406"/>
      <c r="J49" s="406"/>
      <c r="K49" s="439"/>
      <c r="L49" s="442"/>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L49" s="164"/>
      <c r="AM49" s="164"/>
    </row>
    <row r="50" spans="1:39" ht="11.25" customHeight="1">
      <c r="A50" s="406"/>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L50" s="164"/>
      <c r="AM50" s="164"/>
    </row>
    <row r="51" spans="1:39" ht="10.5" customHeight="1">
      <c r="A51" s="406"/>
      <c r="B51" s="406"/>
      <c r="C51" s="406"/>
      <c r="D51" s="406"/>
      <c r="E51" s="406"/>
      <c r="F51" s="406"/>
      <c r="G51" s="406"/>
      <c r="H51" s="406"/>
      <c r="I51" s="406"/>
      <c r="J51" s="406"/>
      <c r="K51" s="406"/>
      <c r="L51" s="406"/>
      <c r="M51" s="406"/>
      <c r="N51" s="406"/>
      <c r="O51" s="437">
        <v>458860.28</v>
      </c>
      <c r="P51" s="437"/>
      <c r="Q51" s="437"/>
      <c r="R51" s="437"/>
      <c r="S51" s="406"/>
      <c r="T51" s="437">
        <v>32089.88</v>
      </c>
      <c r="U51" s="437"/>
      <c r="V51" s="437"/>
      <c r="W51" s="406"/>
      <c r="X51" s="437">
        <v>426770.4</v>
      </c>
      <c r="Y51" s="437"/>
      <c r="Z51" s="406"/>
      <c r="AA51" s="437">
        <v>53114.18</v>
      </c>
      <c r="AB51" s="437"/>
      <c r="AC51" s="437"/>
      <c r="AD51" s="437"/>
      <c r="AE51" s="406"/>
      <c r="AF51" s="437">
        <v>-21024.3</v>
      </c>
      <c r="AG51" s="437"/>
      <c r="AH51" s="406"/>
      <c r="AI51" s="406"/>
      <c r="AJ51" s="406"/>
      <c r="AL51" s="164">
        <f>SUM(AL24:AL48)</f>
        <v>32089.88</v>
      </c>
      <c r="AM51" s="164">
        <f>SUM(AM24:AM48)</f>
        <v>0</v>
      </c>
    </row>
    <row r="52" spans="1:39" ht="11.25" customHeight="1">
      <c r="A52" s="406"/>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L52" s="164"/>
      <c r="AM52" s="164"/>
    </row>
    <row r="53" spans="1:39" ht="10.5" customHeight="1">
      <c r="A53" s="406"/>
      <c r="B53" s="406"/>
      <c r="C53" s="446" t="s">
        <v>331</v>
      </c>
      <c r="D53" s="446"/>
      <c r="E53" s="446"/>
      <c r="F53" s="446"/>
      <c r="G53" s="406"/>
      <c r="H53" s="442" t="s">
        <v>348</v>
      </c>
      <c r="I53" s="442"/>
      <c r="J53" s="442"/>
      <c r="K53" s="442"/>
      <c r="L53" s="442"/>
      <c r="M53" s="442"/>
      <c r="N53" s="442"/>
      <c r="O53" s="442"/>
      <c r="P53" s="442"/>
      <c r="Q53" s="442"/>
      <c r="R53" s="442"/>
      <c r="S53" s="442"/>
      <c r="T53" s="406"/>
      <c r="U53" s="406"/>
      <c r="V53" s="406"/>
      <c r="W53" s="406"/>
      <c r="X53" s="406"/>
      <c r="Y53" s="406"/>
      <c r="Z53" s="406"/>
      <c r="AA53" s="406"/>
      <c r="AB53" s="406"/>
      <c r="AC53" s="406"/>
      <c r="AD53" s="406"/>
      <c r="AE53" s="406"/>
      <c r="AF53" s="406"/>
      <c r="AG53" s="406"/>
      <c r="AH53" s="406"/>
      <c r="AI53" s="406"/>
      <c r="AJ53" s="406"/>
      <c r="AL53" s="164"/>
      <c r="AM53" s="164"/>
    </row>
    <row r="54" spans="1:39" ht="11.25" customHeight="1">
      <c r="A54" s="446" t="s">
        <v>332</v>
      </c>
      <c r="B54" s="446"/>
      <c r="C54" s="446"/>
      <c r="D54" s="446"/>
      <c r="E54" s="446"/>
      <c r="F54" s="406"/>
      <c r="G54" s="406"/>
      <c r="H54" s="406"/>
      <c r="I54" s="447" t="s">
        <v>510</v>
      </c>
      <c r="J54" s="447"/>
      <c r="K54" s="447"/>
      <c r="L54" s="447"/>
      <c r="M54" s="447"/>
      <c r="N54" s="447"/>
      <c r="O54" s="445" t="s">
        <v>511</v>
      </c>
      <c r="P54" s="445"/>
      <c r="Q54" s="445"/>
      <c r="R54" s="445"/>
      <c r="S54" s="406"/>
      <c r="T54" s="445" t="s">
        <v>512</v>
      </c>
      <c r="U54" s="445"/>
      <c r="V54" s="445"/>
      <c r="W54" s="406"/>
      <c r="X54" s="448" t="s">
        <v>488</v>
      </c>
      <c r="Y54" s="448"/>
      <c r="Z54" s="406"/>
      <c r="AA54" s="406"/>
      <c r="AB54" s="445" t="s">
        <v>513</v>
      </c>
      <c r="AC54" s="445"/>
      <c r="AD54" s="445"/>
      <c r="AE54" s="406"/>
      <c r="AF54" s="406"/>
      <c r="AG54" s="405" t="s">
        <v>514</v>
      </c>
      <c r="AH54" s="406"/>
      <c r="AI54" s="445" t="s">
        <v>515</v>
      </c>
      <c r="AJ54" s="445"/>
      <c r="AL54" s="164"/>
      <c r="AM54" s="164"/>
    </row>
    <row r="55" spans="1:39" ht="10.5" customHeight="1">
      <c r="A55" s="406"/>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L55" s="164"/>
      <c r="AM55" s="164"/>
    </row>
    <row r="56" spans="1:39" ht="11.25" customHeight="1">
      <c r="A56" s="441" t="s">
        <v>23</v>
      </c>
      <c r="B56" s="441"/>
      <c r="C56" s="441"/>
      <c r="D56" s="441"/>
      <c r="E56" s="441"/>
      <c r="F56" s="441"/>
      <c r="G56" s="441"/>
      <c r="H56" s="441" t="s">
        <v>489</v>
      </c>
      <c r="I56" s="441"/>
      <c r="J56" s="441"/>
      <c r="K56" s="442" t="s">
        <v>344</v>
      </c>
      <c r="L56" s="442"/>
      <c r="M56" s="441" t="s">
        <v>490</v>
      </c>
      <c r="N56" s="441"/>
      <c r="O56" s="406"/>
      <c r="P56" s="443">
        <v>378505.95</v>
      </c>
      <c r="Q56" s="443"/>
      <c r="R56" s="443"/>
      <c r="S56" s="406"/>
      <c r="T56" s="443">
        <v>166602</v>
      </c>
      <c r="U56" s="443"/>
      <c r="V56" s="443"/>
      <c r="W56" s="406"/>
      <c r="X56" s="444">
        <v>211903.95</v>
      </c>
      <c r="Y56" s="444"/>
      <c r="Z56" s="406"/>
      <c r="AA56" s="443">
        <v>172542</v>
      </c>
      <c r="AB56" s="443"/>
      <c r="AC56" s="443"/>
      <c r="AD56" s="443"/>
      <c r="AE56" s="406"/>
      <c r="AF56" s="444">
        <v>-5940</v>
      </c>
      <c r="AG56" s="444"/>
      <c r="AH56" s="406"/>
      <c r="AI56" s="407">
        <v>45.59</v>
      </c>
      <c r="AJ56" s="406"/>
      <c r="AL56" s="164">
        <v>166602</v>
      </c>
      <c r="AM56" s="164">
        <f>T56-AL56</f>
        <v>0</v>
      </c>
    </row>
    <row r="57" spans="1:39" ht="10.5" customHeight="1">
      <c r="A57" s="406"/>
      <c r="B57" s="406"/>
      <c r="C57" s="406"/>
      <c r="D57" s="406"/>
      <c r="E57" s="406"/>
      <c r="F57" s="406"/>
      <c r="G57" s="406"/>
      <c r="H57" s="406"/>
      <c r="I57" s="406"/>
      <c r="J57" s="406"/>
      <c r="K57" s="439"/>
      <c r="L57" s="442"/>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L57" s="164"/>
      <c r="AM57" s="164"/>
    </row>
    <row r="58" spans="1:39" ht="11.25" customHeight="1">
      <c r="A58" s="441" t="s">
        <v>24</v>
      </c>
      <c r="B58" s="441"/>
      <c r="C58" s="441"/>
      <c r="D58" s="441"/>
      <c r="E58" s="441"/>
      <c r="F58" s="441"/>
      <c r="G58" s="441"/>
      <c r="H58" s="441" t="s">
        <v>489</v>
      </c>
      <c r="I58" s="441"/>
      <c r="J58" s="441"/>
      <c r="K58" s="442" t="s">
        <v>344</v>
      </c>
      <c r="L58" s="442"/>
      <c r="M58" s="441" t="s">
        <v>490</v>
      </c>
      <c r="N58" s="441"/>
      <c r="O58" s="406"/>
      <c r="P58" s="443">
        <v>136169.45</v>
      </c>
      <c r="Q58" s="443"/>
      <c r="R58" s="443"/>
      <c r="S58" s="406"/>
      <c r="T58" s="443">
        <v>38900</v>
      </c>
      <c r="U58" s="443"/>
      <c r="V58" s="443"/>
      <c r="W58" s="406"/>
      <c r="X58" s="444">
        <v>97269.45</v>
      </c>
      <c r="Y58" s="444"/>
      <c r="Z58" s="406"/>
      <c r="AA58" s="443">
        <v>38900</v>
      </c>
      <c r="AB58" s="443"/>
      <c r="AC58" s="443"/>
      <c r="AD58" s="443"/>
      <c r="AE58" s="406"/>
      <c r="AF58" s="444">
        <v>0</v>
      </c>
      <c r="AG58" s="444"/>
      <c r="AH58" s="406"/>
      <c r="AI58" s="407">
        <v>28.57</v>
      </c>
      <c r="AJ58" s="406"/>
      <c r="AL58" s="164">
        <v>38900</v>
      </c>
      <c r="AM58" s="164">
        <f>T58-AL58</f>
        <v>0</v>
      </c>
    </row>
    <row r="59" spans="1:39" ht="10.5" customHeight="1">
      <c r="A59" s="406"/>
      <c r="B59" s="406"/>
      <c r="C59" s="406"/>
      <c r="D59" s="406"/>
      <c r="E59" s="406"/>
      <c r="F59" s="406"/>
      <c r="G59" s="406"/>
      <c r="H59" s="406"/>
      <c r="I59" s="406"/>
      <c r="J59" s="406"/>
      <c r="K59" s="439"/>
      <c r="L59" s="442"/>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L59" s="164"/>
      <c r="AM59" s="164"/>
    </row>
    <row r="60" spans="1:39" ht="11.25" customHeight="1">
      <c r="A60" s="441" t="s">
        <v>25</v>
      </c>
      <c r="B60" s="441"/>
      <c r="C60" s="441"/>
      <c r="D60" s="441"/>
      <c r="E60" s="441"/>
      <c r="F60" s="441"/>
      <c r="G60" s="441"/>
      <c r="H60" s="441" t="s">
        <v>489</v>
      </c>
      <c r="I60" s="441"/>
      <c r="J60" s="441"/>
      <c r="K60" s="442" t="s">
        <v>344</v>
      </c>
      <c r="L60" s="442"/>
      <c r="M60" s="441" t="s">
        <v>490</v>
      </c>
      <c r="N60" s="441"/>
      <c r="O60" s="406"/>
      <c r="P60" s="443">
        <v>111397</v>
      </c>
      <c r="Q60" s="443"/>
      <c r="R60" s="443"/>
      <c r="S60" s="406"/>
      <c r="T60" s="443">
        <v>31275</v>
      </c>
      <c r="U60" s="443"/>
      <c r="V60" s="443"/>
      <c r="W60" s="406"/>
      <c r="X60" s="444">
        <v>80122</v>
      </c>
      <c r="Y60" s="444"/>
      <c r="Z60" s="406"/>
      <c r="AA60" s="443">
        <v>31275</v>
      </c>
      <c r="AB60" s="443"/>
      <c r="AC60" s="443"/>
      <c r="AD60" s="443"/>
      <c r="AE60" s="406"/>
      <c r="AF60" s="444">
        <v>0</v>
      </c>
      <c r="AG60" s="444"/>
      <c r="AH60" s="406"/>
      <c r="AI60" s="407">
        <v>28.08</v>
      </c>
      <c r="AJ60" s="406"/>
      <c r="AL60" s="164">
        <v>31275</v>
      </c>
      <c r="AM60" s="164">
        <f>T60-AL60</f>
        <v>0</v>
      </c>
    </row>
    <row r="61" spans="1:39" ht="10.5" customHeight="1">
      <c r="A61" s="406"/>
      <c r="B61" s="406"/>
      <c r="C61" s="406"/>
      <c r="D61" s="406"/>
      <c r="E61" s="406"/>
      <c r="F61" s="406"/>
      <c r="G61" s="406"/>
      <c r="H61" s="406"/>
      <c r="I61" s="406"/>
      <c r="J61" s="406"/>
      <c r="K61" s="439"/>
      <c r="L61" s="442"/>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L61" s="164"/>
      <c r="AM61" s="164"/>
    </row>
    <row r="62" spans="1:39" ht="11.25" customHeight="1">
      <c r="A62" s="441" t="s">
        <v>493</v>
      </c>
      <c r="B62" s="441"/>
      <c r="C62" s="441"/>
      <c r="D62" s="441"/>
      <c r="E62" s="441"/>
      <c r="F62" s="441"/>
      <c r="G62" s="441"/>
      <c r="H62" s="441" t="s">
        <v>489</v>
      </c>
      <c r="I62" s="441"/>
      <c r="J62" s="441"/>
      <c r="K62" s="442" t="s">
        <v>344</v>
      </c>
      <c r="L62" s="442"/>
      <c r="M62" s="441" t="s">
        <v>490</v>
      </c>
      <c r="N62" s="441"/>
      <c r="O62" s="406"/>
      <c r="P62" s="443">
        <v>22977</v>
      </c>
      <c r="Q62" s="443"/>
      <c r="R62" s="443"/>
      <c r="S62" s="406"/>
      <c r="T62" s="443">
        <v>1695</v>
      </c>
      <c r="U62" s="443"/>
      <c r="V62" s="443"/>
      <c r="W62" s="406"/>
      <c r="X62" s="444">
        <v>21282</v>
      </c>
      <c r="Y62" s="444"/>
      <c r="Z62" s="406"/>
      <c r="AA62" s="443">
        <v>3835</v>
      </c>
      <c r="AB62" s="443"/>
      <c r="AC62" s="443"/>
      <c r="AD62" s="443"/>
      <c r="AE62" s="406"/>
      <c r="AF62" s="444">
        <v>-2140</v>
      </c>
      <c r="AG62" s="444"/>
      <c r="AH62" s="406"/>
      <c r="AI62" s="407">
        <v>16.69</v>
      </c>
      <c r="AJ62" s="406"/>
      <c r="AL62" s="164">
        <v>1695</v>
      </c>
      <c r="AM62" s="164">
        <f>T62-AL62</f>
        <v>0</v>
      </c>
    </row>
    <row r="63" spans="1:39" ht="10.5" customHeight="1">
      <c r="A63" s="406"/>
      <c r="B63" s="406"/>
      <c r="C63" s="406"/>
      <c r="D63" s="406"/>
      <c r="E63" s="406"/>
      <c r="F63" s="406"/>
      <c r="G63" s="406"/>
      <c r="H63" s="406"/>
      <c r="I63" s="406"/>
      <c r="J63" s="406"/>
      <c r="K63" s="439"/>
      <c r="L63" s="442"/>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L63" s="164"/>
      <c r="AM63" s="164"/>
    </row>
    <row r="64" spans="1:39" ht="11.25" customHeight="1">
      <c r="A64" s="441" t="s">
        <v>27</v>
      </c>
      <c r="B64" s="441"/>
      <c r="C64" s="441"/>
      <c r="D64" s="441"/>
      <c r="E64" s="441"/>
      <c r="F64" s="441"/>
      <c r="G64" s="441"/>
      <c r="H64" s="441" t="s">
        <v>489</v>
      </c>
      <c r="I64" s="441"/>
      <c r="J64" s="441"/>
      <c r="K64" s="442" t="s">
        <v>344</v>
      </c>
      <c r="L64" s="442"/>
      <c r="M64" s="441" t="s">
        <v>490</v>
      </c>
      <c r="N64" s="441"/>
      <c r="O64" s="406"/>
      <c r="P64" s="443">
        <v>248285.88</v>
      </c>
      <c r="Q64" s="443"/>
      <c r="R64" s="443"/>
      <c r="S64" s="406"/>
      <c r="T64" s="443">
        <v>79240</v>
      </c>
      <c r="U64" s="443"/>
      <c r="V64" s="443"/>
      <c r="W64" s="406"/>
      <c r="X64" s="444">
        <v>169045.88</v>
      </c>
      <c r="Y64" s="444"/>
      <c r="Z64" s="406"/>
      <c r="AA64" s="443">
        <v>79240</v>
      </c>
      <c r="AB64" s="443"/>
      <c r="AC64" s="443"/>
      <c r="AD64" s="443"/>
      <c r="AE64" s="406"/>
      <c r="AF64" s="444">
        <v>0</v>
      </c>
      <c r="AG64" s="444"/>
      <c r="AH64" s="406"/>
      <c r="AI64" s="407">
        <v>31.91</v>
      </c>
      <c r="AJ64" s="406"/>
      <c r="AL64" s="164">
        <v>79240</v>
      </c>
      <c r="AM64" s="164">
        <f>T64-AL64</f>
        <v>0</v>
      </c>
    </row>
    <row r="65" spans="1:39" ht="10.5" customHeight="1">
      <c r="A65" s="406"/>
      <c r="B65" s="406"/>
      <c r="C65" s="406"/>
      <c r="D65" s="406"/>
      <c r="E65" s="406"/>
      <c r="F65" s="406"/>
      <c r="G65" s="406"/>
      <c r="H65" s="406"/>
      <c r="I65" s="406"/>
      <c r="J65" s="406"/>
      <c r="K65" s="439"/>
      <c r="L65" s="442"/>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L65" s="165" t="s">
        <v>52</v>
      </c>
      <c r="AM65" s="164"/>
    </row>
    <row r="66" spans="1:39" ht="11.25" customHeight="1">
      <c r="A66" s="441" t="s">
        <v>165</v>
      </c>
      <c r="B66" s="441"/>
      <c r="C66" s="441"/>
      <c r="D66" s="441"/>
      <c r="E66" s="441"/>
      <c r="F66" s="441"/>
      <c r="G66" s="441"/>
      <c r="H66" s="441" t="s">
        <v>489</v>
      </c>
      <c r="I66" s="441"/>
      <c r="J66" s="441"/>
      <c r="K66" s="442" t="s">
        <v>344</v>
      </c>
      <c r="L66" s="442"/>
      <c r="M66" s="441" t="s">
        <v>490</v>
      </c>
      <c r="N66" s="441"/>
      <c r="O66" s="406"/>
      <c r="P66" s="443">
        <v>102393</v>
      </c>
      <c r="Q66" s="443"/>
      <c r="R66" s="443"/>
      <c r="S66" s="406"/>
      <c r="T66" s="443">
        <v>23172</v>
      </c>
      <c r="U66" s="443"/>
      <c r="V66" s="443"/>
      <c r="W66" s="406"/>
      <c r="X66" s="444">
        <v>79221</v>
      </c>
      <c r="Y66" s="444"/>
      <c r="Z66" s="406"/>
      <c r="AA66" s="443">
        <v>22847</v>
      </c>
      <c r="AB66" s="443"/>
      <c r="AC66" s="443"/>
      <c r="AD66" s="443"/>
      <c r="AE66" s="406"/>
      <c r="AF66" s="444">
        <v>325</v>
      </c>
      <c r="AG66" s="444"/>
      <c r="AH66" s="406"/>
      <c r="AI66" s="407">
        <v>22.31</v>
      </c>
      <c r="AJ66" s="406"/>
      <c r="AL66" s="164">
        <v>23172</v>
      </c>
      <c r="AM66" s="164">
        <f>T66-AL66</f>
        <v>0</v>
      </c>
    </row>
    <row r="67" spans="1:39" ht="10.5" customHeight="1">
      <c r="A67" s="406"/>
      <c r="B67" s="406"/>
      <c r="C67" s="406"/>
      <c r="D67" s="406"/>
      <c r="E67" s="406"/>
      <c r="F67" s="406"/>
      <c r="G67" s="406"/>
      <c r="H67" s="406"/>
      <c r="I67" s="406"/>
      <c r="J67" s="406"/>
      <c r="K67" s="439"/>
      <c r="L67" s="442"/>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L67" s="164"/>
      <c r="AM67" s="164"/>
    </row>
    <row r="68" spans="1:39" ht="11.25" customHeight="1">
      <c r="A68" s="441" t="s">
        <v>516</v>
      </c>
      <c r="B68" s="441"/>
      <c r="C68" s="441"/>
      <c r="D68" s="441"/>
      <c r="E68" s="441"/>
      <c r="F68" s="441"/>
      <c r="G68" s="441"/>
      <c r="H68" s="441" t="s">
        <v>489</v>
      </c>
      <c r="I68" s="441"/>
      <c r="J68" s="441"/>
      <c r="K68" s="442" t="s">
        <v>344</v>
      </c>
      <c r="L68" s="442"/>
      <c r="M68" s="441" t="s">
        <v>490</v>
      </c>
      <c r="N68" s="441"/>
      <c r="O68" s="406"/>
      <c r="P68" s="443">
        <v>23905.83</v>
      </c>
      <c r="Q68" s="443"/>
      <c r="R68" s="443"/>
      <c r="S68" s="406"/>
      <c r="T68" s="443">
        <v>16390</v>
      </c>
      <c r="U68" s="443"/>
      <c r="V68" s="443"/>
      <c r="W68" s="406"/>
      <c r="X68" s="444">
        <v>7515.83</v>
      </c>
      <c r="Y68" s="444"/>
      <c r="Z68" s="406"/>
      <c r="AA68" s="443">
        <v>11060</v>
      </c>
      <c r="AB68" s="443"/>
      <c r="AC68" s="443"/>
      <c r="AD68" s="443"/>
      <c r="AE68" s="406"/>
      <c r="AF68" s="444">
        <v>5330</v>
      </c>
      <c r="AG68" s="444"/>
      <c r="AH68" s="406"/>
      <c r="AI68" s="407">
        <v>46.26</v>
      </c>
      <c r="AJ68" s="406"/>
      <c r="AL68" s="164">
        <v>16390</v>
      </c>
      <c r="AM68" s="164">
        <f>T68-AL68</f>
        <v>0</v>
      </c>
    </row>
    <row r="69" spans="1:39" ht="10.5" customHeight="1">
      <c r="A69" s="406"/>
      <c r="B69" s="406"/>
      <c r="C69" s="406"/>
      <c r="D69" s="406"/>
      <c r="E69" s="406"/>
      <c r="F69" s="406"/>
      <c r="G69" s="406"/>
      <c r="H69" s="406"/>
      <c r="I69" s="406"/>
      <c r="J69" s="406"/>
      <c r="K69" s="439"/>
      <c r="L69" s="442"/>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L69" s="164"/>
      <c r="AM69" s="164"/>
    </row>
    <row r="70" spans="1:39" ht="12" customHeight="1">
      <c r="A70" s="441" t="s">
        <v>28</v>
      </c>
      <c r="B70" s="441"/>
      <c r="C70" s="441"/>
      <c r="D70" s="441"/>
      <c r="E70" s="441"/>
      <c r="F70" s="441"/>
      <c r="G70" s="441"/>
      <c r="H70" s="441" t="s">
        <v>489</v>
      </c>
      <c r="I70" s="441"/>
      <c r="J70" s="441"/>
      <c r="K70" s="442" t="s">
        <v>344</v>
      </c>
      <c r="L70" s="442"/>
      <c r="M70" s="441" t="s">
        <v>490</v>
      </c>
      <c r="N70" s="441"/>
      <c r="O70" s="406"/>
      <c r="P70" s="443">
        <v>15870</v>
      </c>
      <c r="Q70" s="443"/>
      <c r="R70" s="443"/>
      <c r="S70" s="406"/>
      <c r="T70" s="443">
        <v>0</v>
      </c>
      <c r="U70" s="443"/>
      <c r="V70" s="443"/>
      <c r="W70" s="406"/>
      <c r="X70" s="444">
        <v>15870</v>
      </c>
      <c r="Y70" s="444"/>
      <c r="Z70" s="406"/>
      <c r="AA70" s="443">
        <v>0</v>
      </c>
      <c r="AB70" s="443"/>
      <c r="AC70" s="443"/>
      <c r="AD70" s="443"/>
      <c r="AE70" s="406"/>
      <c r="AF70" s="444">
        <v>0</v>
      </c>
      <c r="AG70" s="444"/>
      <c r="AH70" s="406"/>
      <c r="AI70" s="407">
        <v>0</v>
      </c>
      <c r="AJ70" s="406"/>
      <c r="AL70" s="164"/>
      <c r="AM70" s="164"/>
    </row>
    <row r="71" spans="1:39" ht="10.5" customHeight="1">
      <c r="A71" s="406"/>
      <c r="B71" s="406"/>
      <c r="C71" s="406"/>
      <c r="D71" s="406"/>
      <c r="E71" s="406"/>
      <c r="F71" s="406"/>
      <c r="G71" s="406"/>
      <c r="H71" s="406"/>
      <c r="I71" s="406"/>
      <c r="J71" s="406"/>
      <c r="K71" s="439"/>
      <c r="L71" s="442"/>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L71" s="164"/>
      <c r="AM71" s="164"/>
    </row>
    <row r="72" spans="1:39" ht="11.25" customHeight="1">
      <c r="A72" s="441" t="s">
        <v>29</v>
      </c>
      <c r="B72" s="441"/>
      <c r="C72" s="441"/>
      <c r="D72" s="441"/>
      <c r="E72" s="441"/>
      <c r="F72" s="441"/>
      <c r="G72" s="441"/>
      <c r="H72" s="441" t="s">
        <v>489</v>
      </c>
      <c r="I72" s="441"/>
      <c r="J72" s="441"/>
      <c r="K72" s="442" t="s">
        <v>344</v>
      </c>
      <c r="L72" s="442"/>
      <c r="M72" s="441" t="s">
        <v>490</v>
      </c>
      <c r="N72" s="441"/>
      <c r="O72" s="406"/>
      <c r="P72" s="443">
        <v>531196.24</v>
      </c>
      <c r="Q72" s="443"/>
      <c r="R72" s="443"/>
      <c r="S72" s="406"/>
      <c r="T72" s="443">
        <v>0</v>
      </c>
      <c r="U72" s="443"/>
      <c r="V72" s="443"/>
      <c r="W72" s="406"/>
      <c r="X72" s="444">
        <v>531196.24</v>
      </c>
      <c r="Y72" s="444"/>
      <c r="Z72" s="406"/>
      <c r="AA72" s="443">
        <v>131450</v>
      </c>
      <c r="AB72" s="443"/>
      <c r="AC72" s="443"/>
      <c r="AD72" s="443"/>
      <c r="AE72" s="406"/>
      <c r="AF72" s="444">
        <v>-131450</v>
      </c>
      <c r="AG72" s="444"/>
      <c r="AH72" s="406"/>
      <c r="AI72" s="407">
        <v>24.75</v>
      </c>
      <c r="AJ72" s="406"/>
      <c r="AL72" s="164"/>
      <c r="AM72" s="164"/>
    </row>
    <row r="73" spans="1:39" ht="10.5" customHeight="1">
      <c r="A73" s="406"/>
      <c r="B73" s="406"/>
      <c r="C73" s="406"/>
      <c r="D73" s="406"/>
      <c r="E73" s="406"/>
      <c r="F73" s="406"/>
      <c r="G73" s="406"/>
      <c r="H73" s="406"/>
      <c r="I73" s="406"/>
      <c r="J73" s="406"/>
      <c r="K73" s="439"/>
      <c r="L73" s="442"/>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L73" s="164"/>
      <c r="AM73" s="164"/>
    </row>
    <row r="74" spans="1:39" ht="11.25" customHeight="1">
      <c r="A74" s="441" t="s">
        <v>30</v>
      </c>
      <c r="B74" s="441"/>
      <c r="C74" s="441"/>
      <c r="D74" s="441"/>
      <c r="E74" s="441"/>
      <c r="F74" s="441"/>
      <c r="G74" s="441"/>
      <c r="H74" s="441" t="s">
        <v>489</v>
      </c>
      <c r="I74" s="441"/>
      <c r="J74" s="441"/>
      <c r="K74" s="442" t="s">
        <v>344</v>
      </c>
      <c r="L74" s="442"/>
      <c r="M74" s="441" t="s">
        <v>490</v>
      </c>
      <c r="N74" s="441"/>
      <c r="O74" s="406"/>
      <c r="P74" s="443">
        <v>65742.71</v>
      </c>
      <c r="Q74" s="443"/>
      <c r="R74" s="443"/>
      <c r="S74" s="406"/>
      <c r="T74" s="443">
        <v>25202</v>
      </c>
      <c r="U74" s="443"/>
      <c r="V74" s="443"/>
      <c r="W74" s="406"/>
      <c r="X74" s="444">
        <v>40540.71</v>
      </c>
      <c r="Y74" s="444"/>
      <c r="Z74" s="406"/>
      <c r="AA74" s="443">
        <v>12622</v>
      </c>
      <c r="AB74" s="443"/>
      <c r="AC74" s="443"/>
      <c r="AD74" s="443"/>
      <c r="AE74" s="406"/>
      <c r="AF74" s="444">
        <v>12580</v>
      </c>
      <c r="AG74" s="444"/>
      <c r="AH74" s="406"/>
      <c r="AI74" s="407">
        <v>19.2</v>
      </c>
      <c r="AJ74" s="406"/>
      <c r="AL74" s="164">
        <v>25202</v>
      </c>
      <c r="AM74" s="164">
        <f>T74-AL74</f>
        <v>0</v>
      </c>
    </row>
    <row r="75" spans="1:39" ht="10.5" customHeight="1">
      <c r="A75" s="406"/>
      <c r="B75" s="406"/>
      <c r="C75" s="406"/>
      <c r="D75" s="406"/>
      <c r="E75" s="406"/>
      <c r="F75" s="406"/>
      <c r="G75" s="406"/>
      <c r="H75" s="406"/>
      <c r="I75" s="406"/>
      <c r="J75" s="406"/>
      <c r="K75" s="439"/>
      <c r="L75" s="442"/>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L75" s="164"/>
      <c r="AM75" s="164"/>
    </row>
    <row r="76" spans="1:39" ht="11.25" customHeight="1">
      <c r="A76" s="441" t="s">
        <v>31</v>
      </c>
      <c r="B76" s="441"/>
      <c r="C76" s="441"/>
      <c r="D76" s="441"/>
      <c r="E76" s="441"/>
      <c r="F76" s="441"/>
      <c r="G76" s="441"/>
      <c r="H76" s="441" t="s">
        <v>489</v>
      </c>
      <c r="I76" s="441"/>
      <c r="J76" s="441"/>
      <c r="K76" s="442" t="s">
        <v>344</v>
      </c>
      <c r="L76" s="442"/>
      <c r="M76" s="441" t="s">
        <v>490</v>
      </c>
      <c r="N76" s="441"/>
      <c r="O76" s="406"/>
      <c r="P76" s="443">
        <v>232145.79</v>
      </c>
      <c r="Q76" s="443"/>
      <c r="R76" s="443"/>
      <c r="S76" s="406"/>
      <c r="T76" s="443">
        <v>83094</v>
      </c>
      <c r="U76" s="443"/>
      <c r="V76" s="443"/>
      <c r="W76" s="406"/>
      <c r="X76" s="444">
        <v>149051.79</v>
      </c>
      <c r="Y76" s="444"/>
      <c r="Z76" s="406"/>
      <c r="AA76" s="443">
        <v>83094</v>
      </c>
      <c r="AB76" s="443"/>
      <c r="AC76" s="443"/>
      <c r="AD76" s="443"/>
      <c r="AE76" s="406"/>
      <c r="AF76" s="444">
        <v>0</v>
      </c>
      <c r="AG76" s="444"/>
      <c r="AH76" s="406"/>
      <c r="AI76" s="407">
        <v>35.79</v>
      </c>
      <c r="AJ76" s="406"/>
      <c r="AL76" s="164">
        <v>83094</v>
      </c>
      <c r="AM76" s="164">
        <f>T76-AL76</f>
        <v>0</v>
      </c>
    </row>
    <row r="77" spans="1:39" ht="10.5" customHeight="1">
      <c r="A77" s="406"/>
      <c r="B77" s="406"/>
      <c r="C77" s="406"/>
      <c r="D77" s="406"/>
      <c r="E77" s="406"/>
      <c r="F77" s="406"/>
      <c r="G77" s="406"/>
      <c r="H77" s="406"/>
      <c r="I77" s="406"/>
      <c r="J77" s="406"/>
      <c r="K77" s="439"/>
      <c r="L77" s="442"/>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L77" s="164"/>
      <c r="AM77" s="164"/>
    </row>
    <row r="78" spans="1:39" ht="11.25" customHeight="1">
      <c r="A78" s="441" t="s">
        <v>32</v>
      </c>
      <c r="B78" s="441"/>
      <c r="C78" s="441"/>
      <c r="D78" s="441"/>
      <c r="E78" s="441"/>
      <c r="F78" s="441"/>
      <c r="G78" s="441"/>
      <c r="H78" s="441" t="s">
        <v>489</v>
      </c>
      <c r="I78" s="441"/>
      <c r="J78" s="441"/>
      <c r="K78" s="442" t="s">
        <v>344</v>
      </c>
      <c r="L78" s="442"/>
      <c r="M78" s="441" t="s">
        <v>490</v>
      </c>
      <c r="N78" s="441"/>
      <c r="O78" s="406"/>
      <c r="P78" s="443">
        <v>58197.6</v>
      </c>
      <c r="Q78" s="443"/>
      <c r="R78" s="443"/>
      <c r="S78" s="406"/>
      <c r="T78" s="443">
        <v>29219</v>
      </c>
      <c r="U78" s="443"/>
      <c r="V78" s="443"/>
      <c r="W78" s="406"/>
      <c r="X78" s="444">
        <v>28978.6</v>
      </c>
      <c r="Y78" s="444"/>
      <c r="Z78" s="406"/>
      <c r="AA78" s="443">
        <v>29219</v>
      </c>
      <c r="AB78" s="443"/>
      <c r="AC78" s="443"/>
      <c r="AD78" s="443"/>
      <c r="AE78" s="406"/>
      <c r="AF78" s="444">
        <v>0</v>
      </c>
      <c r="AG78" s="444"/>
      <c r="AH78" s="406"/>
      <c r="AI78" s="407">
        <v>50.21</v>
      </c>
      <c r="AJ78" s="406"/>
      <c r="AL78" s="164">
        <v>29219</v>
      </c>
      <c r="AM78" s="164">
        <f>T78-AL78</f>
        <v>0</v>
      </c>
    </row>
    <row r="79" spans="1:39" ht="10.5" customHeight="1">
      <c r="A79" s="406"/>
      <c r="B79" s="406"/>
      <c r="C79" s="406"/>
      <c r="D79" s="406"/>
      <c r="E79" s="406"/>
      <c r="F79" s="406"/>
      <c r="G79" s="406"/>
      <c r="H79" s="406"/>
      <c r="I79" s="406"/>
      <c r="J79" s="406"/>
      <c r="K79" s="439"/>
      <c r="L79" s="442"/>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L79" s="164"/>
      <c r="AM79" s="164"/>
    </row>
    <row r="80" spans="1:39" ht="11.25" customHeight="1">
      <c r="A80" s="441" t="s">
        <v>33</v>
      </c>
      <c r="B80" s="441"/>
      <c r="C80" s="441"/>
      <c r="D80" s="441"/>
      <c r="E80" s="441"/>
      <c r="F80" s="441"/>
      <c r="G80" s="441"/>
      <c r="H80" s="441" t="s">
        <v>489</v>
      </c>
      <c r="I80" s="441"/>
      <c r="J80" s="441"/>
      <c r="K80" s="442" t="s">
        <v>344</v>
      </c>
      <c r="L80" s="442"/>
      <c r="M80" s="441" t="s">
        <v>490</v>
      </c>
      <c r="N80" s="441"/>
      <c r="O80" s="406"/>
      <c r="P80" s="443">
        <v>210874.2</v>
      </c>
      <c r="Q80" s="443"/>
      <c r="R80" s="443"/>
      <c r="S80" s="406"/>
      <c r="T80" s="443">
        <v>129395.55</v>
      </c>
      <c r="U80" s="443"/>
      <c r="V80" s="443"/>
      <c r="W80" s="406"/>
      <c r="X80" s="444">
        <v>81478.65</v>
      </c>
      <c r="Y80" s="444"/>
      <c r="Z80" s="406"/>
      <c r="AA80" s="443">
        <v>123722.98</v>
      </c>
      <c r="AB80" s="443"/>
      <c r="AC80" s="443"/>
      <c r="AD80" s="443"/>
      <c r="AE80" s="406"/>
      <c r="AF80" s="444">
        <v>5672.57</v>
      </c>
      <c r="AG80" s="444"/>
      <c r="AH80" s="406"/>
      <c r="AI80" s="407">
        <v>58.67</v>
      </c>
      <c r="AJ80" s="406"/>
      <c r="AL80" s="164">
        <v>129395.55</v>
      </c>
      <c r="AM80" s="164">
        <f>T80-AL80</f>
        <v>0</v>
      </c>
    </row>
    <row r="81" spans="1:39" ht="10.5" customHeight="1">
      <c r="A81" s="406"/>
      <c r="B81" s="406"/>
      <c r="C81" s="406"/>
      <c r="D81" s="406"/>
      <c r="E81" s="406"/>
      <c r="F81" s="406"/>
      <c r="G81" s="406"/>
      <c r="H81" s="406"/>
      <c r="I81" s="406"/>
      <c r="J81" s="406"/>
      <c r="K81" s="439"/>
      <c r="L81" s="442"/>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L81" s="164"/>
      <c r="AM81" s="164"/>
    </row>
    <row r="82" spans="1:39" ht="11.25" customHeight="1">
      <c r="A82" s="406"/>
      <c r="B82" s="406"/>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L82" s="165" t="s">
        <v>52</v>
      </c>
      <c r="AM82" s="165" t="s">
        <v>52</v>
      </c>
    </row>
    <row r="83" spans="1:39" ht="10.5" customHeight="1">
      <c r="A83" s="406"/>
      <c r="B83" s="406"/>
      <c r="C83" s="406"/>
      <c r="D83" s="406"/>
      <c r="E83" s="406"/>
      <c r="F83" s="406"/>
      <c r="G83" s="406"/>
      <c r="H83" s="406"/>
      <c r="I83" s="406"/>
      <c r="J83" s="406"/>
      <c r="K83" s="406"/>
      <c r="L83" s="406"/>
      <c r="M83" s="406"/>
      <c r="N83" s="406"/>
      <c r="O83" s="437">
        <v>2137660.65</v>
      </c>
      <c r="P83" s="437"/>
      <c r="Q83" s="437"/>
      <c r="R83" s="437"/>
      <c r="S83" s="406"/>
      <c r="T83" s="437">
        <v>624184.55</v>
      </c>
      <c r="U83" s="437"/>
      <c r="V83" s="437"/>
      <c r="W83" s="406"/>
      <c r="X83" s="437">
        <v>1513476.1</v>
      </c>
      <c r="Y83" s="437"/>
      <c r="Z83" s="406"/>
      <c r="AA83" s="437">
        <v>739806.98</v>
      </c>
      <c r="AB83" s="437"/>
      <c r="AC83" s="437"/>
      <c r="AD83" s="437"/>
      <c r="AE83" s="406"/>
      <c r="AF83" s="437">
        <v>-115622.43</v>
      </c>
      <c r="AG83" s="437"/>
      <c r="AH83" s="406"/>
      <c r="AI83" s="406"/>
      <c r="AJ83" s="406"/>
      <c r="AL83" s="164">
        <f>SUM(AL56:AL80)</f>
        <v>624184.55</v>
      </c>
      <c r="AM83" s="164">
        <f>SUM(AM56:AM80)</f>
        <v>0</v>
      </c>
    </row>
    <row r="84" spans="1:39" ht="11.25" customHeight="1">
      <c r="A84" s="406"/>
      <c r="B84" s="406"/>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L84" s="164"/>
      <c r="AM84" s="164"/>
    </row>
    <row r="85" spans="1:39" ht="10.5" customHeight="1">
      <c r="A85" s="406"/>
      <c r="B85" s="406"/>
      <c r="C85" s="446" t="s">
        <v>331</v>
      </c>
      <c r="D85" s="446"/>
      <c r="E85" s="446"/>
      <c r="F85" s="446"/>
      <c r="G85" s="406"/>
      <c r="H85" s="442" t="s">
        <v>187</v>
      </c>
      <c r="I85" s="442"/>
      <c r="J85" s="442"/>
      <c r="K85" s="442"/>
      <c r="L85" s="442"/>
      <c r="M85" s="442"/>
      <c r="N85" s="442"/>
      <c r="O85" s="442"/>
      <c r="P85" s="442"/>
      <c r="Q85" s="442"/>
      <c r="R85" s="442"/>
      <c r="S85" s="442"/>
      <c r="T85" s="406"/>
      <c r="U85" s="406"/>
      <c r="V85" s="406"/>
      <c r="W85" s="406"/>
      <c r="X85" s="406"/>
      <c r="Y85" s="406"/>
      <c r="Z85" s="406"/>
      <c r="AA85" s="406"/>
      <c r="AB85" s="406"/>
      <c r="AC85" s="406"/>
      <c r="AD85" s="406"/>
      <c r="AE85" s="406"/>
      <c r="AF85" s="406"/>
      <c r="AG85" s="406"/>
      <c r="AH85" s="406"/>
      <c r="AI85" s="406"/>
      <c r="AJ85" s="406"/>
      <c r="AL85" s="164"/>
      <c r="AM85" s="164"/>
    </row>
    <row r="86" spans="1:39" ht="11.25" customHeight="1">
      <c r="A86" s="446" t="s">
        <v>332</v>
      </c>
      <c r="B86" s="446"/>
      <c r="C86" s="446"/>
      <c r="D86" s="446"/>
      <c r="E86" s="446"/>
      <c r="F86" s="406"/>
      <c r="G86" s="406"/>
      <c r="H86" s="406"/>
      <c r="I86" s="447" t="s">
        <v>510</v>
      </c>
      <c r="J86" s="447"/>
      <c r="K86" s="447"/>
      <c r="L86" s="447"/>
      <c r="M86" s="447"/>
      <c r="N86" s="447"/>
      <c r="O86" s="445" t="s">
        <v>511</v>
      </c>
      <c r="P86" s="445"/>
      <c r="Q86" s="445"/>
      <c r="R86" s="445"/>
      <c r="S86" s="406"/>
      <c r="T86" s="445" t="s">
        <v>512</v>
      </c>
      <c r="U86" s="445"/>
      <c r="V86" s="445"/>
      <c r="W86" s="406"/>
      <c r="X86" s="448" t="s">
        <v>488</v>
      </c>
      <c r="Y86" s="448"/>
      <c r="Z86" s="406"/>
      <c r="AA86" s="406"/>
      <c r="AB86" s="445" t="s">
        <v>513</v>
      </c>
      <c r="AC86" s="445"/>
      <c r="AD86" s="445"/>
      <c r="AE86" s="406"/>
      <c r="AF86" s="406"/>
      <c r="AG86" s="405" t="s">
        <v>514</v>
      </c>
      <c r="AH86" s="406"/>
      <c r="AI86" s="445" t="s">
        <v>515</v>
      </c>
      <c r="AJ86" s="445"/>
      <c r="AL86" s="164"/>
      <c r="AM86" s="164"/>
    </row>
    <row r="87" spans="1:39" ht="10.5" customHeight="1">
      <c r="A87" s="406"/>
      <c r="B87" s="406"/>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L87" s="164"/>
      <c r="AM87" s="164"/>
    </row>
    <row r="88" spans="1:39" ht="11.25" customHeight="1">
      <c r="A88" s="441" t="s">
        <v>23</v>
      </c>
      <c r="B88" s="441"/>
      <c r="C88" s="441"/>
      <c r="D88" s="441"/>
      <c r="E88" s="441"/>
      <c r="F88" s="441"/>
      <c r="G88" s="441"/>
      <c r="H88" s="441" t="s">
        <v>489</v>
      </c>
      <c r="I88" s="441"/>
      <c r="J88" s="441"/>
      <c r="K88" s="442" t="s">
        <v>344</v>
      </c>
      <c r="L88" s="442"/>
      <c r="M88" s="441" t="s">
        <v>490</v>
      </c>
      <c r="N88" s="441"/>
      <c r="O88" s="406"/>
      <c r="P88" s="443">
        <v>27067</v>
      </c>
      <c r="Q88" s="443"/>
      <c r="R88" s="443"/>
      <c r="S88" s="406"/>
      <c r="T88" s="443">
        <v>0</v>
      </c>
      <c r="U88" s="443"/>
      <c r="V88" s="443"/>
      <c r="W88" s="406"/>
      <c r="X88" s="444">
        <v>27067</v>
      </c>
      <c r="Y88" s="444"/>
      <c r="Z88" s="406"/>
      <c r="AA88" s="443">
        <v>10372.08</v>
      </c>
      <c r="AB88" s="443"/>
      <c r="AC88" s="443"/>
      <c r="AD88" s="443"/>
      <c r="AE88" s="406"/>
      <c r="AF88" s="444">
        <v>-10372.08</v>
      </c>
      <c r="AG88" s="444"/>
      <c r="AH88" s="406"/>
      <c r="AI88" s="407">
        <v>38.32</v>
      </c>
      <c r="AJ88" s="406"/>
      <c r="AL88" s="164"/>
      <c r="AM88" s="164"/>
    </row>
    <row r="89" spans="1:39" ht="10.5" customHeight="1">
      <c r="A89" s="406"/>
      <c r="B89" s="406"/>
      <c r="C89" s="406"/>
      <c r="D89" s="406"/>
      <c r="E89" s="406"/>
      <c r="F89" s="406"/>
      <c r="G89" s="406"/>
      <c r="H89" s="406"/>
      <c r="I89" s="406"/>
      <c r="J89" s="406"/>
      <c r="K89" s="439"/>
      <c r="L89" s="442"/>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L89" s="164"/>
      <c r="AM89" s="164"/>
    </row>
    <row r="90" spans="1:39" ht="11.25" customHeight="1">
      <c r="A90" s="441" t="s">
        <v>24</v>
      </c>
      <c r="B90" s="441"/>
      <c r="C90" s="441"/>
      <c r="D90" s="441"/>
      <c r="E90" s="441"/>
      <c r="F90" s="441"/>
      <c r="G90" s="441"/>
      <c r="H90" s="441" t="s">
        <v>489</v>
      </c>
      <c r="I90" s="441"/>
      <c r="J90" s="441"/>
      <c r="K90" s="442" t="s">
        <v>344</v>
      </c>
      <c r="L90" s="442"/>
      <c r="M90" s="441" t="s">
        <v>490</v>
      </c>
      <c r="N90" s="441"/>
      <c r="O90" s="406"/>
      <c r="P90" s="443">
        <v>19149.46</v>
      </c>
      <c r="Q90" s="443"/>
      <c r="R90" s="443"/>
      <c r="S90" s="406"/>
      <c r="T90" s="443">
        <v>13762.99</v>
      </c>
      <c r="U90" s="443"/>
      <c r="V90" s="443"/>
      <c r="W90" s="406"/>
      <c r="X90" s="444">
        <v>5386.47</v>
      </c>
      <c r="Y90" s="444"/>
      <c r="Z90" s="406"/>
      <c r="AA90" s="443">
        <v>9762.99</v>
      </c>
      <c r="AB90" s="443"/>
      <c r="AC90" s="443"/>
      <c r="AD90" s="443"/>
      <c r="AE90" s="406"/>
      <c r="AF90" s="444">
        <v>4000</v>
      </c>
      <c r="AG90" s="444"/>
      <c r="AH90" s="406"/>
      <c r="AI90" s="407">
        <v>50.98</v>
      </c>
      <c r="AJ90" s="406"/>
      <c r="AL90" s="164">
        <v>13762.99</v>
      </c>
      <c r="AM90" s="164">
        <f>T90-AL90</f>
        <v>0</v>
      </c>
    </row>
    <row r="91" spans="1:39" ht="10.5" customHeight="1">
      <c r="A91" s="406"/>
      <c r="B91" s="406"/>
      <c r="C91" s="406"/>
      <c r="D91" s="406"/>
      <c r="E91" s="406"/>
      <c r="F91" s="406"/>
      <c r="G91" s="406"/>
      <c r="H91" s="406"/>
      <c r="I91" s="406"/>
      <c r="J91" s="406"/>
      <c r="K91" s="439"/>
      <c r="L91" s="442"/>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L91" s="164"/>
      <c r="AM91" s="164"/>
    </row>
    <row r="92" spans="1:39" ht="11.25" customHeight="1">
      <c r="A92" s="441" t="s">
        <v>25</v>
      </c>
      <c r="B92" s="441"/>
      <c r="C92" s="441"/>
      <c r="D92" s="441"/>
      <c r="E92" s="441"/>
      <c r="F92" s="441"/>
      <c r="G92" s="441"/>
      <c r="H92" s="441" t="s">
        <v>489</v>
      </c>
      <c r="I92" s="441"/>
      <c r="J92" s="441"/>
      <c r="K92" s="442" t="s">
        <v>344</v>
      </c>
      <c r="L92" s="442"/>
      <c r="M92" s="441" t="s">
        <v>490</v>
      </c>
      <c r="N92" s="441"/>
      <c r="O92" s="406"/>
      <c r="P92" s="443">
        <v>16959.99</v>
      </c>
      <c r="Q92" s="443"/>
      <c r="R92" s="443"/>
      <c r="S92" s="406"/>
      <c r="T92" s="443">
        <v>0</v>
      </c>
      <c r="U92" s="443"/>
      <c r="V92" s="443"/>
      <c r="W92" s="406"/>
      <c r="X92" s="444">
        <v>16959.99</v>
      </c>
      <c r="Y92" s="444"/>
      <c r="Z92" s="406"/>
      <c r="AA92" s="443">
        <v>0</v>
      </c>
      <c r="AB92" s="443"/>
      <c r="AC92" s="443"/>
      <c r="AD92" s="443"/>
      <c r="AE92" s="406"/>
      <c r="AF92" s="444">
        <v>0</v>
      </c>
      <c r="AG92" s="444"/>
      <c r="AH92" s="406"/>
      <c r="AI92" s="407">
        <v>0</v>
      </c>
      <c r="AJ92" s="406"/>
      <c r="AL92" s="164"/>
      <c r="AM92" s="164"/>
    </row>
    <row r="93" spans="1:39" ht="10.5" customHeight="1">
      <c r="A93" s="406"/>
      <c r="B93" s="406"/>
      <c r="C93" s="406"/>
      <c r="D93" s="406"/>
      <c r="E93" s="406"/>
      <c r="F93" s="406"/>
      <c r="G93" s="406"/>
      <c r="H93" s="406"/>
      <c r="I93" s="406"/>
      <c r="J93" s="406"/>
      <c r="K93" s="439"/>
      <c r="L93" s="442"/>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L93" s="164"/>
      <c r="AM93" s="164"/>
    </row>
    <row r="94" spans="1:39" ht="11.25" customHeight="1">
      <c r="A94" s="441" t="s">
        <v>493</v>
      </c>
      <c r="B94" s="441"/>
      <c r="C94" s="441"/>
      <c r="D94" s="441"/>
      <c r="E94" s="441"/>
      <c r="F94" s="441"/>
      <c r="G94" s="441"/>
      <c r="H94" s="441" t="s">
        <v>489</v>
      </c>
      <c r="I94" s="441"/>
      <c r="J94" s="441"/>
      <c r="K94" s="442" t="s">
        <v>344</v>
      </c>
      <c r="L94" s="442"/>
      <c r="M94" s="441" t="s">
        <v>490</v>
      </c>
      <c r="N94" s="441"/>
      <c r="O94" s="406"/>
      <c r="P94" s="443">
        <v>2445</v>
      </c>
      <c r="Q94" s="443"/>
      <c r="R94" s="443"/>
      <c r="S94" s="406"/>
      <c r="T94" s="443">
        <v>0</v>
      </c>
      <c r="U94" s="443"/>
      <c r="V94" s="443"/>
      <c r="W94" s="406"/>
      <c r="X94" s="444">
        <v>2445</v>
      </c>
      <c r="Y94" s="444"/>
      <c r="Z94" s="406"/>
      <c r="AA94" s="443">
        <v>0</v>
      </c>
      <c r="AB94" s="443"/>
      <c r="AC94" s="443"/>
      <c r="AD94" s="443"/>
      <c r="AE94" s="406"/>
      <c r="AF94" s="444">
        <v>0</v>
      </c>
      <c r="AG94" s="444"/>
      <c r="AH94" s="406"/>
      <c r="AI94" s="407">
        <v>0</v>
      </c>
      <c r="AJ94" s="406"/>
      <c r="AL94" s="164"/>
      <c r="AM94" s="164"/>
    </row>
    <row r="95" spans="1:39" ht="10.5" customHeight="1">
      <c r="A95" s="406"/>
      <c r="B95" s="406"/>
      <c r="C95" s="406"/>
      <c r="D95" s="406"/>
      <c r="E95" s="406"/>
      <c r="F95" s="406"/>
      <c r="G95" s="406"/>
      <c r="H95" s="406"/>
      <c r="I95" s="406"/>
      <c r="J95" s="406"/>
      <c r="K95" s="439"/>
      <c r="L95" s="442"/>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L95" s="164"/>
      <c r="AM95" s="164"/>
    </row>
    <row r="96" spans="1:39" ht="11.25" customHeight="1">
      <c r="A96" s="441" t="s">
        <v>27</v>
      </c>
      <c r="B96" s="441"/>
      <c r="C96" s="441"/>
      <c r="D96" s="441"/>
      <c r="E96" s="441"/>
      <c r="F96" s="441"/>
      <c r="G96" s="441"/>
      <c r="H96" s="441" t="s">
        <v>489</v>
      </c>
      <c r="I96" s="441"/>
      <c r="J96" s="441"/>
      <c r="K96" s="442" t="s">
        <v>344</v>
      </c>
      <c r="L96" s="442"/>
      <c r="M96" s="441" t="s">
        <v>490</v>
      </c>
      <c r="N96" s="441"/>
      <c r="O96" s="406"/>
      <c r="P96" s="443">
        <v>42690.12</v>
      </c>
      <c r="Q96" s="443"/>
      <c r="R96" s="443"/>
      <c r="S96" s="406"/>
      <c r="T96" s="443">
        <v>13702</v>
      </c>
      <c r="U96" s="443"/>
      <c r="V96" s="443"/>
      <c r="W96" s="406"/>
      <c r="X96" s="444">
        <v>28988.12</v>
      </c>
      <c r="Y96" s="444"/>
      <c r="Z96" s="406"/>
      <c r="AA96" s="443">
        <v>13702</v>
      </c>
      <c r="AB96" s="443"/>
      <c r="AC96" s="443"/>
      <c r="AD96" s="443"/>
      <c r="AE96" s="406"/>
      <c r="AF96" s="444">
        <v>0</v>
      </c>
      <c r="AG96" s="444"/>
      <c r="AH96" s="406"/>
      <c r="AI96" s="407">
        <v>32.1</v>
      </c>
      <c r="AJ96" s="406"/>
      <c r="AL96" s="164">
        <v>13702</v>
      </c>
      <c r="AM96" s="164">
        <f>T96-AL96</f>
        <v>0</v>
      </c>
    </row>
    <row r="97" spans="1:39" ht="10.5" customHeight="1">
      <c r="A97" s="406"/>
      <c r="B97" s="406"/>
      <c r="C97" s="406"/>
      <c r="D97" s="406"/>
      <c r="E97" s="406"/>
      <c r="F97" s="406"/>
      <c r="G97" s="406"/>
      <c r="H97" s="406"/>
      <c r="I97" s="406"/>
      <c r="J97" s="406"/>
      <c r="K97" s="439"/>
      <c r="L97" s="442"/>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L97" s="164"/>
      <c r="AM97" s="164"/>
    </row>
    <row r="98" spans="1:39" ht="11.25" customHeight="1">
      <c r="A98" s="441" t="s">
        <v>165</v>
      </c>
      <c r="B98" s="441"/>
      <c r="C98" s="441"/>
      <c r="D98" s="441"/>
      <c r="E98" s="441"/>
      <c r="F98" s="441"/>
      <c r="G98" s="441"/>
      <c r="H98" s="441" t="s">
        <v>489</v>
      </c>
      <c r="I98" s="441"/>
      <c r="J98" s="441"/>
      <c r="K98" s="442" t="s">
        <v>344</v>
      </c>
      <c r="L98" s="442"/>
      <c r="M98" s="441" t="s">
        <v>490</v>
      </c>
      <c r="N98" s="441"/>
      <c r="O98" s="406"/>
      <c r="P98" s="443">
        <v>21961</v>
      </c>
      <c r="Q98" s="443"/>
      <c r="R98" s="443"/>
      <c r="S98" s="406"/>
      <c r="T98" s="443">
        <v>21961</v>
      </c>
      <c r="U98" s="443"/>
      <c r="V98" s="443"/>
      <c r="W98" s="406"/>
      <c r="X98" s="444">
        <v>0</v>
      </c>
      <c r="Y98" s="444"/>
      <c r="Z98" s="406"/>
      <c r="AA98" s="443">
        <v>21961</v>
      </c>
      <c r="AB98" s="443"/>
      <c r="AC98" s="443"/>
      <c r="AD98" s="443"/>
      <c r="AE98" s="406"/>
      <c r="AF98" s="444">
        <v>0</v>
      </c>
      <c r="AG98" s="444"/>
      <c r="AH98" s="406"/>
      <c r="AI98" s="407">
        <v>100</v>
      </c>
      <c r="AJ98" s="406"/>
      <c r="AL98" s="164">
        <v>21961</v>
      </c>
      <c r="AM98" s="164">
        <f>T98-AL98</f>
        <v>0</v>
      </c>
    </row>
    <row r="99" spans="1:39" ht="10.5" customHeight="1">
      <c r="A99" s="406"/>
      <c r="B99" s="406"/>
      <c r="C99" s="406"/>
      <c r="D99" s="406"/>
      <c r="E99" s="406"/>
      <c r="F99" s="406"/>
      <c r="G99" s="406"/>
      <c r="H99" s="406"/>
      <c r="I99" s="406"/>
      <c r="J99" s="406"/>
      <c r="K99" s="439"/>
      <c r="L99" s="442"/>
      <c r="M99" s="406"/>
      <c r="N99" s="406"/>
      <c r="O99" s="406"/>
      <c r="P99" s="406"/>
      <c r="Q99" s="406"/>
      <c r="R99" s="406"/>
      <c r="S99" s="406"/>
      <c r="T99" s="406"/>
      <c r="U99" s="406"/>
      <c r="V99" s="406"/>
      <c r="W99" s="406"/>
      <c r="X99" s="406"/>
      <c r="Y99" s="406"/>
      <c r="Z99" s="406"/>
      <c r="AA99" s="406"/>
      <c r="AB99" s="406"/>
      <c r="AC99" s="406"/>
      <c r="AD99" s="406"/>
      <c r="AE99" s="406"/>
      <c r="AF99" s="406"/>
      <c r="AG99" s="406"/>
      <c r="AH99" s="406"/>
      <c r="AI99" s="406"/>
      <c r="AJ99" s="406"/>
      <c r="AL99" s="164"/>
      <c r="AM99" s="164"/>
    </row>
    <row r="100" spans="1:39" ht="11.25" customHeight="1">
      <c r="A100" s="441" t="s">
        <v>516</v>
      </c>
      <c r="B100" s="441"/>
      <c r="C100" s="441"/>
      <c r="D100" s="441"/>
      <c r="E100" s="441"/>
      <c r="F100" s="441"/>
      <c r="G100" s="441"/>
      <c r="H100" s="441" t="s">
        <v>489</v>
      </c>
      <c r="I100" s="441"/>
      <c r="J100" s="441"/>
      <c r="K100" s="442" t="s">
        <v>344</v>
      </c>
      <c r="L100" s="442"/>
      <c r="M100" s="441" t="s">
        <v>490</v>
      </c>
      <c r="N100" s="441"/>
      <c r="O100" s="406"/>
      <c r="P100" s="443">
        <v>3066</v>
      </c>
      <c r="Q100" s="443"/>
      <c r="R100" s="443"/>
      <c r="S100" s="406"/>
      <c r="T100" s="443">
        <v>235</v>
      </c>
      <c r="U100" s="443"/>
      <c r="V100" s="443"/>
      <c r="W100" s="406"/>
      <c r="X100" s="444">
        <v>2831</v>
      </c>
      <c r="Y100" s="444"/>
      <c r="Z100" s="406"/>
      <c r="AA100" s="443">
        <v>235</v>
      </c>
      <c r="AB100" s="443"/>
      <c r="AC100" s="443"/>
      <c r="AD100" s="443"/>
      <c r="AE100" s="406"/>
      <c r="AF100" s="444">
        <v>0</v>
      </c>
      <c r="AG100" s="444"/>
      <c r="AH100" s="406"/>
      <c r="AI100" s="407">
        <v>7.66</v>
      </c>
      <c r="AJ100" s="406"/>
      <c r="AL100" s="164">
        <v>235</v>
      </c>
      <c r="AM100" s="164">
        <f>T100-AL100</f>
        <v>0</v>
      </c>
    </row>
    <row r="101" spans="1:39" ht="10.5" customHeight="1">
      <c r="A101" s="406"/>
      <c r="B101" s="406"/>
      <c r="C101" s="406"/>
      <c r="D101" s="406"/>
      <c r="E101" s="406"/>
      <c r="F101" s="406"/>
      <c r="G101" s="406"/>
      <c r="H101" s="406"/>
      <c r="I101" s="406"/>
      <c r="J101" s="406"/>
      <c r="K101" s="439"/>
      <c r="L101" s="442"/>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L101" s="164"/>
      <c r="AM101" s="164"/>
    </row>
    <row r="102" spans="1:39" ht="11.25" customHeight="1">
      <c r="A102" s="441" t="s">
        <v>28</v>
      </c>
      <c r="B102" s="441"/>
      <c r="C102" s="441"/>
      <c r="D102" s="441"/>
      <c r="E102" s="441"/>
      <c r="F102" s="441"/>
      <c r="G102" s="441"/>
      <c r="H102" s="441" t="s">
        <v>489</v>
      </c>
      <c r="I102" s="441"/>
      <c r="J102" s="441"/>
      <c r="K102" s="442" t="s">
        <v>344</v>
      </c>
      <c r="L102" s="442"/>
      <c r="M102" s="441" t="s">
        <v>490</v>
      </c>
      <c r="N102" s="441"/>
      <c r="O102" s="406"/>
      <c r="P102" s="443">
        <v>10079</v>
      </c>
      <c r="Q102" s="443"/>
      <c r="R102" s="443"/>
      <c r="S102" s="406"/>
      <c r="T102" s="443">
        <v>0</v>
      </c>
      <c r="U102" s="443"/>
      <c r="V102" s="443"/>
      <c r="W102" s="406"/>
      <c r="X102" s="444">
        <v>10079</v>
      </c>
      <c r="Y102" s="444"/>
      <c r="Z102" s="406"/>
      <c r="AA102" s="443">
        <v>0</v>
      </c>
      <c r="AB102" s="443"/>
      <c r="AC102" s="443"/>
      <c r="AD102" s="443"/>
      <c r="AE102" s="406"/>
      <c r="AF102" s="444">
        <v>0</v>
      </c>
      <c r="AG102" s="444"/>
      <c r="AH102" s="406"/>
      <c r="AI102" s="407">
        <v>0</v>
      </c>
      <c r="AJ102" s="406"/>
      <c r="AL102" s="164"/>
      <c r="AM102" s="164"/>
    </row>
    <row r="103" spans="1:39" ht="10.5" customHeight="1">
      <c r="A103" s="406"/>
      <c r="B103" s="406"/>
      <c r="C103" s="406"/>
      <c r="D103" s="406"/>
      <c r="E103" s="406"/>
      <c r="F103" s="406"/>
      <c r="G103" s="406"/>
      <c r="H103" s="406"/>
      <c r="I103" s="406"/>
      <c r="J103" s="406"/>
      <c r="K103" s="439"/>
      <c r="L103" s="442"/>
      <c r="M103" s="406"/>
      <c r="N103" s="406"/>
      <c r="O103" s="406"/>
      <c r="P103" s="406"/>
      <c r="Q103" s="406"/>
      <c r="R103" s="406"/>
      <c r="S103" s="406"/>
      <c r="T103" s="406"/>
      <c r="U103" s="406"/>
      <c r="V103" s="406"/>
      <c r="W103" s="406"/>
      <c r="X103" s="406"/>
      <c r="Y103" s="406"/>
      <c r="Z103" s="406"/>
      <c r="AA103" s="406"/>
      <c r="AB103" s="406"/>
      <c r="AC103" s="406"/>
      <c r="AD103" s="406"/>
      <c r="AE103" s="406"/>
      <c r="AF103" s="406"/>
      <c r="AG103" s="406"/>
      <c r="AH103" s="406"/>
      <c r="AI103" s="406"/>
      <c r="AJ103" s="406"/>
      <c r="AL103" s="164"/>
      <c r="AM103" s="164"/>
    </row>
    <row r="104" spans="1:39" ht="11.25" customHeight="1">
      <c r="A104" s="441" t="s">
        <v>29</v>
      </c>
      <c r="B104" s="441"/>
      <c r="C104" s="441"/>
      <c r="D104" s="441"/>
      <c r="E104" s="441"/>
      <c r="F104" s="441"/>
      <c r="G104" s="441"/>
      <c r="H104" s="441" t="s">
        <v>489</v>
      </c>
      <c r="I104" s="441"/>
      <c r="J104" s="441"/>
      <c r="K104" s="442" t="s">
        <v>344</v>
      </c>
      <c r="L104" s="442"/>
      <c r="M104" s="441" t="s">
        <v>490</v>
      </c>
      <c r="N104" s="441"/>
      <c r="O104" s="406"/>
      <c r="P104" s="443">
        <v>77395.73</v>
      </c>
      <c r="Q104" s="443"/>
      <c r="R104" s="443"/>
      <c r="S104" s="406"/>
      <c r="T104" s="443">
        <v>0</v>
      </c>
      <c r="U104" s="443"/>
      <c r="V104" s="443"/>
      <c r="W104" s="406"/>
      <c r="X104" s="444">
        <v>77395.73</v>
      </c>
      <c r="Y104" s="444"/>
      <c r="Z104" s="406"/>
      <c r="AA104" s="443">
        <v>476.27</v>
      </c>
      <c r="AB104" s="443"/>
      <c r="AC104" s="443"/>
      <c r="AD104" s="443"/>
      <c r="AE104" s="406"/>
      <c r="AF104" s="444">
        <v>-476.27</v>
      </c>
      <c r="AG104" s="444"/>
      <c r="AH104" s="406"/>
      <c r="AI104" s="407">
        <v>0.62</v>
      </c>
      <c r="AJ104" s="406"/>
      <c r="AL104" s="164"/>
      <c r="AM104" s="164"/>
    </row>
    <row r="105" spans="1:39" ht="10.5" customHeight="1">
      <c r="A105" s="406"/>
      <c r="B105" s="406"/>
      <c r="C105" s="406"/>
      <c r="D105" s="406"/>
      <c r="E105" s="406"/>
      <c r="F105" s="406"/>
      <c r="G105" s="406"/>
      <c r="H105" s="406"/>
      <c r="I105" s="406"/>
      <c r="J105" s="406"/>
      <c r="K105" s="439"/>
      <c r="L105" s="442"/>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L105" s="164"/>
      <c r="AM105" s="164"/>
    </row>
    <row r="106" spans="1:39" ht="11.25" customHeight="1">
      <c r="A106" s="441" t="s">
        <v>30</v>
      </c>
      <c r="B106" s="441"/>
      <c r="C106" s="441"/>
      <c r="D106" s="441"/>
      <c r="E106" s="441"/>
      <c r="F106" s="441"/>
      <c r="G106" s="441"/>
      <c r="H106" s="441" t="s">
        <v>489</v>
      </c>
      <c r="I106" s="441"/>
      <c r="J106" s="441"/>
      <c r="K106" s="442" t="s">
        <v>344</v>
      </c>
      <c r="L106" s="442"/>
      <c r="M106" s="441" t="s">
        <v>490</v>
      </c>
      <c r="N106" s="441"/>
      <c r="O106" s="406"/>
      <c r="P106" s="443">
        <v>10461.82</v>
      </c>
      <c r="Q106" s="443"/>
      <c r="R106" s="443"/>
      <c r="S106" s="406"/>
      <c r="T106" s="443">
        <v>2305</v>
      </c>
      <c r="U106" s="443"/>
      <c r="V106" s="443"/>
      <c r="W106" s="406"/>
      <c r="X106" s="444">
        <v>8156.82</v>
      </c>
      <c r="Y106" s="444"/>
      <c r="Z106" s="406"/>
      <c r="AA106" s="443">
        <v>2305</v>
      </c>
      <c r="AB106" s="443"/>
      <c r="AC106" s="443"/>
      <c r="AD106" s="443"/>
      <c r="AE106" s="406"/>
      <c r="AF106" s="444">
        <v>0</v>
      </c>
      <c r="AG106" s="444"/>
      <c r="AH106" s="406"/>
      <c r="AI106" s="407">
        <v>22.03</v>
      </c>
      <c r="AJ106" s="406"/>
      <c r="AL106" s="164">
        <v>2305</v>
      </c>
      <c r="AM106" s="164">
        <f>T106-AL106</f>
        <v>0</v>
      </c>
    </row>
    <row r="107" spans="1:39" ht="10.5" customHeight="1">
      <c r="A107" s="406"/>
      <c r="B107" s="406"/>
      <c r="C107" s="406"/>
      <c r="D107" s="406"/>
      <c r="E107" s="406"/>
      <c r="F107" s="406"/>
      <c r="G107" s="406"/>
      <c r="H107" s="406"/>
      <c r="I107" s="406"/>
      <c r="J107" s="406"/>
      <c r="K107" s="439"/>
      <c r="L107" s="442"/>
      <c r="M107" s="406"/>
      <c r="N107" s="406"/>
      <c r="O107" s="406"/>
      <c r="P107" s="406"/>
      <c r="Q107" s="406"/>
      <c r="R107" s="406"/>
      <c r="S107" s="406"/>
      <c r="T107" s="406"/>
      <c r="U107" s="406"/>
      <c r="V107" s="406"/>
      <c r="W107" s="406"/>
      <c r="X107" s="406"/>
      <c r="Y107" s="406"/>
      <c r="Z107" s="406"/>
      <c r="AA107" s="406"/>
      <c r="AB107" s="406"/>
      <c r="AC107" s="406"/>
      <c r="AD107" s="406"/>
      <c r="AE107" s="406"/>
      <c r="AF107" s="406"/>
      <c r="AG107" s="406"/>
      <c r="AH107" s="406"/>
      <c r="AI107" s="406"/>
      <c r="AJ107" s="406"/>
      <c r="AL107" s="164"/>
      <c r="AM107" s="164"/>
    </row>
    <row r="108" spans="1:39" ht="11.25" customHeight="1">
      <c r="A108" s="441" t="s">
        <v>31</v>
      </c>
      <c r="B108" s="441"/>
      <c r="C108" s="441"/>
      <c r="D108" s="441"/>
      <c r="E108" s="441"/>
      <c r="F108" s="441"/>
      <c r="G108" s="441"/>
      <c r="H108" s="441" t="s">
        <v>489</v>
      </c>
      <c r="I108" s="441"/>
      <c r="J108" s="441"/>
      <c r="K108" s="442" t="s">
        <v>344</v>
      </c>
      <c r="L108" s="442"/>
      <c r="M108" s="441" t="s">
        <v>490</v>
      </c>
      <c r="N108" s="441"/>
      <c r="O108" s="406"/>
      <c r="P108" s="443">
        <v>51219</v>
      </c>
      <c r="Q108" s="443"/>
      <c r="R108" s="443"/>
      <c r="S108" s="406"/>
      <c r="T108" s="443">
        <v>11515</v>
      </c>
      <c r="U108" s="443"/>
      <c r="V108" s="443"/>
      <c r="W108" s="406"/>
      <c r="X108" s="444">
        <v>39704</v>
      </c>
      <c r="Y108" s="444"/>
      <c r="Z108" s="406"/>
      <c r="AA108" s="443">
        <v>11515</v>
      </c>
      <c r="AB108" s="443"/>
      <c r="AC108" s="443"/>
      <c r="AD108" s="443"/>
      <c r="AE108" s="406"/>
      <c r="AF108" s="444">
        <v>0</v>
      </c>
      <c r="AG108" s="444"/>
      <c r="AH108" s="406"/>
      <c r="AI108" s="407">
        <v>22.48</v>
      </c>
      <c r="AJ108" s="406"/>
      <c r="AL108" s="164">
        <v>11515</v>
      </c>
      <c r="AM108" s="164">
        <f>T108-AL108</f>
        <v>0</v>
      </c>
    </row>
    <row r="109" spans="1:39" ht="10.5" customHeight="1">
      <c r="A109" s="406"/>
      <c r="B109" s="406"/>
      <c r="C109" s="406"/>
      <c r="D109" s="406"/>
      <c r="E109" s="406"/>
      <c r="F109" s="406"/>
      <c r="G109" s="406"/>
      <c r="H109" s="406"/>
      <c r="I109" s="406"/>
      <c r="J109" s="406"/>
      <c r="K109" s="439"/>
      <c r="L109" s="442"/>
      <c r="M109" s="406"/>
      <c r="N109" s="406"/>
      <c r="O109" s="406"/>
      <c r="P109" s="406"/>
      <c r="Q109" s="406"/>
      <c r="R109" s="406"/>
      <c r="S109" s="406"/>
      <c r="T109" s="406"/>
      <c r="U109" s="406"/>
      <c r="V109" s="406"/>
      <c r="W109" s="406"/>
      <c r="X109" s="406"/>
      <c r="Y109" s="406"/>
      <c r="Z109" s="406"/>
      <c r="AA109" s="406"/>
      <c r="AB109" s="406"/>
      <c r="AC109" s="406"/>
      <c r="AD109" s="406"/>
      <c r="AE109" s="406"/>
      <c r="AF109" s="406"/>
      <c r="AG109" s="406"/>
      <c r="AH109" s="406"/>
      <c r="AI109" s="406"/>
      <c r="AJ109" s="406"/>
      <c r="AL109" s="164"/>
      <c r="AM109" s="164"/>
    </row>
    <row r="110" spans="1:39" ht="11.25" customHeight="1">
      <c r="A110" s="441" t="s">
        <v>32</v>
      </c>
      <c r="B110" s="441"/>
      <c r="C110" s="441"/>
      <c r="D110" s="441"/>
      <c r="E110" s="441"/>
      <c r="F110" s="441"/>
      <c r="G110" s="441"/>
      <c r="H110" s="441" t="s">
        <v>489</v>
      </c>
      <c r="I110" s="441"/>
      <c r="J110" s="441"/>
      <c r="K110" s="442" t="s">
        <v>344</v>
      </c>
      <c r="L110" s="442"/>
      <c r="M110" s="441" t="s">
        <v>490</v>
      </c>
      <c r="N110" s="441"/>
      <c r="O110" s="406"/>
      <c r="P110" s="443">
        <v>15364</v>
      </c>
      <c r="Q110" s="443"/>
      <c r="R110" s="443"/>
      <c r="S110" s="406"/>
      <c r="T110" s="443">
        <v>14858</v>
      </c>
      <c r="U110" s="443"/>
      <c r="V110" s="443"/>
      <c r="W110" s="406"/>
      <c r="X110" s="444">
        <v>506</v>
      </c>
      <c r="Y110" s="444"/>
      <c r="Z110" s="406"/>
      <c r="AA110" s="443">
        <v>14858</v>
      </c>
      <c r="AB110" s="443"/>
      <c r="AC110" s="443"/>
      <c r="AD110" s="443"/>
      <c r="AE110" s="406"/>
      <c r="AF110" s="444">
        <v>0</v>
      </c>
      <c r="AG110" s="444"/>
      <c r="AH110" s="406"/>
      <c r="AI110" s="407">
        <v>96.71</v>
      </c>
      <c r="AJ110" s="406"/>
      <c r="AL110" s="164">
        <v>14858</v>
      </c>
      <c r="AM110" s="164">
        <f>T110-AL110</f>
        <v>0</v>
      </c>
    </row>
    <row r="111" spans="1:39" ht="10.5" customHeight="1">
      <c r="A111" s="406"/>
      <c r="B111" s="406"/>
      <c r="C111" s="406"/>
      <c r="D111" s="406"/>
      <c r="E111" s="406"/>
      <c r="F111" s="406"/>
      <c r="G111" s="406"/>
      <c r="H111" s="406"/>
      <c r="I111" s="406"/>
      <c r="J111" s="406"/>
      <c r="K111" s="439"/>
      <c r="L111" s="442"/>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L111" s="164"/>
      <c r="AM111" s="164"/>
    </row>
    <row r="112" spans="1:39" ht="11.25" customHeight="1">
      <c r="A112" s="441" t="s">
        <v>33</v>
      </c>
      <c r="B112" s="441"/>
      <c r="C112" s="441"/>
      <c r="D112" s="441"/>
      <c r="E112" s="441"/>
      <c r="F112" s="441"/>
      <c r="G112" s="441"/>
      <c r="H112" s="441" t="s">
        <v>489</v>
      </c>
      <c r="I112" s="441"/>
      <c r="J112" s="441"/>
      <c r="K112" s="442" t="s">
        <v>344</v>
      </c>
      <c r="L112" s="442"/>
      <c r="M112" s="441" t="s">
        <v>490</v>
      </c>
      <c r="N112" s="441"/>
      <c r="O112" s="406"/>
      <c r="P112" s="443">
        <v>57941</v>
      </c>
      <c r="Q112" s="443"/>
      <c r="R112" s="443"/>
      <c r="S112" s="406"/>
      <c r="T112" s="443">
        <v>10586</v>
      </c>
      <c r="U112" s="443"/>
      <c r="V112" s="443"/>
      <c r="W112" s="406"/>
      <c r="X112" s="444">
        <v>47355</v>
      </c>
      <c r="Y112" s="444"/>
      <c r="Z112" s="406"/>
      <c r="AA112" s="443">
        <v>14026</v>
      </c>
      <c r="AB112" s="443"/>
      <c r="AC112" s="443"/>
      <c r="AD112" s="443"/>
      <c r="AE112" s="406"/>
      <c r="AF112" s="444">
        <v>-3440</v>
      </c>
      <c r="AG112" s="444"/>
      <c r="AH112" s="406"/>
      <c r="AI112" s="407">
        <v>24.21</v>
      </c>
      <c r="AJ112" s="406"/>
      <c r="AL112" s="164">
        <f>10586</f>
        <v>10586</v>
      </c>
      <c r="AM112" s="164">
        <f>T112-AL112</f>
        <v>0</v>
      </c>
    </row>
    <row r="113" spans="1:39" ht="10.5" customHeight="1">
      <c r="A113" s="406"/>
      <c r="B113" s="406"/>
      <c r="C113" s="406"/>
      <c r="D113" s="406"/>
      <c r="E113" s="406"/>
      <c r="F113" s="406"/>
      <c r="G113" s="406"/>
      <c r="H113" s="406"/>
      <c r="I113" s="406"/>
      <c r="J113" s="406"/>
      <c r="K113" s="439"/>
      <c r="L113" s="442"/>
      <c r="M113" s="406"/>
      <c r="N113" s="406"/>
      <c r="O113" s="406"/>
      <c r="P113" s="406"/>
      <c r="Q113" s="406"/>
      <c r="R113" s="406"/>
      <c r="S113" s="406"/>
      <c r="T113" s="406"/>
      <c r="U113" s="406"/>
      <c r="V113" s="406"/>
      <c r="W113" s="406"/>
      <c r="X113" s="406"/>
      <c r="Y113" s="406"/>
      <c r="Z113" s="406"/>
      <c r="AA113" s="406"/>
      <c r="AB113" s="406"/>
      <c r="AC113" s="406"/>
      <c r="AD113" s="406"/>
      <c r="AE113" s="406"/>
      <c r="AF113" s="406"/>
      <c r="AG113" s="406"/>
      <c r="AH113" s="406"/>
      <c r="AI113" s="406"/>
      <c r="AJ113" s="406"/>
      <c r="AL113" s="164"/>
      <c r="AM113" s="164"/>
    </row>
    <row r="114" spans="1:39" ht="10.5">
      <c r="A114" s="406"/>
      <c r="B114" s="406"/>
      <c r="C114" s="406"/>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06"/>
      <c r="AE114" s="406"/>
      <c r="AF114" s="406"/>
      <c r="AG114" s="406"/>
      <c r="AH114" s="406"/>
      <c r="AI114" s="406"/>
      <c r="AJ114" s="406"/>
      <c r="AL114" s="164"/>
      <c r="AM114" s="164"/>
    </row>
    <row r="115" spans="1:39" ht="11.25">
      <c r="A115" s="406"/>
      <c r="B115" s="406"/>
      <c r="C115" s="406"/>
      <c r="D115" s="406"/>
      <c r="E115" s="406"/>
      <c r="F115" s="406"/>
      <c r="G115" s="406"/>
      <c r="H115" s="406"/>
      <c r="I115" s="406"/>
      <c r="J115" s="406"/>
      <c r="K115" s="406"/>
      <c r="L115" s="406"/>
      <c r="M115" s="406"/>
      <c r="N115" s="406"/>
      <c r="O115" s="437">
        <v>355799.12</v>
      </c>
      <c r="P115" s="437"/>
      <c r="Q115" s="437"/>
      <c r="R115" s="437"/>
      <c r="S115" s="406"/>
      <c r="T115" s="437">
        <v>88924.99</v>
      </c>
      <c r="U115" s="437"/>
      <c r="V115" s="437"/>
      <c r="W115" s="406"/>
      <c r="X115" s="437">
        <v>266874.13</v>
      </c>
      <c r="Y115" s="437"/>
      <c r="Z115" s="406"/>
      <c r="AA115" s="437">
        <v>99213.34</v>
      </c>
      <c r="AB115" s="437"/>
      <c r="AC115" s="437"/>
      <c r="AD115" s="437"/>
      <c r="AE115" s="406"/>
      <c r="AF115" s="437">
        <v>-10288.35</v>
      </c>
      <c r="AG115" s="437"/>
      <c r="AH115" s="406"/>
      <c r="AI115" s="406"/>
      <c r="AJ115" s="406"/>
      <c r="AL115" s="164">
        <f>SUM(AL88:AL112)</f>
        <v>88924.98999999999</v>
      </c>
      <c r="AM115" s="164">
        <f>SUM(AM88:AM112)</f>
        <v>0</v>
      </c>
    </row>
    <row r="116" spans="1:39" ht="10.5">
      <c r="A116" s="406"/>
      <c r="B116" s="406"/>
      <c r="C116" s="406"/>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06"/>
      <c r="AD116" s="406"/>
      <c r="AE116" s="406"/>
      <c r="AF116" s="406"/>
      <c r="AG116" s="406"/>
      <c r="AH116" s="406"/>
      <c r="AI116" s="406"/>
      <c r="AJ116" s="406"/>
      <c r="AL116" s="164"/>
      <c r="AM116" s="164"/>
    </row>
    <row r="117" spans="1:39" ht="10.5">
      <c r="A117" s="406"/>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06"/>
      <c r="Z117" s="406"/>
      <c r="AA117" s="406"/>
      <c r="AB117" s="406"/>
      <c r="AC117" s="406"/>
      <c r="AD117" s="406"/>
      <c r="AE117" s="406"/>
      <c r="AF117" s="406"/>
      <c r="AG117" s="406"/>
      <c r="AH117" s="406"/>
      <c r="AI117" s="406"/>
      <c r="AJ117" s="406"/>
      <c r="AL117" s="164"/>
      <c r="AM117" s="164"/>
    </row>
    <row r="118" spans="1:39" ht="11.25" customHeight="1">
      <c r="A118" s="406"/>
      <c r="B118" s="438" t="s">
        <v>494</v>
      </c>
      <c r="C118" s="438"/>
      <c r="D118" s="438"/>
      <c r="E118" s="438"/>
      <c r="F118" s="438"/>
      <c r="G118" s="438"/>
      <c r="H118" s="438"/>
      <c r="I118" s="438"/>
      <c r="J118" s="438"/>
      <c r="K118" s="438"/>
      <c r="L118" s="438"/>
      <c r="M118" s="438"/>
      <c r="N118" s="406"/>
      <c r="O118" s="440">
        <v>2952320.05</v>
      </c>
      <c r="P118" s="440"/>
      <c r="Q118" s="440"/>
      <c r="R118" s="440"/>
      <c r="S118" s="406"/>
      <c r="T118" s="440">
        <v>745199.42</v>
      </c>
      <c r="U118" s="440"/>
      <c r="V118" s="440"/>
      <c r="W118" s="406"/>
      <c r="X118" s="437">
        <v>2207120.63</v>
      </c>
      <c r="Y118" s="437"/>
      <c r="Z118" s="406"/>
      <c r="AA118" s="440">
        <v>892134.5</v>
      </c>
      <c r="AB118" s="440"/>
      <c r="AC118" s="440"/>
      <c r="AD118" s="440"/>
      <c r="AE118" s="406"/>
      <c r="AF118" s="440">
        <v>-146935.08</v>
      </c>
      <c r="AG118" s="440"/>
      <c r="AH118" s="406"/>
      <c r="AI118" s="406"/>
      <c r="AJ118" s="406"/>
      <c r="AL118" s="164"/>
      <c r="AM118" s="164"/>
    </row>
    <row r="119" spans="1:39" ht="10.5" customHeight="1">
      <c r="A119" s="406"/>
      <c r="B119" s="439"/>
      <c r="C119" s="438"/>
      <c r="D119" s="438"/>
      <c r="E119" s="438"/>
      <c r="F119" s="438"/>
      <c r="G119" s="438"/>
      <c r="H119" s="438"/>
      <c r="I119" s="438"/>
      <c r="J119" s="438"/>
      <c r="K119" s="438"/>
      <c r="L119" s="438"/>
      <c r="M119" s="438"/>
      <c r="N119" s="406"/>
      <c r="O119" s="406"/>
      <c r="P119" s="406"/>
      <c r="Q119" s="406"/>
      <c r="R119" s="406"/>
      <c r="S119" s="406"/>
      <c r="T119" s="406"/>
      <c r="U119" s="406"/>
      <c r="V119" s="406"/>
      <c r="W119" s="406"/>
      <c r="X119" s="406"/>
      <c r="Y119" s="406"/>
      <c r="Z119" s="406"/>
      <c r="AA119" s="406"/>
      <c r="AB119" s="406"/>
      <c r="AC119" s="406"/>
      <c r="AD119" s="406"/>
      <c r="AE119" s="406"/>
      <c r="AF119" s="406"/>
      <c r="AG119" s="406"/>
      <c r="AH119" s="406"/>
      <c r="AI119" s="406"/>
      <c r="AJ119" s="406"/>
      <c r="AL119" s="164"/>
      <c r="AM119" s="164"/>
    </row>
    <row r="120" spans="1:39" ht="10.5">
      <c r="A120" s="406"/>
      <c r="B120" s="406"/>
      <c r="C120" s="406"/>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06"/>
      <c r="AE120" s="406"/>
      <c r="AF120" s="406"/>
      <c r="AG120" s="406"/>
      <c r="AH120" s="406"/>
      <c r="AI120" s="406"/>
      <c r="AJ120" s="406"/>
      <c r="AL120" s="164"/>
      <c r="AM120" s="164"/>
    </row>
    <row r="121" spans="1:39" ht="12">
      <c r="A121" s="446" t="s">
        <v>329</v>
      </c>
      <c r="B121" s="446"/>
      <c r="C121" s="446"/>
      <c r="D121" s="406"/>
      <c r="E121" s="442" t="s">
        <v>495</v>
      </c>
      <c r="F121" s="442"/>
      <c r="G121" s="442"/>
      <c r="H121" s="442"/>
      <c r="I121" s="442"/>
      <c r="J121" s="442"/>
      <c r="K121" s="442"/>
      <c r="L121" s="442"/>
      <c r="M121" s="442"/>
      <c r="N121" s="442"/>
      <c r="O121" s="442"/>
      <c r="P121" s="442"/>
      <c r="Q121" s="406"/>
      <c r="R121" s="406"/>
      <c r="S121" s="406"/>
      <c r="T121" s="406"/>
      <c r="U121" s="406"/>
      <c r="V121" s="406"/>
      <c r="W121" s="406"/>
      <c r="X121" s="406"/>
      <c r="Y121" s="406"/>
      <c r="Z121" s="406"/>
      <c r="AA121" s="406"/>
      <c r="AB121" s="406"/>
      <c r="AC121" s="406"/>
      <c r="AD121" s="406"/>
      <c r="AE121" s="406"/>
      <c r="AF121" s="406"/>
      <c r="AG121" s="406"/>
      <c r="AH121" s="406"/>
      <c r="AI121" s="406"/>
      <c r="AJ121" s="406"/>
      <c r="AL121" s="164"/>
      <c r="AM121" s="164"/>
    </row>
    <row r="122" spans="1:39" ht="10.5" customHeight="1">
      <c r="A122" s="439"/>
      <c r="B122" s="446"/>
      <c r="C122" s="446"/>
      <c r="D122" s="406"/>
      <c r="E122" s="406"/>
      <c r="F122" s="406"/>
      <c r="G122" s="406"/>
      <c r="H122" s="406"/>
      <c r="I122" s="406"/>
      <c r="J122" s="406"/>
      <c r="K122" s="406"/>
      <c r="L122" s="406"/>
      <c r="M122" s="406"/>
      <c r="N122" s="406"/>
      <c r="O122" s="406"/>
      <c r="P122" s="406"/>
      <c r="Q122" s="406"/>
      <c r="R122" s="406"/>
      <c r="S122" s="406"/>
      <c r="T122" s="406"/>
      <c r="U122" s="406"/>
      <c r="V122" s="406"/>
      <c r="W122" s="406"/>
      <c r="X122" s="406"/>
      <c r="Y122" s="406"/>
      <c r="Z122" s="406"/>
      <c r="AA122" s="406"/>
      <c r="AB122" s="406"/>
      <c r="AC122" s="406"/>
      <c r="AD122" s="406"/>
      <c r="AE122" s="406"/>
      <c r="AF122" s="406"/>
      <c r="AG122" s="406"/>
      <c r="AH122" s="406"/>
      <c r="AI122" s="406"/>
      <c r="AJ122" s="406"/>
      <c r="AL122" s="164"/>
      <c r="AM122" s="164"/>
    </row>
    <row r="123" spans="1:39" ht="12">
      <c r="A123" s="406"/>
      <c r="B123" s="406"/>
      <c r="C123" s="446" t="s">
        <v>331</v>
      </c>
      <c r="D123" s="446"/>
      <c r="E123" s="446"/>
      <c r="F123" s="446"/>
      <c r="G123" s="406"/>
      <c r="H123" s="442" t="s">
        <v>44</v>
      </c>
      <c r="I123" s="442"/>
      <c r="J123" s="442"/>
      <c r="K123" s="442"/>
      <c r="L123" s="442"/>
      <c r="M123" s="442"/>
      <c r="N123" s="442"/>
      <c r="O123" s="442"/>
      <c r="P123" s="442"/>
      <c r="Q123" s="442"/>
      <c r="R123" s="442"/>
      <c r="S123" s="442"/>
      <c r="T123" s="406"/>
      <c r="U123" s="406"/>
      <c r="V123" s="406"/>
      <c r="W123" s="406"/>
      <c r="X123" s="406"/>
      <c r="Y123" s="406"/>
      <c r="Z123" s="406"/>
      <c r="AA123" s="406"/>
      <c r="AB123" s="406"/>
      <c r="AC123" s="406"/>
      <c r="AD123" s="406"/>
      <c r="AE123" s="406"/>
      <c r="AF123" s="406"/>
      <c r="AG123" s="406"/>
      <c r="AH123" s="406"/>
      <c r="AI123" s="406"/>
      <c r="AJ123" s="406"/>
      <c r="AL123" s="164"/>
      <c r="AM123" s="164"/>
    </row>
    <row r="124" spans="1:39" ht="12" customHeight="1">
      <c r="A124" s="446" t="s">
        <v>332</v>
      </c>
      <c r="B124" s="446"/>
      <c r="C124" s="446"/>
      <c r="D124" s="446"/>
      <c r="E124" s="446"/>
      <c r="F124" s="406"/>
      <c r="G124" s="406"/>
      <c r="H124" s="406"/>
      <c r="I124" s="447" t="s">
        <v>510</v>
      </c>
      <c r="J124" s="447"/>
      <c r="K124" s="447"/>
      <c r="L124" s="447"/>
      <c r="M124" s="447"/>
      <c r="N124" s="447"/>
      <c r="O124" s="445" t="s">
        <v>511</v>
      </c>
      <c r="P124" s="445"/>
      <c r="Q124" s="445"/>
      <c r="R124" s="445"/>
      <c r="S124" s="406"/>
      <c r="T124" s="445" t="s">
        <v>512</v>
      </c>
      <c r="U124" s="445"/>
      <c r="V124" s="445"/>
      <c r="W124" s="406"/>
      <c r="X124" s="448" t="s">
        <v>488</v>
      </c>
      <c r="Y124" s="448"/>
      <c r="Z124" s="406"/>
      <c r="AA124" s="406"/>
      <c r="AB124" s="445" t="s">
        <v>513</v>
      </c>
      <c r="AC124" s="445"/>
      <c r="AD124" s="445"/>
      <c r="AE124" s="406"/>
      <c r="AF124" s="406"/>
      <c r="AG124" s="405" t="s">
        <v>514</v>
      </c>
      <c r="AH124" s="406"/>
      <c r="AI124" s="445" t="s">
        <v>515</v>
      </c>
      <c r="AJ124" s="445"/>
      <c r="AL124" s="164"/>
      <c r="AM124" s="164"/>
    </row>
    <row r="125" spans="1:39" ht="10.5">
      <c r="A125" s="406"/>
      <c r="B125" s="406"/>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6"/>
      <c r="AJ125" s="406"/>
      <c r="AL125" s="164"/>
      <c r="AM125" s="164"/>
    </row>
    <row r="126" spans="1:39" ht="11.25" customHeight="1">
      <c r="A126" s="441" t="s">
        <v>34</v>
      </c>
      <c r="B126" s="441"/>
      <c r="C126" s="441"/>
      <c r="D126" s="441"/>
      <c r="E126" s="441"/>
      <c r="F126" s="441"/>
      <c r="G126" s="441"/>
      <c r="H126" s="441" t="s">
        <v>489</v>
      </c>
      <c r="I126" s="441"/>
      <c r="J126" s="441"/>
      <c r="K126" s="442" t="s">
        <v>344</v>
      </c>
      <c r="L126" s="442"/>
      <c r="M126" s="441" t="s">
        <v>490</v>
      </c>
      <c r="N126" s="441"/>
      <c r="O126" s="406"/>
      <c r="P126" s="443">
        <v>104749</v>
      </c>
      <c r="Q126" s="443"/>
      <c r="R126" s="443"/>
      <c r="S126" s="406"/>
      <c r="T126" s="443">
        <v>7743</v>
      </c>
      <c r="U126" s="443"/>
      <c r="V126" s="443"/>
      <c r="W126" s="406"/>
      <c r="X126" s="444">
        <v>97006</v>
      </c>
      <c r="Y126" s="444"/>
      <c r="Z126" s="406"/>
      <c r="AA126" s="443">
        <v>24898</v>
      </c>
      <c r="AB126" s="443"/>
      <c r="AC126" s="443"/>
      <c r="AD126" s="443"/>
      <c r="AE126" s="406"/>
      <c r="AF126" s="444">
        <v>-17155</v>
      </c>
      <c r="AG126" s="444"/>
      <c r="AH126" s="406"/>
      <c r="AI126" s="407">
        <v>23.77</v>
      </c>
      <c r="AJ126" s="406"/>
      <c r="AL126" s="164">
        <v>7743</v>
      </c>
      <c r="AM126" s="164">
        <f>T126-AL126</f>
        <v>0</v>
      </c>
    </row>
    <row r="127" spans="1:39" ht="10.5" customHeight="1">
      <c r="A127" s="406"/>
      <c r="B127" s="406"/>
      <c r="C127" s="406"/>
      <c r="D127" s="406"/>
      <c r="E127" s="406"/>
      <c r="F127" s="406"/>
      <c r="G127" s="406"/>
      <c r="H127" s="406"/>
      <c r="I127" s="406"/>
      <c r="J127" s="406"/>
      <c r="K127" s="439"/>
      <c r="L127" s="442"/>
      <c r="M127" s="406"/>
      <c r="N127" s="406"/>
      <c r="O127" s="406"/>
      <c r="P127" s="406"/>
      <c r="Q127" s="406"/>
      <c r="R127" s="406"/>
      <c r="S127" s="406"/>
      <c r="T127" s="406"/>
      <c r="U127" s="406"/>
      <c r="V127" s="406"/>
      <c r="W127" s="406"/>
      <c r="X127" s="406"/>
      <c r="Y127" s="406"/>
      <c r="Z127" s="406"/>
      <c r="AA127" s="406"/>
      <c r="AB127" s="406"/>
      <c r="AC127" s="406"/>
      <c r="AD127" s="406"/>
      <c r="AE127" s="406"/>
      <c r="AF127" s="406"/>
      <c r="AG127" s="406"/>
      <c r="AH127" s="406"/>
      <c r="AI127" s="406"/>
      <c r="AJ127" s="406"/>
      <c r="AL127" s="164"/>
      <c r="AM127" s="164"/>
    </row>
    <row r="128" spans="1:39" ht="11.25" customHeight="1">
      <c r="A128" s="441" t="s">
        <v>35</v>
      </c>
      <c r="B128" s="441"/>
      <c r="C128" s="441"/>
      <c r="D128" s="441"/>
      <c r="E128" s="441"/>
      <c r="F128" s="441"/>
      <c r="G128" s="441"/>
      <c r="H128" s="441" t="s">
        <v>489</v>
      </c>
      <c r="I128" s="441"/>
      <c r="J128" s="441"/>
      <c r="K128" s="442" t="s">
        <v>344</v>
      </c>
      <c r="L128" s="442"/>
      <c r="M128" s="441" t="s">
        <v>490</v>
      </c>
      <c r="N128" s="441"/>
      <c r="O128" s="406"/>
      <c r="P128" s="443">
        <v>173920.92</v>
      </c>
      <c r="Q128" s="443"/>
      <c r="R128" s="443"/>
      <c r="S128" s="406"/>
      <c r="T128" s="443">
        <v>0</v>
      </c>
      <c r="U128" s="443"/>
      <c r="V128" s="443"/>
      <c r="W128" s="406"/>
      <c r="X128" s="444">
        <v>173920.92</v>
      </c>
      <c r="Y128" s="444"/>
      <c r="Z128" s="406"/>
      <c r="AA128" s="443">
        <v>0</v>
      </c>
      <c r="AB128" s="443"/>
      <c r="AC128" s="443"/>
      <c r="AD128" s="443"/>
      <c r="AE128" s="406"/>
      <c r="AF128" s="444">
        <v>0</v>
      </c>
      <c r="AG128" s="444"/>
      <c r="AH128" s="406"/>
      <c r="AI128" s="407">
        <v>0</v>
      </c>
      <c r="AJ128" s="406"/>
      <c r="AL128" s="164"/>
      <c r="AM128" s="164"/>
    </row>
    <row r="129" spans="1:39" ht="10.5" customHeight="1">
      <c r="A129" s="406"/>
      <c r="B129" s="406"/>
      <c r="C129" s="406"/>
      <c r="D129" s="406"/>
      <c r="E129" s="406"/>
      <c r="F129" s="406"/>
      <c r="G129" s="406"/>
      <c r="H129" s="406"/>
      <c r="I129" s="406"/>
      <c r="J129" s="406"/>
      <c r="K129" s="439"/>
      <c r="L129" s="442"/>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L129" s="164"/>
      <c r="AM129" s="164"/>
    </row>
    <row r="130" spans="1:39" ht="11.25" customHeight="1">
      <c r="A130" s="441" t="s">
        <v>29</v>
      </c>
      <c r="B130" s="441"/>
      <c r="C130" s="441"/>
      <c r="D130" s="441"/>
      <c r="E130" s="441"/>
      <c r="F130" s="441"/>
      <c r="G130" s="441"/>
      <c r="H130" s="441" t="s">
        <v>489</v>
      </c>
      <c r="I130" s="441"/>
      <c r="J130" s="441"/>
      <c r="K130" s="442" t="s">
        <v>344</v>
      </c>
      <c r="L130" s="442"/>
      <c r="M130" s="441" t="s">
        <v>490</v>
      </c>
      <c r="N130" s="441"/>
      <c r="O130" s="406"/>
      <c r="P130" s="443">
        <v>314847.79</v>
      </c>
      <c r="Q130" s="443"/>
      <c r="R130" s="443"/>
      <c r="S130" s="406"/>
      <c r="T130" s="443">
        <v>0</v>
      </c>
      <c r="U130" s="443"/>
      <c r="V130" s="443"/>
      <c r="W130" s="406"/>
      <c r="X130" s="444">
        <v>314847.79</v>
      </c>
      <c r="Y130" s="444"/>
      <c r="Z130" s="406"/>
      <c r="AA130" s="443">
        <v>9836.55</v>
      </c>
      <c r="AB130" s="443"/>
      <c r="AC130" s="443"/>
      <c r="AD130" s="443"/>
      <c r="AE130" s="406"/>
      <c r="AF130" s="444">
        <v>-9836.55</v>
      </c>
      <c r="AG130" s="444"/>
      <c r="AH130" s="406"/>
      <c r="AI130" s="407">
        <v>3.12</v>
      </c>
      <c r="AJ130" s="406"/>
      <c r="AL130" s="164"/>
      <c r="AM130" s="164"/>
    </row>
    <row r="131" spans="1:39" ht="10.5" customHeight="1">
      <c r="A131" s="406"/>
      <c r="B131" s="406"/>
      <c r="C131" s="406"/>
      <c r="D131" s="406"/>
      <c r="E131" s="406"/>
      <c r="F131" s="406"/>
      <c r="G131" s="406"/>
      <c r="H131" s="406"/>
      <c r="I131" s="406"/>
      <c r="J131" s="406"/>
      <c r="K131" s="439"/>
      <c r="L131" s="442"/>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L131" s="164"/>
      <c r="AM131" s="164"/>
    </row>
    <row r="132" spans="1:39" ht="11.25" customHeight="1">
      <c r="A132" s="441" t="s">
        <v>30</v>
      </c>
      <c r="B132" s="441"/>
      <c r="C132" s="441"/>
      <c r="D132" s="441"/>
      <c r="E132" s="441"/>
      <c r="F132" s="441"/>
      <c r="G132" s="441"/>
      <c r="H132" s="441" t="s">
        <v>489</v>
      </c>
      <c r="I132" s="441"/>
      <c r="J132" s="441"/>
      <c r="K132" s="442" t="s">
        <v>344</v>
      </c>
      <c r="L132" s="442"/>
      <c r="M132" s="441" t="s">
        <v>490</v>
      </c>
      <c r="N132" s="441"/>
      <c r="O132" s="406"/>
      <c r="P132" s="443">
        <v>138713.63</v>
      </c>
      <c r="Q132" s="443"/>
      <c r="R132" s="443"/>
      <c r="S132" s="406"/>
      <c r="T132" s="443">
        <v>2621</v>
      </c>
      <c r="U132" s="443"/>
      <c r="V132" s="443"/>
      <c r="W132" s="406"/>
      <c r="X132" s="444">
        <v>136092.63</v>
      </c>
      <c r="Y132" s="444"/>
      <c r="Z132" s="406"/>
      <c r="AA132" s="443">
        <v>2621</v>
      </c>
      <c r="AB132" s="443"/>
      <c r="AC132" s="443"/>
      <c r="AD132" s="443"/>
      <c r="AE132" s="406"/>
      <c r="AF132" s="444">
        <v>0</v>
      </c>
      <c r="AG132" s="444"/>
      <c r="AH132" s="406"/>
      <c r="AI132" s="407">
        <v>1.89</v>
      </c>
      <c r="AJ132" s="406"/>
      <c r="AL132" s="164">
        <v>2621</v>
      </c>
      <c r="AM132" s="164">
        <f>T132-AL132</f>
        <v>0</v>
      </c>
    </row>
    <row r="133" spans="1:39" ht="10.5" customHeight="1">
      <c r="A133" s="406"/>
      <c r="B133" s="406"/>
      <c r="C133" s="406"/>
      <c r="D133" s="406"/>
      <c r="E133" s="406"/>
      <c r="F133" s="406"/>
      <c r="G133" s="406"/>
      <c r="H133" s="406"/>
      <c r="I133" s="406"/>
      <c r="J133" s="406"/>
      <c r="K133" s="439"/>
      <c r="L133" s="442"/>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L133" s="164"/>
      <c r="AM133" s="164"/>
    </row>
    <row r="134" spans="1:39" ht="11.25" customHeight="1">
      <c r="A134" s="441" t="s">
        <v>36</v>
      </c>
      <c r="B134" s="441"/>
      <c r="C134" s="441"/>
      <c r="D134" s="441"/>
      <c r="E134" s="441"/>
      <c r="F134" s="441"/>
      <c r="G134" s="441"/>
      <c r="H134" s="441" t="s">
        <v>489</v>
      </c>
      <c r="I134" s="441"/>
      <c r="J134" s="441"/>
      <c r="K134" s="442" t="s">
        <v>344</v>
      </c>
      <c r="L134" s="442"/>
      <c r="M134" s="441" t="s">
        <v>490</v>
      </c>
      <c r="N134" s="441"/>
      <c r="O134" s="406"/>
      <c r="P134" s="443">
        <v>9075</v>
      </c>
      <c r="Q134" s="443"/>
      <c r="R134" s="443"/>
      <c r="S134" s="406"/>
      <c r="T134" s="443">
        <v>42.5</v>
      </c>
      <c r="U134" s="443"/>
      <c r="V134" s="443"/>
      <c r="W134" s="406"/>
      <c r="X134" s="444">
        <v>9032.5</v>
      </c>
      <c r="Y134" s="444"/>
      <c r="Z134" s="406"/>
      <c r="AA134" s="443">
        <v>42.5</v>
      </c>
      <c r="AB134" s="443"/>
      <c r="AC134" s="443"/>
      <c r="AD134" s="443"/>
      <c r="AE134" s="406"/>
      <c r="AF134" s="444">
        <v>0</v>
      </c>
      <c r="AG134" s="444"/>
      <c r="AH134" s="406"/>
      <c r="AI134" s="407">
        <v>0.47</v>
      </c>
      <c r="AJ134" s="406"/>
      <c r="AL134" s="164">
        <f>675.5-633</f>
        <v>42.5</v>
      </c>
      <c r="AM134" s="164">
        <f>T134-AL134</f>
        <v>0</v>
      </c>
    </row>
    <row r="135" spans="1:39" ht="10.5" customHeight="1">
      <c r="A135" s="406"/>
      <c r="B135" s="406"/>
      <c r="C135" s="406"/>
      <c r="D135" s="406"/>
      <c r="E135" s="406"/>
      <c r="F135" s="406"/>
      <c r="G135" s="406"/>
      <c r="H135" s="406"/>
      <c r="I135" s="406"/>
      <c r="J135" s="406"/>
      <c r="K135" s="439"/>
      <c r="L135" s="442"/>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L135" s="164"/>
      <c r="AM135" s="164"/>
    </row>
    <row r="136" spans="1:39" ht="10.5">
      <c r="A136" s="406"/>
      <c r="B136" s="406"/>
      <c r="C136" s="406"/>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L136" s="164"/>
      <c r="AM136" s="164"/>
    </row>
    <row r="137" spans="1:39" ht="11.25">
      <c r="A137" s="406"/>
      <c r="B137" s="406"/>
      <c r="C137" s="406"/>
      <c r="D137" s="406"/>
      <c r="E137" s="406"/>
      <c r="F137" s="406"/>
      <c r="G137" s="406"/>
      <c r="H137" s="406"/>
      <c r="I137" s="406"/>
      <c r="J137" s="406"/>
      <c r="K137" s="406"/>
      <c r="L137" s="406"/>
      <c r="M137" s="406"/>
      <c r="N137" s="406"/>
      <c r="O137" s="437">
        <v>741306.34</v>
      </c>
      <c r="P137" s="437"/>
      <c r="Q137" s="437"/>
      <c r="R137" s="437"/>
      <c r="S137" s="406"/>
      <c r="T137" s="437">
        <v>10406.5</v>
      </c>
      <c r="U137" s="437"/>
      <c r="V137" s="437"/>
      <c r="W137" s="406"/>
      <c r="X137" s="437">
        <v>730899.84</v>
      </c>
      <c r="Y137" s="437"/>
      <c r="Z137" s="406"/>
      <c r="AA137" s="437">
        <v>37398.05</v>
      </c>
      <c r="AB137" s="437"/>
      <c r="AC137" s="437"/>
      <c r="AD137" s="437"/>
      <c r="AE137" s="406"/>
      <c r="AF137" s="437">
        <v>-26991.55</v>
      </c>
      <c r="AG137" s="437"/>
      <c r="AH137" s="406"/>
      <c r="AI137" s="406"/>
      <c r="AJ137" s="406"/>
      <c r="AL137" s="164">
        <f>SUM(AL126:AL134)</f>
        <v>10406.5</v>
      </c>
      <c r="AM137" s="164">
        <f>T137-AL137</f>
        <v>0</v>
      </c>
    </row>
    <row r="138" spans="1:39" ht="10.5">
      <c r="A138" s="406"/>
      <c r="B138" s="406"/>
      <c r="C138" s="406"/>
      <c r="D138" s="406"/>
      <c r="E138" s="406"/>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406"/>
      <c r="AL138" s="164"/>
      <c r="AM138" s="164"/>
    </row>
    <row r="139" spans="1:39" ht="12">
      <c r="A139" s="406"/>
      <c r="B139" s="406"/>
      <c r="C139" s="446" t="s">
        <v>331</v>
      </c>
      <c r="D139" s="446"/>
      <c r="E139" s="446"/>
      <c r="F139" s="446"/>
      <c r="G139" s="406"/>
      <c r="H139" s="442" t="s">
        <v>348</v>
      </c>
      <c r="I139" s="442"/>
      <c r="J139" s="442"/>
      <c r="K139" s="442"/>
      <c r="L139" s="442"/>
      <c r="M139" s="442"/>
      <c r="N139" s="442"/>
      <c r="O139" s="442"/>
      <c r="P139" s="442"/>
      <c r="Q139" s="442"/>
      <c r="R139" s="442"/>
      <c r="S139" s="442"/>
      <c r="T139" s="406"/>
      <c r="U139" s="406"/>
      <c r="V139" s="406"/>
      <c r="W139" s="406"/>
      <c r="X139" s="406"/>
      <c r="Y139" s="406"/>
      <c r="Z139" s="406"/>
      <c r="AA139" s="406"/>
      <c r="AB139" s="406"/>
      <c r="AC139" s="406"/>
      <c r="AD139" s="406"/>
      <c r="AE139" s="406"/>
      <c r="AF139" s="406"/>
      <c r="AG139" s="406"/>
      <c r="AH139" s="406"/>
      <c r="AI139" s="406"/>
      <c r="AJ139" s="406"/>
      <c r="AL139" s="164"/>
      <c r="AM139" s="164"/>
    </row>
    <row r="140" spans="1:39" ht="12" customHeight="1">
      <c r="A140" s="446" t="s">
        <v>332</v>
      </c>
      <c r="B140" s="446"/>
      <c r="C140" s="446"/>
      <c r="D140" s="446"/>
      <c r="E140" s="446"/>
      <c r="F140" s="406"/>
      <c r="G140" s="406"/>
      <c r="H140" s="406"/>
      <c r="I140" s="447" t="s">
        <v>510</v>
      </c>
      <c r="J140" s="447"/>
      <c r="K140" s="447"/>
      <c r="L140" s="447"/>
      <c r="M140" s="447"/>
      <c r="N140" s="447"/>
      <c r="O140" s="445" t="s">
        <v>511</v>
      </c>
      <c r="P140" s="445"/>
      <c r="Q140" s="445"/>
      <c r="R140" s="445"/>
      <c r="S140" s="406"/>
      <c r="T140" s="445" t="s">
        <v>512</v>
      </c>
      <c r="U140" s="445"/>
      <c r="V140" s="445"/>
      <c r="W140" s="406"/>
      <c r="X140" s="448" t="s">
        <v>488</v>
      </c>
      <c r="Y140" s="448"/>
      <c r="Z140" s="406"/>
      <c r="AA140" s="406"/>
      <c r="AB140" s="445" t="s">
        <v>513</v>
      </c>
      <c r="AC140" s="445"/>
      <c r="AD140" s="445"/>
      <c r="AE140" s="406"/>
      <c r="AF140" s="406"/>
      <c r="AG140" s="405" t="s">
        <v>514</v>
      </c>
      <c r="AH140" s="406"/>
      <c r="AI140" s="445" t="s">
        <v>515</v>
      </c>
      <c r="AJ140" s="445"/>
      <c r="AL140" s="164"/>
      <c r="AM140" s="164"/>
    </row>
    <row r="141" spans="1:39" ht="10.5">
      <c r="A141" s="406"/>
      <c r="B141" s="406"/>
      <c r="C141" s="406"/>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6"/>
      <c r="AE141" s="406"/>
      <c r="AF141" s="406"/>
      <c r="AG141" s="406"/>
      <c r="AH141" s="406"/>
      <c r="AI141" s="406"/>
      <c r="AJ141" s="406"/>
      <c r="AL141" s="164"/>
      <c r="AM141" s="164"/>
    </row>
    <row r="142" spans="1:39" ht="11.25" customHeight="1">
      <c r="A142" s="441" t="s">
        <v>34</v>
      </c>
      <c r="B142" s="441"/>
      <c r="C142" s="441"/>
      <c r="D142" s="441"/>
      <c r="E142" s="441"/>
      <c r="F142" s="441"/>
      <c r="G142" s="441"/>
      <c r="H142" s="441" t="s">
        <v>489</v>
      </c>
      <c r="I142" s="441"/>
      <c r="J142" s="441"/>
      <c r="K142" s="442" t="s">
        <v>344</v>
      </c>
      <c r="L142" s="442"/>
      <c r="M142" s="441" t="s">
        <v>490</v>
      </c>
      <c r="N142" s="441"/>
      <c r="O142" s="406"/>
      <c r="P142" s="443">
        <v>811318.4</v>
      </c>
      <c r="Q142" s="443"/>
      <c r="R142" s="443"/>
      <c r="S142" s="406"/>
      <c r="T142" s="443">
        <v>245437</v>
      </c>
      <c r="U142" s="443"/>
      <c r="V142" s="443"/>
      <c r="W142" s="406"/>
      <c r="X142" s="444">
        <v>565881.4</v>
      </c>
      <c r="Y142" s="444"/>
      <c r="Z142" s="406"/>
      <c r="AA142" s="443">
        <v>258482</v>
      </c>
      <c r="AB142" s="443"/>
      <c r="AC142" s="443"/>
      <c r="AD142" s="443"/>
      <c r="AE142" s="406"/>
      <c r="AF142" s="444">
        <v>-13045</v>
      </c>
      <c r="AG142" s="444"/>
      <c r="AH142" s="406"/>
      <c r="AI142" s="407">
        <v>31.86</v>
      </c>
      <c r="AJ142" s="406"/>
      <c r="AL142" s="164">
        <v>245437</v>
      </c>
      <c r="AM142" s="164">
        <f>T142-AL142</f>
        <v>0</v>
      </c>
    </row>
    <row r="143" spans="1:39" ht="10.5" customHeight="1">
      <c r="A143" s="406"/>
      <c r="B143" s="406"/>
      <c r="C143" s="406"/>
      <c r="D143" s="406"/>
      <c r="E143" s="406"/>
      <c r="F143" s="406"/>
      <c r="G143" s="406"/>
      <c r="H143" s="406"/>
      <c r="I143" s="406"/>
      <c r="J143" s="406"/>
      <c r="K143" s="439"/>
      <c r="L143" s="442"/>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L143" s="164"/>
      <c r="AM143" s="164"/>
    </row>
    <row r="144" spans="1:39" ht="11.25" customHeight="1">
      <c r="A144" s="441" t="s">
        <v>25</v>
      </c>
      <c r="B144" s="441"/>
      <c r="C144" s="441"/>
      <c r="D144" s="441"/>
      <c r="E144" s="441"/>
      <c r="F144" s="441"/>
      <c r="G144" s="441"/>
      <c r="H144" s="441" t="s">
        <v>489</v>
      </c>
      <c r="I144" s="441"/>
      <c r="J144" s="441"/>
      <c r="K144" s="442" t="s">
        <v>344</v>
      </c>
      <c r="L144" s="442"/>
      <c r="M144" s="441" t="s">
        <v>490</v>
      </c>
      <c r="N144" s="441"/>
      <c r="O144" s="406"/>
      <c r="P144" s="443">
        <v>1829</v>
      </c>
      <c r="Q144" s="443"/>
      <c r="R144" s="443"/>
      <c r="S144" s="406"/>
      <c r="T144" s="443">
        <v>0</v>
      </c>
      <c r="U144" s="443"/>
      <c r="V144" s="443"/>
      <c r="W144" s="406"/>
      <c r="X144" s="444">
        <v>1829</v>
      </c>
      <c r="Y144" s="444"/>
      <c r="Z144" s="406"/>
      <c r="AA144" s="443">
        <v>0</v>
      </c>
      <c r="AB144" s="443"/>
      <c r="AC144" s="443"/>
      <c r="AD144" s="443"/>
      <c r="AE144" s="406"/>
      <c r="AF144" s="444">
        <v>0</v>
      </c>
      <c r="AG144" s="444"/>
      <c r="AH144" s="406"/>
      <c r="AI144" s="407">
        <v>0</v>
      </c>
      <c r="AJ144" s="406"/>
      <c r="AL144" s="164"/>
      <c r="AM144" s="164"/>
    </row>
    <row r="145" spans="1:39" ht="10.5" customHeight="1">
      <c r="A145" s="406"/>
      <c r="B145" s="406"/>
      <c r="C145" s="406"/>
      <c r="D145" s="406"/>
      <c r="E145" s="406"/>
      <c r="F145" s="406"/>
      <c r="G145" s="406"/>
      <c r="H145" s="406"/>
      <c r="I145" s="406"/>
      <c r="J145" s="406"/>
      <c r="K145" s="439"/>
      <c r="L145" s="442"/>
      <c r="M145" s="406"/>
      <c r="N145" s="406"/>
      <c r="O145" s="406"/>
      <c r="P145" s="406"/>
      <c r="Q145" s="406"/>
      <c r="R145" s="406"/>
      <c r="S145" s="406"/>
      <c r="T145" s="406"/>
      <c r="U145" s="406"/>
      <c r="V145" s="406"/>
      <c r="W145" s="406"/>
      <c r="X145" s="406"/>
      <c r="Y145" s="406"/>
      <c r="Z145" s="406"/>
      <c r="AA145" s="406"/>
      <c r="AB145" s="406"/>
      <c r="AC145" s="406"/>
      <c r="AD145" s="406"/>
      <c r="AE145" s="406"/>
      <c r="AF145" s="406"/>
      <c r="AG145" s="406"/>
      <c r="AH145" s="406"/>
      <c r="AI145" s="406"/>
      <c r="AJ145" s="406"/>
      <c r="AL145" s="164"/>
      <c r="AM145" s="164"/>
    </row>
    <row r="146" spans="1:39" ht="11.25" customHeight="1">
      <c r="A146" s="441" t="s">
        <v>35</v>
      </c>
      <c r="B146" s="441"/>
      <c r="C146" s="441"/>
      <c r="D146" s="441"/>
      <c r="E146" s="441"/>
      <c r="F146" s="441"/>
      <c r="G146" s="441"/>
      <c r="H146" s="441" t="s">
        <v>489</v>
      </c>
      <c r="I146" s="441"/>
      <c r="J146" s="441"/>
      <c r="K146" s="442" t="s">
        <v>344</v>
      </c>
      <c r="L146" s="442"/>
      <c r="M146" s="441" t="s">
        <v>490</v>
      </c>
      <c r="N146" s="441"/>
      <c r="O146" s="406"/>
      <c r="P146" s="443">
        <v>1039291.68</v>
      </c>
      <c r="Q146" s="443"/>
      <c r="R146" s="443"/>
      <c r="S146" s="406"/>
      <c r="T146" s="443">
        <v>394064</v>
      </c>
      <c r="U146" s="443"/>
      <c r="V146" s="443"/>
      <c r="W146" s="406"/>
      <c r="X146" s="444">
        <v>645227.68</v>
      </c>
      <c r="Y146" s="444"/>
      <c r="Z146" s="406"/>
      <c r="AA146" s="443">
        <v>394064</v>
      </c>
      <c r="AB146" s="443"/>
      <c r="AC146" s="443"/>
      <c r="AD146" s="443"/>
      <c r="AE146" s="406"/>
      <c r="AF146" s="444">
        <v>0</v>
      </c>
      <c r="AG146" s="444"/>
      <c r="AH146" s="406"/>
      <c r="AI146" s="407">
        <v>37.92</v>
      </c>
      <c r="AJ146" s="406"/>
      <c r="AL146" s="164">
        <v>394064</v>
      </c>
      <c r="AM146" s="164">
        <f>T146-AL146</f>
        <v>0</v>
      </c>
    </row>
    <row r="147" spans="1:39" ht="10.5" customHeight="1">
      <c r="A147" s="406"/>
      <c r="B147" s="406"/>
      <c r="C147" s="406"/>
      <c r="D147" s="406"/>
      <c r="E147" s="406"/>
      <c r="F147" s="406"/>
      <c r="G147" s="406"/>
      <c r="H147" s="406"/>
      <c r="I147" s="406"/>
      <c r="J147" s="406"/>
      <c r="K147" s="439"/>
      <c r="L147" s="442"/>
      <c r="M147" s="406"/>
      <c r="N147" s="406"/>
      <c r="O147" s="406"/>
      <c r="P147" s="406"/>
      <c r="Q147" s="406"/>
      <c r="R147" s="406"/>
      <c r="S147" s="406"/>
      <c r="T147" s="406"/>
      <c r="U147" s="406"/>
      <c r="V147" s="406"/>
      <c r="W147" s="406"/>
      <c r="X147" s="406"/>
      <c r="Y147" s="406"/>
      <c r="Z147" s="406"/>
      <c r="AA147" s="406"/>
      <c r="AB147" s="406"/>
      <c r="AC147" s="406"/>
      <c r="AD147" s="406"/>
      <c r="AE147" s="406"/>
      <c r="AF147" s="406"/>
      <c r="AG147" s="406"/>
      <c r="AH147" s="406"/>
      <c r="AI147" s="406"/>
      <c r="AJ147" s="406"/>
      <c r="AL147" s="164"/>
      <c r="AM147" s="164"/>
    </row>
    <row r="148" spans="1:39" ht="11.25" customHeight="1">
      <c r="A148" s="441" t="s">
        <v>28</v>
      </c>
      <c r="B148" s="441"/>
      <c r="C148" s="441"/>
      <c r="D148" s="441"/>
      <c r="E148" s="441"/>
      <c r="F148" s="441"/>
      <c r="G148" s="441"/>
      <c r="H148" s="441" t="s">
        <v>489</v>
      </c>
      <c r="I148" s="441"/>
      <c r="J148" s="441"/>
      <c r="K148" s="442" t="s">
        <v>344</v>
      </c>
      <c r="L148" s="442"/>
      <c r="M148" s="441" t="s">
        <v>490</v>
      </c>
      <c r="N148" s="441"/>
      <c r="O148" s="406"/>
      <c r="P148" s="443">
        <v>401</v>
      </c>
      <c r="Q148" s="443"/>
      <c r="R148" s="443"/>
      <c r="S148" s="406"/>
      <c r="T148" s="443">
        <v>0</v>
      </c>
      <c r="U148" s="443"/>
      <c r="V148" s="443"/>
      <c r="W148" s="406"/>
      <c r="X148" s="444">
        <v>401</v>
      </c>
      <c r="Y148" s="444"/>
      <c r="Z148" s="406"/>
      <c r="AA148" s="443">
        <v>0</v>
      </c>
      <c r="AB148" s="443"/>
      <c r="AC148" s="443"/>
      <c r="AD148" s="443"/>
      <c r="AE148" s="406"/>
      <c r="AF148" s="444">
        <v>0</v>
      </c>
      <c r="AG148" s="444"/>
      <c r="AH148" s="406"/>
      <c r="AI148" s="407">
        <v>0</v>
      </c>
      <c r="AJ148" s="406"/>
      <c r="AL148" s="164"/>
      <c r="AM148" s="164"/>
    </row>
    <row r="149" spans="1:39" ht="10.5" customHeight="1">
      <c r="A149" s="406"/>
      <c r="B149" s="406"/>
      <c r="C149" s="406"/>
      <c r="D149" s="406"/>
      <c r="E149" s="406"/>
      <c r="F149" s="406"/>
      <c r="G149" s="406"/>
      <c r="H149" s="406"/>
      <c r="I149" s="406"/>
      <c r="J149" s="406"/>
      <c r="K149" s="439"/>
      <c r="L149" s="442"/>
      <c r="M149" s="406"/>
      <c r="N149" s="406"/>
      <c r="O149" s="406"/>
      <c r="P149" s="406"/>
      <c r="Q149" s="406"/>
      <c r="R149" s="406"/>
      <c r="S149" s="406"/>
      <c r="T149" s="406"/>
      <c r="U149" s="406"/>
      <c r="V149" s="406"/>
      <c r="W149" s="406"/>
      <c r="X149" s="406"/>
      <c r="Y149" s="406"/>
      <c r="Z149" s="406"/>
      <c r="AA149" s="406"/>
      <c r="AB149" s="406"/>
      <c r="AC149" s="406"/>
      <c r="AD149" s="406"/>
      <c r="AE149" s="406"/>
      <c r="AF149" s="406"/>
      <c r="AG149" s="406"/>
      <c r="AH149" s="406"/>
      <c r="AI149" s="406"/>
      <c r="AJ149" s="406"/>
      <c r="AL149" s="164"/>
      <c r="AM149" s="164"/>
    </row>
    <row r="150" spans="1:39" ht="11.25" customHeight="1">
      <c r="A150" s="441" t="s">
        <v>29</v>
      </c>
      <c r="B150" s="441"/>
      <c r="C150" s="441"/>
      <c r="D150" s="441"/>
      <c r="E150" s="441"/>
      <c r="F150" s="441"/>
      <c r="G150" s="441"/>
      <c r="H150" s="441" t="s">
        <v>489</v>
      </c>
      <c r="I150" s="441"/>
      <c r="J150" s="441"/>
      <c r="K150" s="442" t="s">
        <v>344</v>
      </c>
      <c r="L150" s="442"/>
      <c r="M150" s="441" t="s">
        <v>490</v>
      </c>
      <c r="N150" s="441"/>
      <c r="O150" s="406"/>
      <c r="P150" s="443">
        <v>880513.82</v>
      </c>
      <c r="Q150" s="443"/>
      <c r="R150" s="443"/>
      <c r="S150" s="406"/>
      <c r="T150" s="443">
        <v>0</v>
      </c>
      <c r="U150" s="443"/>
      <c r="V150" s="443"/>
      <c r="W150" s="406"/>
      <c r="X150" s="444">
        <v>880513.82</v>
      </c>
      <c r="Y150" s="444"/>
      <c r="Z150" s="406"/>
      <c r="AA150" s="443">
        <v>353525</v>
      </c>
      <c r="AB150" s="443"/>
      <c r="AC150" s="443"/>
      <c r="AD150" s="443"/>
      <c r="AE150" s="406"/>
      <c r="AF150" s="444">
        <v>-353525</v>
      </c>
      <c r="AG150" s="444"/>
      <c r="AH150" s="406"/>
      <c r="AI150" s="407">
        <v>40.15</v>
      </c>
      <c r="AJ150" s="406"/>
      <c r="AL150" s="164"/>
      <c r="AM150" s="164"/>
    </row>
    <row r="151" spans="1:39" ht="10.5" customHeight="1">
      <c r="A151" s="406"/>
      <c r="B151" s="406"/>
      <c r="C151" s="406"/>
      <c r="D151" s="406"/>
      <c r="E151" s="406"/>
      <c r="F151" s="406"/>
      <c r="G151" s="406"/>
      <c r="H151" s="406"/>
      <c r="I151" s="406"/>
      <c r="J151" s="406"/>
      <c r="K151" s="439"/>
      <c r="L151" s="442"/>
      <c r="M151" s="406"/>
      <c r="N151" s="406"/>
      <c r="O151" s="406"/>
      <c r="P151" s="406"/>
      <c r="Q151" s="406"/>
      <c r="R151" s="406"/>
      <c r="S151" s="406"/>
      <c r="T151" s="406"/>
      <c r="U151" s="406"/>
      <c r="V151" s="406"/>
      <c r="W151" s="406"/>
      <c r="X151" s="406"/>
      <c r="Y151" s="406"/>
      <c r="Z151" s="406"/>
      <c r="AA151" s="406"/>
      <c r="AB151" s="406"/>
      <c r="AC151" s="406"/>
      <c r="AD151" s="406"/>
      <c r="AE151" s="406"/>
      <c r="AF151" s="406"/>
      <c r="AG151" s="406"/>
      <c r="AH151" s="406"/>
      <c r="AI151" s="406"/>
      <c r="AJ151" s="406"/>
      <c r="AL151" s="164"/>
      <c r="AM151" s="164"/>
    </row>
    <row r="152" spans="1:39" ht="11.25" customHeight="1">
      <c r="A152" s="441" t="s">
        <v>30</v>
      </c>
      <c r="B152" s="441"/>
      <c r="C152" s="441"/>
      <c r="D152" s="441"/>
      <c r="E152" s="441"/>
      <c r="F152" s="441"/>
      <c r="G152" s="441"/>
      <c r="H152" s="441" t="s">
        <v>489</v>
      </c>
      <c r="I152" s="441"/>
      <c r="J152" s="441"/>
      <c r="K152" s="442" t="s">
        <v>344</v>
      </c>
      <c r="L152" s="442"/>
      <c r="M152" s="441" t="s">
        <v>490</v>
      </c>
      <c r="N152" s="441"/>
      <c r="O152" s="406"/>
      <c r="P152" s="443">
        <v>314104.93</v>
      </c>
      <c r="Q152" s="443"/>
      <c r="R152" s="443"/>
      <c r="S152" s="406"/>
      <c r="T152" s="443">
        <v>216721</v>
      </c>
      <c r="U152" s="443"/>
      <c r="V152" s="443"/>
      <c r="W152" s="406"/>
      <c r="X152" s="444">
        <v>97383.93</v>
      </c>
      <c r="Y152" s="444"/>
      <c r="Z152" s="406"/>
      <c r="AA152" s="443">
        <v>122280</v>
      </c>
      <c r="AB152" s="443"/>
      <c r="AC152" s="443"/>
      <c r="AD152" s="443"/>
      <c r="AE152" s="406"/>
      <c r="AF152" s="444">
        <v>94441</v>
      </c>
      <c r="AG152" s="444"/>
      <c r="AH152" s="406"/>
      <c r="AI152" s="407">
        <v>38.93</v>
      </c>
      <c r="AJ152" s="406"/>
      <c r="AL152" s="164">
        <v>216721</v>
      </c>
      <c r="AM152" s="164">
        <f>T152-AL152</f>
        <v>0</v>
      </c>
    </row>
    <row r="153" spans="1:39" ht="10.5" customHeight="1">
      <c r="A153" s="406"/>
      <c r="B153" s="406"/>
      <c r="C153" s="406"/>
      <c r="D153" s="406"/>
      <c r="E153" s="406"/>
      <c r="F153" s="406"/>
      <c r="G153" s="406"/>
      <c r="H153" s="406"/>
      <c r="I153" s="406"/>
      <c r="J153" s="406"/>
      <c r="K153" s="439"/>
      <c r="L153" s="442"/>
      <c r="M153" s="406"/>
      <c r="N153" s="406"/>
      <c r="O153" s="406"/>
      <c r="P153" s="406"/>
      <c r="Q153" s="406"/>
      <c r="R153" s="406"/>
      <c r="S153" s="406"/>
      <c r="T153" s="406"/>
      <c r="U153" s="406"/>
      <c r="V153" s="406"/>
      <c r="W153" s="406"/>
      <c r="X153" s="406"/>
      <c r="Y153" s="406"/>
      <c r="Z153" s="406"/>
      <c r="AA153" s="406"/>
      <c r="AB153" s="406"/>
      <c r="AC153" s="406"/>
      <c r="AD153" s="406"/>
      <c r="AE153" s="406"/>
      <c r="AF153" s="406"/>
      <c r="AG153" s="406"/>
      <c r="AH153" s="406"/>
      <c r="AI153" s="406"/>
      <c r="AJ153" s="406"/>
      <c r="AL153" s="164"/>
      <c r="AM153" s="164"/>
    </row>
    <row r="154" spans="1:39" ht="11.25" customHeight="1">
      <c r="A154" s="441" t="s">
        <v>36</v>
      </c>
      <c r="B154" s="441"/>
      <c r="C154" s="441"/>
      <c r="D154" s="441"/>
      <c r="E154" s="441"/>
      <c r="F154" s="441"/>
      <c r="G154" s="441"/>
      <c r="H154" s="441" t="s">
        <v>489</v>
      </c>
      <c r="I154" s="441"/>
      <c r="J154" s="441"/>
      <c r="K154" s="442" t="s">
        <v>344</v>
      </c>
      <c r="L154" s="442"/>
      <c r="M154" s="441" t="s">
        <v>490</v>
      </c>
      <c r="N154" s="441"/>
      <c r="O154" s="406"/>
      <c r="P154" s="443">
        <v>67746</v>
      </c>
      <c r="Q154" s="443"/>
      <c r="R154" s="443"/>
      <c r="S154" s="406"/>
      <c r="T154" s="443">
        <v>36020</v>
      </c>
      <c r="U154" s="443"/>
      <c r="V154" s="443"/>
      <c r="W154" s="406"/>
      <c r="X154" s="444">
        <v>31726</v>
      </c>
      <c r="Y154" s="444"/>
      <c r="Z154" s="406"/>
      <c r="AA154" s="443">
        <v>41665</v>
      </c>
      <c r="AB154" s="443"/>
      <c r="AC154" s="443"/>
      <c r="AD154" s="443"/>
      <c r="AE154" s="406"/>
      <c r="AF154" s="444">
        <v>-5645</v>
      </c>
      <c r="AG154" s="444"/>
      <c r="AH154" s="406"/>
      <c r="AI154" s="407">
        <v>61.5</v>
      </c>
      <c r="AJ154" s="406"/>
      <c r="AL154" s="164">
        <v>36020</v>
      </c>
      <c r="AM154" s="164">
        <f>T154-AL154</f>
        <v>0</v>
      </c>
    </row>
    <row r="155" spans="1:39" ht="10.5" customHeight="1">
      <c r="A155" s="406"/>
      <c r="B155" s="406"/>
      <c r="C155" s="406"/>
      <c r="D155" s="406"/>
      <c r="E155" s="406"/>
      <c r="F155" s="406"/>
      <c r="G155" s="406"/>
      <c r="H155" s="406"/>
      <c r="I155" s="406"/>
      <c r="J155" s="406"/>
      <c r="K155" s="439"/>
      <c r="L155" s="442"/>
      <c r="M155" s="406"/>
      <c r="N155" s="406"/>
      <c r="O155" s="406"/>
      <c r="P155" s="406"/>
      <c r="Q155" s="406"/>
      <c r="R155" s="406"/>
      <c r="S155" s="406"/>
      <c r="T155" s="406"/>
      <c r="U155" s="406"/>
      <c r="V155" s="406"/>
      <c r="W155" s="406"/>
      <c r="X155" s="406"/>
      <c r="Y155" s="406"/>
      <c r="Z155" s="406"/>
      <c r="AA155" s="406"/>
      <c r="AB155" s="406"/>
      <c r="AC155" s="406"/>
      <c r="AD155" s="406"/>
      <c r="AE155" s="406"/>
      <c r="AF155" s="406"/>
      <c r="AG155" s="406"/>
      <c r="AH155" s="406"/>
      <c r="AI155" s="406"/>
      <c r="AJ155" s="406"/>
      <c r="AL155" s="164"/>
      <c r="AM155" s="164"/>
    </row>
    <row r="156" spans="1:39" ht="10.5">
      <c r="A156" s="406"/>
      <c r="B156" s="406"/>
      <c r="C156" s="406"/>
      <c r="D156" s="406"/>
      <c r="E156" s="406"/>
      <c r="F156" s="406"/>
      <c r="G156" s="406"/>
      <c r="H156" s="406"/>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6"/>
      <c r="AJ156" s="406"/>
      <c r="AL156" s="164"/>
      <c r="AM156" s="164"/>
    </row>
    <row r="157" spans="1:39" ht="11.25">
      <c r="A157" s="406"/>
      <c r="B157" s="406"/>
      <c r="C157" s="406"/>
      <c r="D157" s="406"/>
      <c r="E157" s="406"/>
      <c r="F157" s="406"/>
      <c r="G157" s="406"/>
      <c r="H157" s="406"/>
      <c r="I157" s="406"/>
      <c r="J157" s="406"/>
      <c r="K157" s="406"/>
      <c r="L157" s="406"/>
      <c r="M157" s="406"/>
      <c r="N157" s="406"/>
      <c r="O157" s="437">
        <v>3115204.83</v>
      </c>
      <c r="P157" s="437"/>
      <c r="Q157" s="437"/>
      <c r="R157" s="437"/>
      <c r="S157" s="406"/>
      <c r="T157" s="437">
        <v>892242</v>
      </c>
      <c r="U157" s="437"/>
      <c r="V157" s="437"/>
      <c r="W157" s="406"/>
      <c r="X157" s="437">
        <v>2222962.83</v>
      </c>
      <c r="Y157" s="437"/>
      <c r="Z157" s="406"/>
      <c r="AA157" s="437">
        <v>1170016</v>
      </c>
      <c r="AB157" s="437"/>
      <c r="AC157" s="437"/>
      <c r="AD157" s="437"/>
      <c r="AE157" s="406"/>
      <c r="AF157" s="437">
        <v>-277774</v>
      </c>
      <c r="AG157" s="437"/>
      <c r="AH157" s="406"/>
      <c r="AI157" s="406"/>
      <c r="AJ157" s="406"/>
      <c r="AL157" s="164">
        <f>SUM(AL142:AL154)</f>
        <v>892242</v>
      </c>
      <c r="AM157" s="164">
        <f>T157-AL157</f>
        <v>0</v>
      </c>
    </row>
    <row r="158" spans="1:39" ht="10.5">
      <c r="A158" s="406"/>
      <c r="B158" s="406"/>
      <c r="C158" s="406"/>
      <c r="D158" s="406"/>
      <c r="E158" s="406"/>
      <c r="F158" s="406"/>
      <c r="G158" s="406"/>
      <c r="H158" s="406"/>
      <c r="I158" s="406"/>
      <c r="J158" s="406"/>
      <c r="K158" s="406"/>
      <c r="L158" s="406"/>
      <c r="M158" s="406"/>
      <c r="N158" s="406"/>
      <c r="O158" s="406"/>
      <c r="P158" s="406"/>
      <c r="Q158" s="406"/>
      <c r="R158" s="406"/>
      <c r="S158" s="406"/>
      <c r="T158" s="406"/>
      <c r="U158" s="406"/>
      <c r="V158" s="406"/>
      <c r="W158" s="406"/>
      <c r="X158" s="406"/>
      <c r="Y158" s="406"/>
      <c r="Z158" s="406"/>
      <c r="AA158" s="406"/>
      <c r="AB158" s="406"/>
      <c r="AC158" s="406"/>
      <c r="AD158" s="406"/>
      <c r="AE158" s="406"/>
      <c r="AF158" s="406"/>
      <c r="AG158" s="406"/>
      <c r="AH158" s="406"/>
      <c r="AI158" s="406"/>
      <c r="AJ158" s="406"/>
      <c r="AL158" s="164"/>
      <c r="AM158" s="164"/>
    </row>
    <row r="159" spans="1:39" ht="12">
      <c r="A159" s="406"/>
      <c r="B159" s="406"/>
      <c r="C159" s="446" t="s">
        <v>331</v>
      </c>
      <c r="D159" s="446"/>
      <c r="E159" s="446"/>
      <c r="F159" s="446"/>
      <c r="G159" s="406"/>
      <c r="H159" s="442" t="s">
        <v>187</v>
      </c>
      <c r="I159" s="442"/>
      <c r="J159" s="442"/>
      <c r="K159" s="442"/>
      <c r="L159" s="442"/>
      <c r="M159" s="442"/>
      <c r="N159" s="442"/>
      <c r="O159" s="442"/>
      <c r="P159" s="442"/>
      <c r="Q159" s="442"/>
      <c r="R159" s="442"/>
      <c r="S159" s="442"/>
      <c r="T159" s="406"/>
      <c r="U159" s="406"/>
      <c r="V159" s="406"/>
      <c r="W159" s="406"/>
      <c r="X159" s="406"/>
      <c r="Y159" s="406"/>
      <c r="Z159" s="406"/>
      <c r="AA159" s="406"/>
      <c r="AB159" s="406"/>
      <c r="AC159" s="406"/>
      <c r="AD159" s="406"/>
      <c r="AE159" s="406"/>
      <c r="AF159" s="406"/>
      <c r="AG159" s="406"/>
      <c r="AH159" s="406"/>
      <c r="AI159" s="406"/>
      <c r="AJ159" s="406"/>
      <c r="AL159" s="164"/>
      <c r="AM159" s="164"/>
    </row>
    <row r="160" spans="1:39" ht="12" customHeight="1">
      <c r="A160" s="446" t="s">
        <v>332</v>
      </c>
      <c r="B160" s="446"/>
      <c r="C160" s="446"/>
      <c r="D160" s="446"/>
      <c r="E160" s="446"/>
      <c r="F160" s="406"/>
      <c r="G160" s="406"/>
      <c r="H160" s="406"/>
      <c r="I160" s="447" t="s">
        <v>510</v>
      </c>
      <c r="J160" s="447"/>
      <c r="K160" s="447"/>
      <c r="L160" s="447"/>
      <c r="M160" s="447"/>
      <c r="N160" s="447"/>
      <c r="O160" s="445" t="s">
        <v>511</v>
      </c>
      <c r="P160" s="445"/>
      <c r="Q160" s="445"/>
      <c r="R160" s="445"/>
      <c r="S160" s="406"/>
      <c r="T160" s="445" t="s">
        <v>512</v>
      </c>
      <c r="U160" s="445"/>
      <c r="V160" s="445"/>
      <c r="W160" s="406"/>
      <c r="X160" s="448" t="s">
        <v>488</v>
      </c>
      <c r="Y160" s="448"/>
      <c r="Z160" s="406"/>
      <c r="AA160" s="406"/>
      <c r="AB160" s="445" t="s">
        <v>513</v>
      </c>
      <c r="AC160" s="445"/>
      <c r="AD160" s="445"/>
      <c r="AE160" s="406"/>
      <c r="AF160" s="406"/>
      <c r="AG160" s="405" t="s">
        <v>514</v>
      </c>
      <c r="AH160" s="406"/>
      <c r="AI160" s="445" t="s">
        <v>515</v>
      </c>
      <c r="AJ160" s="445"/>
      <c r="AL160" s="164"/>
      <c r="AM160" s="164"/>
    </row>
    <row r="161" spans="1:39" ht="10.5">
      <c r="A161" s="406"/>
      <c r="B161" s="406"/>
      <c r="C161" s="406"/>
      <c r="D161" s="406"/>
      <c r="E161" s="406"/>
      <c r="F161" s="406"/>
      <c r="G161" s="406"/>
      <c r="H161" s="406"/>
      <c r="I161" s="406"/>
      <c r="J161" s="406"/>
      <c r="K161" s="406"/>
      <c r="L161" s="406"/>
      <c r="M161" s="406"/>
      <c r="N161" s="406"/>
      <c r="O161" s="406"/>
      <c r="P161" s="406"/>
      <c r="Q161" s="406"/>
      <c r="R161" s="406"/>
      <c r="S161" s="406"/>
      <c r="T161" s="406"/>
      <c r="U161" s="406"/>
      <c r="V161" s="406"/>
      <c r="W161" s="406"/>
      <c r="X161" s="406"/>
      <c r="Y161" s="406"/>
      <c r="Z161" s="406"/>
      <c r="AA161" s="406"/>
      <c r="AB161" s="406"/>
      <c r="AC161" s="406"/>
      <c r="AD161" s="406"/>
      <c r="AE161" s="406"/>
      <c r="AF161" s="406"/>
      <c r="AG161" s="406"/>
      <c r="AH161" s="406"/>
      <c r="AI161" s="406"/>
      <c r="AJ161" s="406"/>
      <c r="AL161" s="164"/>
      <c r="AM161" s="164"/>
    </row>
    <row r="162" spans="1:39" ht="11.25" customHeight="1">
      <c r="A162" s="441" t="s">
        <v>34</v>
      </c>
      <c r="B162" s="441"/>
      <c r="C162" s="441"/>
      <c r="D162" s="441"/>
      <c r="E162" s="441"/>
      <c r="F162" s="441"/>
      <c r="G162" s="441"/>
      <c r="H162" s="441" t="s">
        <v>489</v>
      </c>
      <c r="I162" s="441"/>
      <c r="J162" s="441"/>
      <c r="K162" s="442" t="s">
        <v>344</v>
      </c>
      <c r="L162" s="442"/>
      <c r="M162" s="441" t="s">
        <v>490</v>
      </c>
      <c r="N162" s="441"/>
      <c r="O162" s="406"/>
      <c r="P162" s="443">
        <v>168773</v>
      </c>
      <c r="Q162" s="443"/>
      <c r="R162" s="443"/>
      <c r="S162" s="406"/>
      <c r="T162" s="443">
        <v>26412</v>
      </c>
      <c r="U162" s="443"/>
      <c r="V162" s="443"/>
      <c r="W162" s="406"/>
      <c r="X162" s="444">
        <v>142361</v>
      </c>
      <c r="Y162" s="444"/>
      <c r="Z162" s="406"/>
      <c r="AA162" s="443">
        <v>71067</v>
      </c>
      <c r="AB162" s="443"/>
      <c r="AC162" s="443"/>
      <c r="AD162" s="443"/>
      <c r="AE162" s="406"/>
      <c r="AF162" s="444">
        <v>-44655</v>
      </c>
      <c r="AG162" s="444"/>
      <c r="AH162" s="406"/>
      <c r="AI162" s="407">
        <v>42.11</v>
      </c>
      <c r="AJ162" s="406"/>
      <c r="AL162" s="164">
        <v>26412</v>
      </c>
      <c r="AM162" s="164">
        <f>T162-AL162</f>
        <v>0</v>
      </c>
    </row>
    <row r="163" spans="1:39" ht="10.5" customHeight="1">
      <c r="A163" s="406"/>
      <c r="B163" s="406"/>
      <c r="C163" s="406"/>
      <c r="D163" s="406"/>
      <c r="E163" s="406"/>
      <c r="F163" s="406"/>
      <c r="G163" s="406"/>
      <c r="H163" s="406"/>
      <c r="I163" s="406"/>
      <c r="J163" s="406"/>
      <c r="K163" s="439"/>
      <c r="L163" s="442"/>
      <c r="M163" s="406"/>
      <c r="N163" s="406"/>
      <c r="O163" s="406"/>
      <c r="P163" s="406"/>
      <c r="Q163" s="406"/>
      <c r="R163" s="406"/>
      <c r="S163" s="406"/>
      <c r="T163" s="406"/>
      <c r="U163" s="406"/>
      <c r="V163" s="406"/>
      <c r="W163" s="406"/>
      <c r="X163" s="406"/>
      <c r="Y163" s="406"/>
      <c r="Z163" s="406"/>
      <c r="AA163" s="406"/>
      <c r="AB163" s="406"/>
      <c r="AC163" s="406"/>
      <c r="AD163" s="406"/>
      <c r="AE163" s="406"/>
      <c r="AF163" s="406"/>
      <c r="AG163" s="406"/>
      <c r="AH163" s="406"/>
      <c r="AI163" s="406"/>
      <c r="AJ163" s="406"/>
      <c r="AL163" s="164"/>
      <c r="AM163" s="164"/>
    </row>
    <row r="164" spans="1:39" ht="11.25" customHeight="1">
      <c r="A164" s="441" t="s">
        <v>35</v>
      </c>
      <c r="B164" s="441"/>
      <c r="C164" s="441"/>
      <c r="D164" s="441"/>
      <c r="E164" s="441"/>
      <c r="F164" s="441"/>
      <c r="G164" s="441"/>
      <c r="H164" s="441" t="s">
        <v>489</v>
      </c>
      <c r="I164" s="441"/>
      <c r="J164" s="441"/>
      <c r="K164" s="442" t="s">
        <v>344</v>
      </c>
      <c r="L164" s="442"/>
      <c r="M164" s="441" t="s">
        <v>490</v>
      </c>
      <c r="N164" s="441"/>
      <c r="O164" s="406"/>
      <c r="P164" s="443">
        <v>174348.21</v>
      </c>
      <c r="Q164" s="443"/>
      <c r="R164" s="443"/>
      <c r="S164" s="406"/>
      <c r="T164" s="443">
        <v>0</v>
      </c>
      <c r="U164" s="443"/>
      <c r="V164" s="443"/>
      <c r="W164" s="406"/>
      <c r="X164" s="444">
        <v>174348.21</v>
      </c>
      <c r="Y164" s="444"/>
      <c r="Z164" s="406"/>
      <c r="AA164" s="443">
        <v>0</v>
      </c>
      <c r="AB164" s="443"/>
      <c r="AC164" s="443"/>
      <c r="AD164" s="443"/>
      <c r="AE164" s="406"/>
      <c r="AF164" s="444">
        <v>0</v>
      </c>
      <c r="AG164" s="444"/>
      <c r="AH164" s="406"/>
      <c r="AI164" s="407">
        <v>0</v>
      </c>
      <c r="AJ164" s="406"/>
      <c r="AL164" s="164"/>
      <c r="AM164" s="164"/>
    </row>
    <row r="165" spans="1:39" ht="10.5" customHeight="1">
      <c r="A165" s="406"/>
      <c r="B165" s="406"/>
      <c r="C165" s="406"/>
      <c r="D165" s="406"/>
      <c r="E165" s="406"/>
      <c r="F165" s="406"/>
      <c r="G165" s="406"/>
      <c r="H165" s="406"/>
      <c r="I165" s="406"/>
      <c r="J165" s="406"/>
      <c r="K165" s="439"/>
      <c r="L165" s="442"/>
      <c r="M165" s="406"/>
      <c r="N165" s="406"/>
      <c r="O165" s="406"/>
      <c r="P165" s="406"/>
      <c r="Q165" s="406"/>
      <c r="R165" s="406"/>
      <c r="S165" s="406"/>
      <c r="T165" s="406"/>
      <c r="U165" s="406"/>
      <c r="V165" s="406"/>
      <c r="W165" s="406"/>
      <c r="X165" s="406"/>
      <c r="Y165" s="406"/>
      <c r="Z165" s="406"/>
      <c r="AA165" s="406"/>
      <c r="AB165" s="406"/>
      <c r="AC165" s="406"/>
      <c r="AD165" s="406"/>
      <c r="AE165" s="406"/>
      <c r="AF165" s="406"/>
      <c r="AG165" s="406"/>
      <c r="AH165" s="406"/>
      <c r="AI165" s="406"/>
      <c r="AJ165" s="406"/>
      <c r="AL165" s="164"/>
      <c r="AM165" s="164"/>
    </row>
    <row r="166" spans="1:39" ht="11.25" customHeight="1">
      <c r="A166" s="441" t="s">
        <v>29</v>
      </c>
      <c r="B166" s="441"/>
      <c r="C166" s="441"/>
      <c r="D166" s="441"/>
      <c r="E166" s="441"/>
      <c r="F166" s="441"/>
      <c r="G166" s="441"/>
      <c r="H166" s="441" t="s">
        <v>489</v>
      </c>
      <c r="I166" s="441"/>
      <c r="J166" s="441"/>
      <c r="K166" s="442" t="s">
        <v>344</v>
      </c>
      <c r="L166" s="442"/>
      <c r="M166" s="441" t="s">
        <v>490</v>
      </c>
      <c r="N166" s="441"/>
      <c r="O166" s="406"/>
      <c r="P166" s="443">
        <v>169299.94</v>
      </c>
      <c r="Q166" s="443"/>
      <c r="R166" s="443"/>
      <c r="S166" s="406"/>
      <c r="T166" s="443">
        <v>0</v>
      </c>
      <c r="U166" s="443"/>
      <c r="V166" s="443"/>
      <c r="W166" s="406"/>
      <c r="X166" s="444">
        <v>169299.94</v>
      </c>
      <c r="Y166" s="444"/>
      <c r="Z166" s="406"/>
      <c r="AA166" s="443">
        <v>7494.1</v>
      </c>
      <c r="AB166" s="443"/>
      <c r="AC166" s="443"/>
      <c r="AD166" s="443"/>
      <c r="AE166" s="406"/>
      <c r="AF166" s="444">
        <v>-7494.1</v>
      </c>
      <c r="AG166" s="444"/>
      <c r="AH166" s="406"/>
      <c r="AI166" s="407">
        <v>4.43</v>
      </c>
      <c r="AJ166" s="406"/>
      <c r="AL166" s="164"/>
      <c r="AM166" s="164"/>
    </row>
    <row r="167" spans="1:39" ht="10.5" customHeight="1">
      <c r="A167" s="406"/>
      <c r="B167" s="406"/>
      <c r="C167" s="406"/>
      <c r="D167" s="406"/>
      <c r="E167" s="406"/>
      <c r="F167" s="406"/>
      <c r="G167" s="406"/>
      <c r="H167" s="406"/>
      <c r="I167" s="406"/>
      <c r="J167" s="406"/>
      <c r="K167" s="439"/>
      <c r="L167" s="442"/>
      <c r="M167" s="406"/>
      <c r="N167" s="406"/>
      <c r="O167" s="406"/>
      <c r="P167" s="406"/>
      <c r="Q167" s="406"/>
      <c r="R167" s="406"/>
      <c r="S167" s="406"/>
      <c r="T167" s="406"/>
      <c r="U167" s="406"/>
      <c r="V167" s="406"/>
      <c r="W167" s="406"/>
      <c r="X167" s="406"/>
      <c r="Y167" s="406"/>
      <c r="Z167" s="406"/>
      <c r="AA167" s="406"/>
      <c r="AB167" s="406"/>
      <c r="AC167" s="406"/>
      <c r="AD167" s="406"/>
      <c r="AE167" s="406"/>
      <c r="AF167" s="406"/>
      <c r="AG167" s="406"/>
      <c r="AH167" s="406"/>
      <c r="AI167" s="406"/>
      <c r="AJ167" s="406"/>
      <c r="AL167" s="164"/>
      <c r="AM167" s="164"/>
    </row>
    <row r="168" spans="1:39" ht="11.25" customHeight="1">
      <c r="A168" s="441" t="s">
        <v>30</v>
      </c>
      <c r="B168" s="441"/>
      <c r="C168" s="441"/>
      <c r="D168" s="441"/>
      <c r="E168" s="441"/>
      <c r="F168" s="441"/>
      <c r="G168" s="441"/>
      <c r="H168" s="441" t="s">
        <v>489</v>
      </c>
      <c r="I168" s="441"/>
      <c r="J168" s="441"/>
      <c r="K168" s="442" t="s">
        <v>344</v>
      </c>
      <c r="L168" s="442"/>
      <c r="M168" s="441" t="s">
        <v>490</v>
      </c>
      <c r="N168" s="441"/>
      <c r="O168" s="406"/>
      <c r="P168" s="443">
        <v>115889.65</v>
      </c>
      <c r="Q168" s="443"/>
      <c r="R168" s="443"/>
      <c r="S168" s="406"/>
      <c r="T168" s="443">
        <v>14141</v>
      </c>
      <c r="U168" s="443"/>
      <c r="V168" s="443"/>
      <c r="W168" s="406"/>
      <c r="X168" s="444">
        <v>101748.65</v>
      </c>
      <c r="Y168" s="444"/>
      <c r="Z168" s="406"/>
      <c r="AA168" s="443">
        <v>14141</v>
      </c>
      <c r="AB168" s="443"/>
      <c r="AC168" s="443"/>
      <c r="AD168" s="443"/>
      <c r="AE168" s="406"/>
      <c r="AF168" s="444">
        <v>0</v>
      </c>
      <c r="AG168" s="444"/>
      <c r="AH168" s="406"/>
      <c r="AI168" s="407">
        <v>12.2</v>
      </c>
      <c r="AJ168" s="406"/>
      <c r="AL168" s="164">
        <v>14141</v>
      </c>
      <c r="AM168" s="164">
        <f>T168-AL168</f>
        <v>0</v>
      </c>
    </row>
    <row r="169" spans="1:39" ht="10.5" customHeight="1">
      <c r="A169" s="406"/>
      <c r="B169" s="406"/>
      <c r="C169" s="406"/>
      <c r="D169" s="406"/>
      <c r="E169" s="406"/>
      <c r="F169" s="406"/>
      <c r="G169" s="406"/>
      <c r="H169" s="406"/>
      <c r="I169" s="406"/>
      <c r="J169" s="406"/>
      <c r="K169" s="439"/>
      <c r="L169" s="442"/>
      <c r="M169" s="406"/>
      <c r="N169" s="406"/>
      <c r="O169" s="406"/>
      <c r="P169" s="406"/>
      <c r="Q169" s="406"/>
      <c r="R169" s="406"/>
      <c r="S169" s="406"/>
      <c r="T169" s="406"/>
      <c r="U169" s="406"/>
      <c r="V169" s="406"/>
      <c r="W169" s="406"/>
      <c r="X169" s="406"/>
      <c r="Y169" s="406"/>
      <c r="Z169" s="406"/>
      <c r="AA169" s="406"/>
      <c r="AB169" s="406"/>
      <c r="AC169" s="406"/>
      <c r="AD169" s="406"/>
      <c r="AE169" s="406"/>
      <c r="AF169" s="406"/>
      <c r="AG169" s="406"/>
      <c r="AH169" s="406"/>
      <c r="AI169" s="406"/>
      <c r="AJ169" s="406"/>
      <c r="AL169" s="164"/>
      <c r="AM169" s="164"/>
    </row>
    <row r="170" spans="1:39" ht="11.25" customHeight="1">
      <c r="A170" s="441" t="s">
        <v>36</v>
      </c>
      <c r="B170" s="441"/>
      <c r="C170" s="441"/>
      <c r="D170" s="441"/>
      <c r="E170" s="441"/>
      <c r="F170" s="441"/>
      <c r="G170" s="441"/>
      <c r="H170" s="441" t="s">
        <v>489</v>
      </c>
      <c r="I170" s="441"/>
      <c r="J170" s="441"/>
      <c r="K170" s="442" t="s">
        <v>344</v>
      </c>
      <c r="L170" s="442"/>
      <c r="M170" s="441" t="s">
        <v>490</v>
      </c>
      <c r="N170" s="441"/>
      <c r="O170" s="406"/>
      <c r="P170" s="443">
        <v>13924</v>
      </c>
      <c r="Q170" s="443"/>
      <c r="R170" s="443"/>
      <c r="S170" s="406"/>
      <c r="T170" s="443">
        <v>5336.37</v>
      </c>
      <c r="U170" s="443"/>
      <c r="V170" s="443"/>
      <c r="W170" s="406"/>
      <c r="X170" s="444">
        <v>8587.63</v>
      </c>
      <c r="Y170" s="444"/>
      <c r="Z170" s="406"/>
      <c r="AA170" s="443">
        <v>5336.37</v>
      </c>
      <c r="AB170" s="443"/>
      <c r="AC170" s="443"/>
      <c r="AD170" s="443"/>
      <c r="AE170" s="406"/>
      <c r="AF170" s="444">
        <v>0</v>
      </c>
      <c r="AG170" s="444"/>
      <c r="AH170" s="406"/>
      <c r="AI170" s="407">
        <v>38.32</v>
      </c>
      <c r="AJ170" s="406"/>
      <c r="AL170" s="164">
        <v>5336.37</v>
      </c>
      <c r="AM170" s="164">
        <f>T170-AL170</f>
        <v>0</v>
      </c>
    </row>
    <row r="171" spans="1:39" ht="10.5" customHeight="1">
      <c r="A171" s="406"/>
      <c r="B171" s="406"/>
      <c r="C171" s="406"/>
      <c r="D171" s="406"/>
      <c r="E171" s="406"/>
      <c r="F171" s="406"/>
      <c r="G171" s="406"/>
      <c r="H171" s="406"/>
      <c r="I171" s="406"/>
      <c r="J171" s="406"/>
      <c r="K171" s="439"/>
      <c r="L171" s="442"/>
      <c r="M171" s="406"/>
      <c r="N171" s="406"/>
      <c r="O171" s="406"/>
      <c r="P171" s="406"/>
      <c r="Q171" s="406"/>
      <c r="R171" s="406"/>
      <c r="S171" s="406"/>
      <c r="T171" s="406"/>
      <c r="U171" s="406"/>
      <c r="V171" s="406"/>
      <c r="W171" s="406"/>
      <c r="X171" s="406"/>
      <c r="Y171" s="406"/>
      <c r="Z171" s="406"/>
      <c r="AA171" s="406"/>
      <c r="AB171" s="406"/>
      <c r="AC171" s="406"/>
      <c r="AD171" s="406"/>
      <c r="AE171" s="406"/>
      <c r="AF171" s="406"/>
      <c r="AG171" s="406"/>
      <c r="AH171" s="406"/>
      <c r="AI171" s="406"/>
      <c r="AJ171" s="406"/>
      <c r="AL171" s="164"/>
      <c r="AM171" s="164"/>
    </row>
    <row r="172" spans="1:39" ht="10.5">
      <c r="A172" s="406"/>
      <c r="B172" s="406"/>
      <c r="C172" s="406"/>
      <c r="D172" s="406"/>
      <c r="E172" s="406"/>
      <c r="F172" s="406"/>
      <c r="G172" s="406"/>
      <c r="H172" s="406"/>
      <c r="I172" s="406"/>
      <c r="J172" s="406"/>
      <c r="K172" s="406"/>
      <c r="L172" s="406"/>
      <c r="M172" s="406"/>
      <c r="N172" s="406"/>
      <c r="O172" s="406"/>
      <c r="P172" s="406"/>
      <c r="Q172" s="406"/>
      <c r="R172" s="406"/>
      <c r="S172" s="406"/>
      <c r="T172" s="406"/>
      <c r="U172" s="406"/>
      <c r="V172" s="406"/>
      <c r="W172" s="406"/>
      <c r="X172" s="406"/>
      <c r="Y172" s="406"/>
      <c r="Z172" s="406"/>
      <c r="AA172" s="406"/>
      <c r="AB172" s="406"/>
      <c r="AC172" s="406"/>
      <c r="AD172" s="406"/>
      <c r="AE172" s="406"/>
      <c r="AF172" s="406"/>
      <c r="AG172" s="406"/>
      <c r="AH172" s="406"/>
      <c r="AI172" s="406"/>
      <c r="AJ172" s="406"/>
      <c r="AL172" s="164"/>
      <c r="AM172" s="164"/>
    </row>
    <row r="173" spans="1:39" ht="11.25">
      <c r="A173" s="406"/>
      <c r="B173" s="406"/>
      <c r="C173" s="406"/>
      <c r="D173" s="406"/>
      <c r="E173" s="406"/>
      <c r="F173" s="406"/>
      <c r="G173" s="406"/>
      <c r="H173" s="406"/>
      <c r="I173" s="406"/>
      <c r="J173" s="406"/>
      <c r="K173" s="406"/>
      <c r="L173" s="406"/>
      <c r="M173" s="406"/>
      <c r="N173" s="406"/>
      <c r="O173" s="437">
        <v>642234.8</v>
      </c>
      <c r="P173" s="437"/>
      <c r="Q173" s="437"/>
      <c r="R173" s="437"/>
      <c r="S173" s="406"/>
      <c r="T173" s="437">
        <v>45889.37</v>
      </c>
      <c r="U173" s="437"/>
      <c r="V173" s="437"/>
      <c r="W173" s="406"/>
      <c r="X173" s="437">
        <v>596345.43</v>
      </c>
      <c r="Y173" s="437"/>
      <c r="Z173" s="406"/>
      <c r="AA173" s="437">
        <v>98038.47</v>
      </c>
      <c r="AB173" s="437"/>
      <c r="AC173" s="437"/>
      <c r="AD173" s="437"/>
      <c r="AE173" s="406"/>
      <c r="AF173" s="437">
        <v>-52149.1</v>
      </c>
      <c r="AG173" s="437"/>
      <c r="AH173" s="406"/>
      <c r="AI173" s="406"/>
      <c r="AJ173" s="406"/>
      <c r="AL173" s="164">
        <f>SUM(AL162:AL170)</f>
        <v>45889.37</v>
      </c>
      <c r="AM173" s="164">
        <f>T173-AL173</f>
        <v>0</v>
      </c>
    </row>
    <row r="174" spans="1:39" ht="10.5">
      <c r="A174" s="406"/>
      <c r="B174" s="406"/>
      <c r="C174" s="406"/>
      <c r="D174" s="406"/>
      <c r="E174" s="406"/>
      <c r="F174" s="406"/>
      <c r="G174" s="406"/>
      <c r="H174" s="406"/>
      <c r="I174" s="406"/>
      <c r="J174" s="406"/>
      <c r="K174" s="406"/>
      <c r="L174" s="406"/>
      <c r="M174" s="406"/>
      <c r="N174" s="406"/>
      <c r="O174" s="406"/>
      <c r="P174" s="406"/>
      <c r="Q174" s="406"/>
      <c r="R174" s="406"/>
      <c r="S174" s="406"/>
      <c r="T174" s="406"/>
      <c r="U174" s="406"/>
      <c r="V174" s="406"/>
      <c r="W174" s="406"/>
      <c r="X174" s="406"/>
      <c r="Y174" s="406"/>
      <c r="Z174" s="406"/>
      <c r="AA174" s="406"/>
      <c r="AB174" s="406"/>
      <c r="AC174" s="406"/>
      <c r="AD174" s="406"/>
      <c r="AE174" s="406"/>
      <c r="AF174" s="406"/>
      <c r="AG174" s="406"/>
      <c r="AH174" s="406"/>
      <c r="AI174" s="406"/>
      <c r="AJ174" s="406"/>
      <c r="AL174" s="164"/>
      <c r="AM174" s="164"/>
    </row>
    <row r="175" spans="1:39" ht="10.5">
      <c r="A175" s="406"/>
      <c r="B175" s="406"/>
      <c r="C175" s="406"/>
      <c r="D175" s="406"/>
      <c r="E175" s="406"/>
      <c r="F175" s="406"/>
      <c r="G175" s="406"/>
      <c r="H175" s="406"/>
      <c r="I175" s="406"/>
      <c r="J175" s="406"/>
      <c r="K175" s="406"/>
      <c r="L175" s="406"/>
      <c r="M175" s="406"/>
      <c r="N175" s="406"/>
      <c r="O175" s="406"/>
      <c r="P175" s="406"/>
      <c r="Q175" s="406"/>
      <c r="R175" s="406"/>
      <c r="S175" s="406"/>
      <c r="T175" s="406"/>
      <c r="U175" s="406"/>
      <c r="V175" s="406"/>
      <c r="W175" s="406"/>
      <c r="X175" s="406"/>
      <c r="Y175" s="406"/>
      <c r="Z175" s="406"/>
      <c r="AA175" s="406"/>
      <c r="AB175" s="406"/>
      <c r="AC175" s="406"/>
      <c r="AD175" s="406"/>
      <c r="AE175" s="406"/>
      <c r="AF175" s="406"/>
      <c r="AG175" s="406"/>
      <c r="AH175" s="406"/>
      <c r="AI175" s="406"/>
      <c r="AJ175" s="406"/>
      <c r="AL175" s="164"/>
      <c r="AM175" s="164"/>
    </row>
    <row r="176" spans="1:39" ht="11.25" customHeight="1">
      <c r="A176" s="406"/>
      <c r="B176" s="438" t="s">
        <v>496</v>
      </c>
      <c r="C176" s="438"/>
      <c r="D176" s="438"/>
      <c r="E176" s="438"/>
      <c r="F176" s="438"/>
      <c r="G176" s="438"/>
      <c r="H176" s="438"/>
      <c r="I176" s="438"/>
      <c r="J176" s="438"/>
      <c r="K176" s="438"/>
      <c r="L176" s="438"/>
      <c r="M176" s="438"/>
      <c r="N176" s="406"/>
      <c r="O176" s="440">
        <v>4498745.97</v>
      </c>
      <c r="P176" s="440"/>
      <c r="Q176" s="440"/>
      <c r="R176" s="440"/>
      <c r="S176" s="406"/>
      <c r="T176" s="440">
        <v>948537.87</v>
      </c>
      <c r="U176" s="440"/>
      <c r="V176" s="440"/>
      <c r="W176" s="406"/>
      <c r="X176" s="437">
        <v>3550208.1</v>
      </c>
      <c r="Y176" s="437"/>
      <c r="Z176" s="406"/>
      <c r="AA176" s="440">
        <v>1305452.52</v>
      </c>
      <c r="AB176" s="440"/>
      <c r="AC176" s="440"/>
      <c r="AD176" s="440"/>
      <c r="AE176" s="406"/>
      <c r="AF176" s="440">
        <v>-356914.65</v>
      </c>
      <c r="AG176" s="440"/>
      <c r="AH176" s="406"/>
      <c r="AI176" s="406"/>
      <c r="AJ176" s="406"/>
      <c r="AL176" s="164"/>
      <c r="AM176" s="164"/>
    </row>
    <row r="177" spans="1:36" ht="10.5" customHeight="1">
      <c r="A177" s="406"/>
      <c r="B177" s="439"/>
      <c r="C177" s="438"/>
      <c r="D177" s="438"/>
      <c r="E177" s="438"/>
      <c r="F177" s="438"/>
      <c r="G177" s="438"/>
      <c r="H177" s="438"/>
      <c r="I177" s="438"/>
      <c r="J177" s="438"/>
      <c r="K177" s="438"/>
      <c r="L177" s="438"/>
      <c r="M177" s="438"/>
      <c r="N177" s="406"/>
      <c r="O177" s="406"/>
      <c r="P177" s="406"/>
      <c r="Q177" s="406"/>
      <c r="R177" s="406"/>
      <c r="S177" s="406"/>
      <c r="T177" s="406"/>
      <c r="U177" s="406"/>
      <c r="V177" s="406"/>
      <c r="W177" s="406"/>
      <c r="X177" s="406"/>
      <c r="Y177" s="406"/>
      <c r="Z177" s="406"/>
      <c r="AA177" s="406"/>
      <c r="AB177" s="406"/>
      <c r="AC177" s="406"/>
      <c r="AD177" s="406"/>
      <c r="AE177" s="406"/>
      <c r="AF177" s="406"/>
      <c r="AG177" s="406"/>
      <c r="AH177" s="406"/>
      <c r="AI177" s="406"/>
      <c r="AJ177" s="406"/>
    </row>
    <row r="180" ht="10.5">
      <c r="Y180" s="403">
        <f>X16+X118+X176</f>
        <v>5779241.45</v>
      </c>
    </row>
  </sheetData>
  <sheetProtection/>
  <mergeCells count="644">
    <mergeCell ref="A3:C4"/>
    <mergeCell ref="E3:P3"/>
    <mergeCell ref="C5:F5"/>
    <mergeCell ref="H5:S5"/>
    <mergeCell ref="H32:J32"/>
    <mergeCell ref="P26:R26"/>
    <mergeCell ref="A26:G26"/>
    <mergeCell ref="P24:R24"/>
    <mergeCell ref="T22:V22"/>
    <mergeCell ref="P10:R10"/>
    <mergeCell ref="P8:R8"/>
    <mergeCell ref="A6:E6"/>
    <mergeCell ref="I6:N6"/>
    <mergeCell ref="O6:R6"/>
    <mergeCell ref="T6:V6"/>
    <mergeCell ref="A10:G10"/>
    <mergeCell ref="H10:J10"/>
    <mergeCell ref="K10:L11"/>
    <mergeCell ref="M10:N10"/>
    <mergeCell ref="T10:V10"/>
    <mergeCell ref="C21:F21"/>
    <mergeCell ref="H21:S21"/>
    <mergeCell ref="T28:V28"/>
    <mergeCell ref="A19:C20"/>
    <mergeCell ref="A90:G90"/>
    <mergeCell ref="H90:J90"/>
    <mergeCell ref="H92:J92"/>
    <mergeCell ref="K92:L93"/>
    <mergeCell ref="M92:N92"/>
    <mergeCell ref="T92:V92"/>
    <mergeCell ref="T94:V94"/>
    <mergeCell ref="A64:G64"/>
    <mergeCell ref="H64:J64"/>
    <mergeCell ref="K64:L65"/>
    <mergeCell ref="A78:G78"/>
    <mergeCell ref="H78:J78"/>
    <mergeCell ref="X6:Y6"/>
    <mergeCell ref="AB6:AD6"/>
    <mergeCell ref="AI6:AJ6"/>
    <mergeCell ref="A8:G8"/>
    <mergeCell ref="H8:J8"/>
    <mergeCell ref="K8:L9"/>
    <mergeCell ref="M8:N8"/>
    <mergeCell ref="T8:V8"/>
    <mergeCell ref="X8:Y8"/>
    <mergeCell ref="AA8:AD8"/>
    <mergeCell ref="AF8:AG8"/>
    <mergeCell ref="K28:L29"/>
    <mergeCell ref="M28:N28"/>
    <mergeCell ref="P28:R28"/>
    <mergeCell ref="X10:Y10"/>
    <mergeCell ref="AA10:AD10"/>
    <mergeCell ref="AF10:AG10"/>
    <mergeCell ref="O13:R13"/>
    <mergeCell ref="T13:V13"/>
    <mergeCell ref="X13:Y13"/>
    <mergeCell ref="AA13:AD13"/>
    <mergeCell ref="AF13:AG13"/>
    <mergeCell ref="X22:Y22"/>
    <mergeCell ref="E19:P19"/>
    <mergeCell ref="T16:V16"/>
    <mergeCell ref="X16:Y16"/>
    <mergeCell ref="AA16:AD16"/>
    <mergeCell ref="AF16:AG16"/>
    <mergeCell ref="B16:M17"/>
    <mergeCell ref="O16:R16"/>
    <mergeCell ref="A24:G24"/>
    <mergeCell ref="H24:J24"/>
    <mergeCell ref="K24:L25"/>
    <mergeCell ref="M24:N24"/>
    <mergeCell ref="T24:V24"/>
    <mergeCell ref="X24:Y24"/>
    <mergeCell ref="AA24:AD24"/>
    <mergeCell ref="AF24:AG24"/>
    <mergeCell ref="A22:E22"/>
    <mergeCell ref="I22:N22"/>
    <mergeCell ref="O22:R22"/>
    <mergeCell ref="AB22:AD22"/>
    <mergeCell ref="A36:G36"/>
    <mergeCell ref="H36:J36"/>
    <mergeCell ref="K36:L37"/>
    <mergeCell ref="M36:N36"/>
    <mergeCell ref="T36:V36"/>
    <mergeCell ref="X36:Y36"/>
    <mergeCell ref="AA36:AD36"/>
    <mergeCell ref="AF36:AG36"/>
    <mergeCell ref="A30:G30"/>
    <mergeCell ref="H30:J30"/>
    <mergeCell ref="K30:L31"/>
    <mergeCell ref="M30:N30"/>
    <mergeCell ref="P30:R30"/>
    <mergeCell ref="T30:V30"/>
    <mergeCell ref="X30:Y30"/>
    <mergeCell ref="AA30:AD30"/>
    <mergeCell ref="AF30:AG30"/>
    <mergeCell ref="P36:R36"/>
    <mergeCell ref="P34:R34"/>
    <mergeCell ref="K32:L33"/>
    <mergeCell ref="M32:N32"/>
    <mergeCell ref="P32:R32"/>
    <mergeCell ref="T32:V32"/>
    <mergeCell ref="A32:G32"/>
    <mergeCell ref="X38:Y38"/>
    <mergeCell ref="A40:G40"/>
    <mergeCell ref="H40:J40"/>
    <mergeCell ref="K40:L41"/>
    <mergeCell ref="M40:N40"/>
    <mergeCell ref="T40:V40"/>
    <mergeCell ref="X40:Y40"/>
    <mergeCell ref="AA40:AD40"/>
    <mergeCell ref="AF40:AG40"/>
    <mergeCell ref="A38:G38"/>
    <mergeCell ref="H38:J38"/>
    <mergeCell ref="K38:L39"/>
    <mergeCell ref="M38:N38"/>
    <mergeCell ref="AA38:AD38"/>
    <mergeCell ref="AF38:AG38"/>
    <mergeCell ref="P40:R40"/>
    <mergeCell ref="P38:R38"/>
    <mergeCell ref="T38:V38"/>
    <mergeCell ref="H42:J42"/>
    <mergeCell ref="K42:L43"/>
    <mergeCell ref="M42:N42"/>
    <mergeCell ref="T42:V42"/>
    <mergeCell ref="X42:Y42"/>
    <mergeCell ref="AA42:AD42"/>
    <mergeCell ref="AF42:AG42"/>
    <mergeCell ref="A44:G44"/>
    <mergeCell ref="H44:J44"/>
    <mergeCell ref="K44:L45"/>
    <mergeCell ref="M44:N44"/>
    <mergeCell ref="T44:V44"/>
    <mergeCell ref="X44:Y44"/>
    <mergeCell ref="AA44:AD44"/>
    <mergeCell ref="AF44:AG44"/>
    <mergeCell ref="P44:R44"/>
    <mergeCell ref="P42:R42"/>
    <mergeCell ref="A42:G42"/>
    <mergeCell ref="X46:Y46"/>
    <mergeCell ref="AA46:AD46"/>
    <mergeCell ref="AF46:AG46"/>
    <mergeCell ref="A48:G48"/>
    <mergeCell ref="H48:J48"/>
    <mergeCell ref="K48:L49"/>
    <mergeCell ref="M48:N48"/>
    <mergeCell ref="T48:V48"/>
    <mergeCell ref="X48:Y48"/>
    <mergeCell ref="AA48:AD48"/>
    <mergeCell ref="AF48:AG48"/>
    <mergeCell ref="P48:R48"/>
    <mergeCell ref="A46:G46"/>
    <mergeCell ref="H46:J46"/>
    <mergeCell ref="K46:L47"/>
    <mergeCell ref="M46:N46"/>
    <mergeCell ref="P46:R46"/>
    <mergeCell ref="T46:V46"/>
    <mergeCell ref="AA56:AD56"/>
    <mergeCell ref="AF56:AG56"/>
    <mergeCell ref="A54:E54"/>
    <mergeCell ref="I54:N54"/>
    <mergeCell ref="O54:R54"/>
    <mergeCell ref="AB54:AD54"/>
    <mergeCell ref="X51:Y51"/>
    <mergeCell ref="AA51:AD51"/>
    <mergeCell ref="AF51:AG51"/>
    <mergeCell ref="C53:F53"/>
    <mergeCell ref="H53:S53"/>
    <mergeCell ref="P56:R56"/>
    <mergeCell ref="T54:V54"/>
    <mergeCell ref="O51:R51"/>
    <mergeCell ref="T51:V51"/>
    <mergeCell ref="X54:Y54"/>
    <mergeCell ref="A56:G56"/>
    <mergeCell ref="H56:J56"/>
    <mergeCell ref="K56:L57"/>
    <mergeCell ref="M56:N56"/>
    <mergeCell ref="T56:V56"/>
    <mergeCell ref="X56:Y56"/>
    <mergeCell ref="A60:G60"/>
    <mergeCell ref="H60:J60"/>
    <mergeCell ref="A58:G58"/>
    <mergeCell ref="H58:J58"/>
    <mergeCell ref="K58:L59"/>
    <mergeCell ref="M58:N58"/>
    <mergeCell ref="P58:R58"/>
    <mergeCell ref="T58:V58"/>
    <mergeCell ref="X58:Y58"/>
    <mergeCell ref="AA58:AD58"/>
    <mergeCell ref="AF58:AG58"/>
    <mergeCell ref="A72:G72"/>
    <mergeCell ref="H72:J72"/>
    <mergeCell ref="K72:L73"/>
    <mergeCell ref="M72:N72"/>
    <mergeCell ref="P72:R72"/>
    <mergeCell ref="T72:V72"/>
    <mergeCell ref="X72:Y72"/>
    <mergeCell ref="AA72:AD72"/>
    <mergeCell ref="AF72:AG72"/>
    <mergeCell ref="P70:R70"/>
    <mergeCell ref="T70:V70"/>
    <mergeCell ref="K68:L69"/>
    <mergeCell ref="M68:N68"/>
    <mergeCell ref="P68:R68"/>
    <mergeCell ref="A68:G68"/>
    <mergeCell ref="H68:J68"/>
    <mergeCell ref="T68:V68"/>
    <mergeCell ref="K60:L61"/>
    <mergeCell ref="M60:N60"/>
    <mergeCell ref="P60:R60"/>
    <mergeCell ref="T60:V60"/>
    <mergeCell ref="T62:V62"/>
    <mergeCell ref="X74:Y74"/>
    <mergeCell ref="AA74:AD74"/>
    <mergeCell ref="AF74:AG74"/>
    <mergeCell ref="A76:G76"/>
    <mergeCell ref="H76:J76"/>
    <mergeCell ref="K76:L77"/>
    <mergeCell ref="M76:N76"/>
    <mergeCell ref="P76:R76"/>
    <mergeCell ref="T76:V76"/>
    <mergeCell ref="X76:Y76"/>
    <mergeCell ref="AA76:AD76"/>
    <mergeCell ref="AF76:AG76"/>
    <mergeCell ref="A74:G74"/>
    <mergeCell ref="H74:J74"/>
    <mergeCell ref="K74:L75"/>
    <mergeCell ref="M74:N74"/>
    <mergeCell ref="P74:R74"/>
    <mergeCell ref="T74:V74"/>
    <mergeCell ref="X92:Y92"/>
    <mergeCell ref="AA92:AD92"/>
    <mergeCell ref="AF92:AG92"/>
    <mergeCell ref="AF88:AG88"/>
    <mergeCell ref="A86:E86"/>
    <mergeCell ref="I86:N86"/>
    <mergeCell ref="O86:R86"/>
    <mergeCell ref="AB86:AD86"/>
    <mergeCell ref="A88:G88"/>
    <mergeCell ref="H88:J88"/>
    <mergeCell ref="K88:L89"/>
    <mergeCell ref="M88:N88"/>
    <mergeCell ref="P88:R88"/>
    <mergeCell ref="T88:V88"/>
    <mergeCell ref="X88:Y88"/>
    <mergeCell ref="AA88:AD88"/>
    <mergeCell ref="X90:Y90"/>
    <mergeCell ref="T86:V86"/>
    <mergeCell ref="X86:Y86"/>
    <mergeCell ref="P92:R92"/>
    <mergeCell ref="K90:L91"/>
    <mergeCell ref="M90:N90"/>
    <mergeCell ref="T90:V90"/>
    <mergeCell ref="P90:R90"/>
    <mergeCell ref="AF102:AG102"/>
    <mergeCell ref="A100:G100"/>
    <mergeCell ref="H100:J100"/>
    <mergeCell ref="K100:L101"/>
    <mergeCell ref="M100:N100"/>
    <mergeCell ref="P100:R100"/>
    <mergeCell ref="T100:V100"/>
    <mergeCell ref="X100:Y100"/>
    <mergeCell ref="AA100:AD100"/>
    <mergeCell ref="AF100:AG100"/>
    <mergeCell ref="A102:G102"/>
    <mergeCell ref="H102:J102"/>
    <mergeCell ref="K102:L103"/>
    <mergeCell ref="M102:N102"/>
    <mergeCell ref="P102:R102"/>
    <mergeCell ref="T102:V102"/>
    <mergeCell ref="X102:Y102"/>
    <mergeCell ref="AA102:AD102"/>
    <mergeCell ref="A108:G108"/>
    <mergeCell ref="H108:J108"/>
    <mergeCell ref="K108:L109"/>
    <mergeCell ref="M108:N108"/>
    <mergeCell ref="P108:R108"/>
    <mergeCell ref="AA108:AD108"/>
    <mergeCell ref="AF108:AG108"/>
    <mergeCell ref="T108:V108"/>
    <mergeCell ref="X108:Y108"/>
    <mergeCell ref="H112:J112"/>
    <mergeCell ref="K112:L113"/>
    <mergeCell ref="M112:N112"/>
    <mergeCell ref="P112:R112"/>
    <mergeCell ref="T112:V112"/>
    <mergeCell ref="X112:Y112"/>
    <mergeCell ref="AA112:AD112"/>
    <mergeCell ref="AF112:AG112"/>
    <mergeCell ref="A110:G110"/>
    <mergeCell ref="H110:J110"/>
    <mergeCell ref="K110:L111"/>
    <mergeCell ref="M110:N110"/>
    <mergeCell ref="P110:R110"/>
    <mergeCell ref="T110:V110"/>
    <mergeCell ref="X110:Y110"/>
    <mergeCell ref="AA110:AD110"/>
    <mergeCell ref="AF110:AG110"/>
    <mergeCell ref="C123:F123"/>
    <mergeCell ref="H123:S123"/>
    <mergeCell ref="A124:E124"/>
    <mergeCell ref="I124:N124"/>
    <mergeCell ref="O124:R124"/>
    <mergeCell ref="T124:V124"/>
    <mergeCell ref="X124:Y124"/>
    <mergeCell ref="AB124:AD124"/>
    <mergeCell ref="A121:C122"/>
    <mergeCell ref="E121:P121"/>
    <mergeCell ref="AI124:AJ124"/>
    <mergeCell ref="A126:G126"/>
    <mergeCell ref="H126:J126"/>
    <mergeCell ref="K126:L127"/>
    <mergeCell ref="M126:N126"/>
    <mergeCell ref="P126:R126"/>
    <mergeCell ref="T126:V126"/>
    <mergeCell ref="X126:Y126"/>
    <mergeCell ref="AA126:AD126"/>
    <mergeCell ref="AF126:AG126"/>
    <mergeCell ref="A128:G128"/>
    <mergeCell ref="H128:J128"/>
    <mergeCell ref="K128:L129"/>
    <mergeCell ref="M128:N128"/>
    <mergeCell ref="P128:R128"/>
    <mergeCell ref="T128:V128"/>
    <mergeCell ref="X128:Y128"/>
    <mergeCell ref="AA128:AD128"/>
    <mergeCell ref="AF128:AG128"/>
    <mergeCell ref="A130:G130"/>
    <mergeCell ref="H130:J130"/>
    <mergeCell ref="K130:L131"/>
    <mergeCell ref="M130:N130"/>
    <mergeCell ref="P130:R130"/>
    <mergeCell ref="T130:V130"/>
    <mergeCell ref="X130:Y130"/>
    <mergeCell ref="AA130:AD130"/>
    <mergeCell ref="AF130:AG130"/>
    <mergeCell ref="A132:G132"/>
    <mergeCell ref="H132:J132"/>
    <mergeCell ref="K132:L133"/>
    <mergeCell ref="M132:N132"/>
    <mergeCell ref="P132:R132"/>
    <mergeCell ref="T132:V132"/>
    <mergeCell ref="X132:Y132"/>
    <mergeCell ref="AA132:AD132"/>
    <mergeCell ref="AF132:AG132"/>
    <mergeCell ref="C139:F139"/>
    <mergeCell ref="H139:S139"/>
    <mergeCell ref="O137:R137"/>
    <mergeCell ref="T137:V137"/>
    <mergeCell ref="X137:Y137"/>
    <mergeCell ref="AA137:AD137"/>
    <mergeCell ref="AF137:AG137"/>
    <mergeCell ref="A134:G134"/>
    <mergeCell ref="H134:J134"/>
    <mergeCell ref="K134:L135"/>
    <mergeCell ref="M134:N134"/>
    <mergeCell ref="P134:R134"/>
    <mergeCell ref="T134:V134"/>
    <mergeCell ref="X134:Y134"/>
    <mergeCell ref="AA134:AD134"/>
    <mergeCell ref="AF134:AG134"/>
    <mergeCell ref="A144:G144"/>
    <mergeCell ref="H144:J144"/>
    <mergeCell ref="K144:L145"/>
    <mergeCell ref="M144:N144"/>
    <mergeCell ref="P144:R144"/>
    <mergeCell ref="AA144:AD144"/>
    <mergeCell ref="AF144:AG144"/>
    <mergeCell ref="T144:V144"/>
    <mergeCell ref="X144:Y144"/>
    <mergeCell ref="A146:G146"/>
    <mergeCell ref="H146:J146"/>
    <mergeCell ref="K146:L147"/>
    <mergeCell ref="M146:N146"/>
    <mergeCell ref="P146:R146"/>
    <mergeCell ref="T146:V146"/>
    <mergeCell ref="X146:Y146"/>
    <mergeCell ref="AA146:AD146"/>
    <mergeCell ref="AF146:AG146"/>
    <mergeCell ref="A148:G148"/>
    <mergeCell ref="H148:J148"/>
    <mergeCell ref="K148:L149"/>
    <mergeCell ref="M148:N148"/>
    <mergeCell ref="P148:R148"/>
    <mergeCell ref="T148:V148"/>
    <mergeCell ref="X148:Y148"/>
    <mergeCell ref="AA148:AD148"/>
    <mergeCell ref="AF148:AG148"/>
    <mergeCell ref="A150:G150"/>
    <mergeCell ref="H150:J150"/>
    <mergeCell ref="K150:L151"/>
    <mergeCell ref="M150:N150"/>
    <mergeCell ref="P150:R150"/>
    <mergeCell ref="T150:V150"/>
    <mergeCell ref="X150:Y150"/>
    <mergeCell ref="AA150:AD150"/>
    <mergeCell ref="AF150:AG150"/>
    <mergeCell ref="A152:G152"/>
    <mergeCell ref="H152:J152"/>
    <mergeCell ref="K152:L153"/>
    <mergeCell ref="M152:N152"/>
    <mergeCell ref="P152:R152"/>
    <mergeCell ref="T152:V152"/>
    <mergeCell ref="X152:Y152"/>
    <mergeCell ref="AA152:AD152"/>
    <mergeCell ref="AF152:AG152"/>
    <mergeCell ref="C159:F159"/>
    <mergeCell ref="H159:S159"/>
    <mergeCell ref="A160:E160"/>
    <mergeCell ref="I160:N160"/>
    <mergeCell ref="AB160:AD160"/>
    <mergeCell ref="A154:G154"/>
    <mergeCell ref="H154:J154"/>
    <mergeCell ref="K154:L155"/>
    <mergeCell ref="M154:N154"/>
    <mergeCell ref="P154:R154"/>
    <mergeCell ref="T154:V154"/>
    <mergeCell ref="X154:Y154"/>
    <mergeCell ref="AA154:AD154"/>
    <mergeCell ref="O157:R157"/>
    <mergeCell ref="T157:V157"/>
    <mergeCell ref="X157:Y157"/>
    <mergeCell ref="AA157:AD157"/>
    <mergeCell ref="AF157:AG157"/>
    <mergeCell ref="O160:R160"/>
    <mergeCell ref="T160:V160"/>
    <mergeCell ref="X160:Y160"/>
    <mergeCell ref="AF154:AG154"/>
    <mergeCell ref="T118:V118"/>
    <mergeCell ref="X118:Y118"/>
    <mergeCell ref="AA118:AD118"/>
    <mergeCell ref="AF118:AG118"/>
    <mergeCell ref="B118:M119"/>
    <mergeCell ref="O118:R118"/>
    <mergeCell ref="O115:R115"/>
    <mergeCell ref="T115:V115"/>
    <mergeCell ref="X115:Y115"/>
    <mergeCell ref="AA115:AD115"/>
    <mergeCell ref="AF115:AG115"/>
    <mergeCell ref="A112:G112"/>
    <mergeCell ref="K62:L63"/>
    <mergeCell ref="M62:N62"/>
    <mergeCell ref="P62:R62"/>
    <mergeCell ref="AA90:AD90"/>
    <mergeCell ref="AF90:AG90"/>
    <mergeCell ref="A92:G92"/>
    <mergeCell ref="X68:Y68"/>
    <mergeCell ref="AA68:AD68"/>
    <mergeCell ref="AF68:AG68"/>
    <mergeCell ref="A70:G70"/>
    <mergeCell ref="H70:J70"/>
    <mergeCell ref="K70:L71"/>
    <mergeCell ref="M70:N70"/>
    <mergeCell ref="AA70:AD70"/>
    <mergeCell ref="AF70:AG70"/>
    <mergeCell ref="X70:Y70"/>
    <mergeCell ref="AI22:AJ22"/>
    <mergeCell ref="A34:G34"/>
    <mergeCell ref="H34:J34"/>
    <mergeCell ref="K34:L35"/>
    <mergeCell ref="M34:N34"/>
    <mergeCell ref="T34:V34"/>
    <mergeCell ref="X34:Y34"/>
    <mergeCell ref="AA34:AD34"/>
    <mergeCell ref="AF34:AG34"/>
    <mergeCell ref="X32:Y32"/>
    <mergeCell ref="AA32:AD32"/>
    <mergeCell ref="AF32:AG32"/>
    <mergeCell ref="H26:J26"/>
    <mergeCell ref="K26:L27"/>
    <mergeCell ref="M26:N26"/>
    <mergeCell ref="T26:V26"/>
    <mergeCell ref="X26:Y26"/>
    <mergeCell ref="AA26:AD26"/>
    <mergeCell ref="AF26:AG26"/>
    <mergeCell ref="A28:G28"/>
    <mergeCell ref="H28:J28"/>
    <mergeCell ref="X28:Y28"/>
    <mergeCell ref="AA28:AD28"/>
    <mergeCell ref="AF28:AG28"/>
    <mergeCell ref="AI54:AJ54"/>
    <mergeCell ref="A66:G66"/>
    <mergeCell ref="H66:J66"/>
    <mergeCell ref="K66:L67"/>
    <mergeCell ref="M66:N66"/>
    <mergeCell ref="P66:R66"/>
    <mergeCell ref="T66:V66"/>
    <mergeCell ref="X66:Y66"/>
    <mergeCell ref="AA66:AD66"/>
    <mergeCell ref="AF66:AG66"/>
    <mergeCell ref="M64:N64"/>
    <mergeCell ref="P64:R64"/>
    <mergeCell ref="T64:V64"/>
    <mergeCell ref="X64:Y64"/>
    <mergeCell ref="AA64:AD64"/>
    <mergeCell ref="AF64:AG64"/>
    <mergeCell ref="X60:Y60"/>
    <mergeCell ref="AA60:AD60"/>
    <mergeCell ref="AF60:AG60"/>
    <mergeCell ref="A62:G62"/>
    <mergeCell ref="H62:J62"/>
    <mergeCell ref="X62:Y62"/>
    <mergeCell ref="AA62:AD62"/>
    <mergeCell ref="AF62:AG62"/>
    <mergeCell ref="AI86:AJ86"/>
    <mergeCell ref="O83:R83"/>
    <mergeCell ref="T83:V83"/>
    <mergeCell ref="X83:Y83"/>
    <mergeCell ref="AA83:AD83"/>
    <mergeCell ref="AF83:AG83"/>
    <mergeCell ref="C85:F85"/>
    <mergeCell ref="H85:S85"/>
    <mergeCell ref="X78:Y78"/>
    <mergeCell ref="AA78:AD78"/>
    <mergeCell ref="AF78:AG78"/>
    <mergeCell ref="A80:G80"/>
    <mergeCell ref="H80:J80"/>
    <mergeCell ref="K80:L81"/>
    <mergeCell ref="M80:N80"/>
    <mergeCell ref="T80:V80"/>
    <mergeCell ref="X80:Y80"/>
    <mergeCell ref="AA80:AD80"/>
    <mergeCell ref="AF80:AG80"/>
    <mergeCell ref="P80:R80"/>
    <mergeCell ref="K78:L79"/>
    <mergeCell ref="M78:N78"/>
    <mergeCell ref="T78:V78"/>
    <mergeCell ref="P78:R78"/>
    <mergeCell ref="A98:G98"/>
    <mergeCell ref="H98:J98"/>
    <mergeCell ref="K98:L99"/>
    <mergeCell ref="M98:N98"/>
    <mergeCell ref="P98:R98"/>
    <mergeCell ref="T98:V98"/>
    <mergeCell ref="X98:Y98"/>
    <mergeCell ref="AA98:AD98"/>
    <mergeCell ref="AF98:AG98"/>
    <mergeCell ref="X94:Y94"/>
    <mergeCell ref="AA94:AD94"/>
    <mergeCell ref="AF94:AG94"/>
    <mergeCell ref="A96:G96"/>
    <mergeCell ref="H96:J96"/>
    <mergeCell ref="K96:L97"/>
    <mergeCell ref="M96:N96"/>
    <mergeCell ref="P96:R96"/>
    <mergeCell ref="T96:V96"/>
    <mergeCell ref="X96:Y96"/>
    <mergeCell ref="AA96:AD96"/>
    <mergeCell ref="AF96:AG96"/>
    <mergeCell ref="A94:G94"/>
    <mergeCell ref="H94:J94"/>
    <mergeCell ref="K94:L95"/>
    <mergeCell ref="M94:N94"/>
    <mergeCell ref="P94:R94"/>
    <mergeCell ref="AF104:AG104"/>
    <mergeCell ref="A106:G106"/>
    <mergeCell ref="H106:J106"/>
    <mergeCell ref="K106:L107"/>
    <mergeCell ref="M106:N106"/>
    <mergeCell ref="P106:R106"/>
    <mergeCell ref="T106:V106"/>
    <mergeCell ref="X106:Y106"/>
    <mergeCell ref="AA106:AD106"/>
    <mergeCell ref="AF106:AG106"/>
    <mergeCell ref="A104:G104"/>
    <mergeCell ref="H104:J104"/>
    <mergeCell ref="K104:L105"/>
    <mergeCell ref="M104:N104"/>
    <mergeCell ref="P104:R104"/>
    <mergeCell ref="T104:V104"/>
    <mergeCell ref="X104:Y104"/>
    <mergeCell ref="AA104:AD104"/>
    <mergeCell ref="A140:E140"/>
    <mergeCell ref="I140:N140"/>
    <mergeCell ref="O140:R140"/>
    <mergeCell ref="T140:V140"/>
    <mergeCell ref="X140:Y140"/>
    <mergeCell ref="AB140:AD140"/>
    <mergeCell ref="AI140:AJ140"/>
    <mergeCell ref="A142:G142"/>
    <mergeCell ref="H142:J142"/>
    <mergeCell ref="K142:L143"/>
    <mergeCell ref="M142:N142"/>
    <mergeCell ref="P142:R142"/>
    <mergeCell ref="T142:V142"/>
    <mergeCell ref="X142:Y142"/>
    <mergeCell ref="AA142:AD142"/>
    <mergeCell ref="AF142:AG142"/>
    <mergeCell ref="AI160:AJ160"/>
    <mergeCell ref="A162:G162"/>
    <mergeCell ref="H162:J162"/>
    <mergeCell ref="K162:L163"/>
    <mergeCell ref="M162:N162"/>
    <mergeCell ref="P162:R162"/>
    <mergeCell ref="T162:V162"/>
    <mergeCell ref="X162:Y162"/>
    <mergeCell ref="AA162:AD162"/>
    <mergeCell ref="AF162:AG162"/>
    <mergeCell ref="A164:G164"/>
    <mergeCell ref="H164:J164"/>
    <mergeCell ref="K164:L165"/>
    <mergeCell ref="M164:N164"/>
    <mergeCell ref="P164:R164"/>
    <mergeCell ref="T164:V164"/>
    <mergeCell ref="X164:Y164"/>
    <mergeCell ref="AA164:AD164"/>
    <mergeCell ref="AF164:AG164"/>
    <mergeCell ref="A166:G166"/>
    <mergeCell ref="H166:J166"/>
    <mergeCell ref="K166:L167"/>
    <mergeCell ref="M166:N166"/>
    <mergeCell ref="P166:R166"/>
    <mergeCell ref="T166:V166"/>
    <mergeCell ref="X166:Y166"/>
    <mergeCell ref="AA166:AD166"/>
    <mergeCell ref="AF166:AG166"/>
    <mergeCell ref="A168:G168"/>
    <mergeCell ref="H168:J168"/>
    <mergeCell ref="K168:L169"/>
    <mergeCell ref="M168:N168"/>
    <mergeCell ref="P168:R168"/>
    <mergeCell ref="T168:V168"/>
    <mergeCell ref="X168:Y168"/>
    <mergeCell ref="AA168:AD168"/>
    <mergeCell ref="AF168:AG168"/>
    <mergeCell ref="A170:G170"/>
    <mergeCell ref="H170:J170"/>
    <mergeCell ref="K170:L171"/>
    <mergeCell ref="M170:N170"/>
    <mergeCell ref="P170:R170"/>
    <mergeCell ref="T170:V170"/>
    <mergeCell ref="X170:Y170"/>
    <mergeCell ref="AA170:AD170"/>
    <mergeCell ref="AF170:AG170"/>
    <mergeCell ref="O173:R173"/>
    <mergeCell ref="T173:V173"/>
    <mergeCell ref="X173:Y173"/>
    <mergeCell ref="AA173:AD173"/>
    <mergeCell ref="AF173:AG173"/>
    <mergeCell ref="B176:M177"/>
    <mergeCell ref="O176:R176"/>
    <mergeCell ref="T176:V176"/>
    <mergeCell ref="X176:Y176"/>
    <mergeCell ref="AA176:AD176"/>
    <mergeCell ref="AF176:AG176"/>
  </mergeCells>
  <printOptions/>
  <pageMargins left="0.7" right="0.7" top="0.75" bottom="0.75" header="0.3" footer="0.3"/>
  <pageSetup fitToHeight="0" fitToWidth="1" horizontalDpi="600" verticalDpi="600" orientation="portrait" scale="65" r:id="rId2"/>
  <ignoredErrors>
    <ignoredError sqref="AL51 AM49:AM51 AM45:AM47 AM37:AM43 AM35 AM33 AM26:AM31 AL8:AM9 AL32:AM32 AL26:AL31 AL34:AM34 AL33 AL36:AM36 AL35 AL44:AM44 AL37:AL43 AL48:AM48 AL45:AL47 AL11:AM12 AL171:AM173 AM109:AM110 AM168 AL169:AM169 AM101:AM107 AM99 AM97 AM146 AM154 AL155:AM167 AL147:AM151 AL63:AM63 AM80 AM68 AM69:AM73 AM75 AM74 AM77 AM76 AM79 AM78 AL81:AM83 AL79 AL77 AM152 AL153:AM153 AL75 AL69:AL73 AM66 AL67:AM67 AM64 AL65:AM65 AM60 AL61:AM61 AM58 AL59:AM59 AM56 AL134:AM134 AL135:AM136 AM90:AM95 AM142 AL143:AM145 AM137 AM132 AM126 AL117:AM125 AL127:AM131 AL126 AL133:AM133 AL138:AM141 AL137 AL115:AM116 AL57:AM57 AL52:AM55 AL58 AL142 AL132 AL146 AL96:AM96 AL90:AL95 AL56 AL60 AL62:AM62 AL66 AL64 AL68 AL74 AL76 AL154 AL152 AL78 AL80 AL84:AM89 AL168 AL98:AM98 AL97 AL100:AM100 AL99 AL108:AM108 AL101:AL107 AL170:AM170 AL111:AM114 AL109:AL110 AM10 AL14:AM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Purpose Charge: PPC-03-31-2018 Oregon Energy Assistance</dc:title>
  <dc:subject/>
  <dc:creator>Kathryn Nordhill</dc:creator>
  <cp:keywords>Public Purpose Charge: PPC-03-31-2018 Oregon Energy Assistance</cp:keywords>
  <dc:description/>
  <cp:lastModifiedBy>Suzanne Harris</cp:lastModifiedBy>
  <cp:lastPrinted>2018-03-27T15:35:08Z</cp:lastPrinted>
  <dcterms:created xsi:type="dcterms:W3CDTF">2002-10-14T20:54:40Z</dcterms:created>
  <dcterms:modified xsi:type="dcterms:W3CDTF">2018-07-03T20:06:32Z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Loca">
    <vt:lpwstr>en</vt:lpwstr>
  </property>
  <property fmtid="{D5CDD505-2E9C-101B-9397-08002B2CF9AE}" pid="4" name="CopyToStateL">
    <vt:lpwstr>0</vt:lpwstr>
  </property>
  <property fmtid="{D5CDD505-2E9C-101B-9397-08002B2CF9AE}" pid="5" name="Metada">
    <vt:lpwstr>Public Purpose Charge: PPC-03-31-2018 Oregon Energy Assistance</vt:lpwstr>
  </property>
  <property fmtid="{D5CDD505-2E9C-101B-9397-08002B2CF9AE}" pid="6" name="RoutingRuleDescripti">
    <vt:lpwstr>Public Purpose Charge: PPC-03-31-2018 Oregon Energy Assistance</vt:lpwstr>
  </property>
</Properties>
</file>