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315" windowHeight="5025" activeTab="1"/>
  </bookViews>
  <sheets>
    <sheet name="BLANK TEMPLATE" sheetId="1" r:id="rId1"/>
    <sheet name="EXAMPLE" sheetId="2" r:id="rId2"/>
    <sheet name="INSTRUCTIONS" sheetId="3" r:id="rId3"/>
  </sheets>
  <definedNames/>
  <calcPr fullCalcOnLoad="1"/>
</workbook>
</file>

<file path=xl/sharedStrings.xml><?xml version="1.0" encoding="utf-8"?>
<sst xmlns="http://schemas.openxmlformats.org/spreadsheetml/2006/main" count="275" uniqueCount="86">
  <si>
    <t>- YELLOW CELLS ARE FOR DATA INPUT</t>
  </si>
  <si>
    <t>- GREEN CELLS ARE DATA OUTPUT OR CONSTANTS</t>
  </si>
  <si>
    <t>CREW</t>
  </si>
  <si>
    <t>DATE:</t>
  </si>
  <si>
    <t xml:space="preserve"> +/- mm =</t>
  </si>
  <si>
    <t>BASELINE DESIGNATION:</t>
  </si>
  <si>
    <t>STATION =</t>
  </si>
  <si>
    <t>1X</t>
  </si>
  <si>
    <t>3X</t>
  </si>
  <si>
    <t>NOTES</t>
  </si>
  <si>
    <t>BATTERY:</t>
  </si>
  <si>
    <t>ppm =</t>
  </si>
  <si>
    <t>1 =</t>
  </si>
  <si>
    <t>INST.</t>
  </si>
  <si>
    <t xml:space="preserve">      THEODOLITE:</t>
  </si>
  <si>
    <t>2 =</t>
  </si>
  <si>
    <t>ROD</t>
  </si>
  <si>
    <t>SKY</t>
  </si>
  <si>
    <t xml:space="preserve">                      PRECIP</t>
  </si>
  <si>
    <t xml:space="preserve">             WIND</t>
  </si>
  <si>
    <t>MAKE:</t>
  </si>
  <si>
    <t>3 =</t>
  </si>
  <si>
    <t>WEATHER</t>
  </si>
  <si>
    <t>MODEL:</t>
  </si>
  <si>
    <t>4 =</t>
  </si>
  <si>
    <t>SERIAL # :</t>
  </si>
  <si>
    <t>5 =</t>
  </si>
  <si>
    <t>STATION</t>
  </si>
  <si>
    <t>STA. ELEV.</t>
  </si>
  <si>
    <t xml:space="preserve">H.I. </t>
  </si>
  <si>
    <t>H.R.</t>
  </si>
  <si>
    <t>INST. ELEV</t>
  </si>
  <si>
    <t>TGT. ELEV.</t>
  </si>
  <si>
    <r>
      <t>TEMP (</t>
    </r>
    <r>
      <rPr>
        <vertAlign val="superscript"/>
        <sz val="8"/>
        <rFont val="Arial"/>
        <family val="2"/>
      </rPr>
      <t>o</t>
    </r>
    <r>
      <rPr>
        <sz val="8"/>
        <rFont val="Arial"/>
        <family val="2"/>
      </rPr>
      <t>C)</t>
    </r>
  </si>
  <si>
    <t>PRES. (mbar)</t>
  </si>
  <si>
    <t>x</t>
  </si>
  <si>
    <t>a</t>
  </si>
  <si>
    <t>h</t>
  </si>
  <si>
    <t>CALC. PPM</t>
  </si>
  <si>
    <t>6 =</t>
  </si>
  <si>
    <t xml:space="preserve">                EDM:</t>
  </si>
  <si>
    <t>7 =</t>
  </si>
  <si>
    <t>8 =</t>
  </si>
  <si>
    <t>9 =</t>
  </si>
  <si>
    <t>10 =</t>
  </si>
  <si>
    <t>MEAN =</t>
  </si>
  <si>
    <t>CALC.</t>
  </si>
  <si>
    <t>SIGMA</t>
  </si>
  <si>
    <t>STA. =</t>
  </si>
  <si>
    <t>AIR DIST.</t>
  </si>
  <si>
    <t>TO</t>
  </si>
  <si>
    <t>REC. DIST #1=</t>
  </si>
  <si>
    <t>FROM</t>
  </si>
  <si>
    <t>ELEV. DIFF. #1=</t>
  </si>
  <si>
    <t>SLOPE DIST =</t>
  </si>
  <si>
    <t>SIGMA =</t>
  </si>
  <si>
    <t>REC. DIST #2=</t>
  </si>
  <si>
    <t>ELEV. DIFF. #2=</t>
  </si>
  <si>
    <t>DISCREPANCY</t>
  </si>
  <si>
    <t xml:space="preserve">       LINEAR ERROR</t>
  </si>
  <si>
    <t>REC DIST. #3 =</t>
  </si>
  <si>
    <t>mm</t>
  </si>
  <si>
    <t xml:space="preserve"> </t>
  </si>
  <si>
    <t>ELEV. DIFF. #3=</t>
  </si>
  <si>
    <t xml:space="preserve">       PROPORTION</t>
  </si>
  <si>
    <t>ppm</t>
  </si>
  <si>
    <t>REMARKS:</t>
  </si>
  <si>
    <t>John Q. Writer</t>
  </si>
  <si>
    <t>James Sighter</t>
  </si>
  <si>
    <t>Jane Walker</t>
  </si>
  <si>
    <t>7/22/2002</t>
  </si>
  <si>
    <t>#1A</t>
  </si>
  <si>
    <t>Bandon</t>
  </si>
  <si>
    <t>CLEAR</t>
  </si>
  <si>
    <t>NONE</t>
  </si>
  <si>
    <t>LIGHT</t>
  </si>
  <si>
    <t>Wild</t>
  </si>
  <si>
    <t>TCA1800</t>
  </si>
  <si>
    <t>N/A</t>
  </si>
  <si>
    <t>HOW TO USE BASELINE SPREADSHEET:</t>
  </si>
  <si>
    <t>Step By Step Instructions for Use of Baseline Spreadsheet:</t>
  </si>
  <si>
    <t>NOTE:  The green cells are "locked", which means they are write protected.  If you really feel you need to modify a green cell, go to TOOLS - PROTECTION - UNPROTECT SHEET.  Don't forget to protect the sheet again after you make any changes to avoid accidental over-writing of formulas!</t>
  </si>
  <si>
    <t>Refer to the sheet entitled "EXAMPLE" to see what a finished baseline sheet looks like.</t>
  </si>
  <si>
    <t>1)  Make a copy of the sheet entitled "BLANK TEMPLATE".  To do this, go to EDIT - MOVE OR COPY SHEET and be sure to click the box at the bottom that says "CREATE A COPY".  Your copied sheet will be named "BLANK TEMPLATE (2)".  You will want to change the name of this sheet to something logical, such as the date.</t>
  </si>
  <si>
    <t>3)  You are now ready to measure and record your ten slope distance measurements to each of the three baseline stations.  Once you have input all of your slope distances, the green cells will indicate whether your EDM "passes" or "fails".  The discrepancy is shown in mm at the bottom and also indicates whether it is measuring "long" or "short".</t>
  </si>
  <si>
    <t xml:space="preserve">2)  Once you have your sheet copied and logically named, you are ready to input your data.  The yellow cells are for data input.  You will need to know the Station Names, Elevations, and Record Distances for the 3 stations on your baseline for input in the left column.  'Record Distance' is the value from the 'Oregon Calibration Baseline Results' data sheet under the column heading "ADJ. DIST. (M) HORIZONTAL".  Record your weather conditions.  Enter the PPM and +/-mm (these are specific for your instrument and are provided by the manufacturer) .  Also record your HI and your HR for your three baseline stations.  Measure and record the temperature and pressure in degrees Celsius and mbars.  This sheet in set up for Metric Units ONLY!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</si>
</sst>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
    <numFmt numFmtId="168" formatCode="0.000000"/>
  </numFmts>
  <fonts count="10">
    <font>
      <sz val="10"/>
      <name val="Arial"/>
      <family val="0"/>
    </font>
    <font>
      <b/>
      <sz val="10"/>
      <name val="Arial"/>
      <family val="0"/>
    </font>
    <font>
      <i/>
      <sz val="10"/>
      <name val="Arial"/>
      <family val="0"/>
    </font>
    <font>
      <b/>
      <i/>
      <sz val="10"/>
      <name val="Arial"/>
      <family val="0"/>
    </font>
    <font>
      <sz val="8"/>
      <name val="Arial"/>
      <family val="2"/>
    </font>
    <font>
      <sz val="10"/>
      <color indexed="8"/>
      <name val="Arial"/>
      <family val="2"/>
    </font>
    <font>
      <vertAlign val="superscript"/>
      <sz val="8"/>
      <name val="Arial"/>
      <family val="2"/>
    </font>
    <font>
      <b/>
      <sz val="12"/>
      <name val="Arial"/>
      <family val="2"/>
    </font>
    <font>
      <sz val="12"/>
      <name val="Arial"/>
      <family val="2"/>
    </font>
    <font>
      <b/>
      <sz val="12"/>
      <color indexed="10"/>
      <name val="Arial"/>
      <family val="2"/>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lightDown">
        <bgColor indexed="43"/>
      </patternFill>
    </fill>
    <fill>
      <patternFill patternType="lightDown">
        <bgColor indexed="42"/>
      </patternFill>
    </fill>
  </fills>
  <borders count="48">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style="thin"/>
      <bottom style="thin"/>
    </border>
    <border>
      <left>
        <color indexed="63"/>
      </left>
      <right style="medium"/>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thin"/>
      <bottom style="thin"/>
    </border>
    <border>
      <left style="thin"/>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style="thin"/>
    </border>
    <border>
      <left style="medium"/>
      <right style="thin"/>
      <top style="medium"/>
      <bottom style="medium"/>
    </border>
    <border>
      <left style="medium"/>
      <right style="thin"/>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165" fontId="0" fillId="0" borderId="0" xfId="0" applyNumberFormat="1" applyAlignment="1">
      <alignment horizontal="center"/>
    </xf>
    <xf numFmtId="0" fontId="4" fillId="0" borderId="0" xfId="0" applyFont="1" applyAlignment="1">
      <alignment/>
    </xf>
    <xf numFmtId="165" fontId="5" fillId="2" borderId="1" xfId="0" applyNumberFormat="1" applyFont="1" applyFill="1" applyBorder="1" applyAlignment="1">
      <alignment horizontal="center"/>
    </xf>
    <xf numFmtId="0" fontId="0" fillId="0" borderId="0" xfId="0" applyBorder="1" applyAlignment="1">
      <alignment horizontal="center"/>
    </xf>
    <xf numFmtId="165" fontId="0" fillId="0" borderId="0" xfId="0" applyNumberFormat="1" applyFill="1" applyBorder="1" applyAlignment="1">
      <alignment horizontal="center"/>
    </xf>
    <xf numFmtId="0" fontId="0" fillId="3" borderId="0" xfId="0" applyFill="1" applyAlignment="1">
      <alignment/>
    </xf>
    <xf numFmtId="165" fontId="4" fillId="2" borderId="2" xfId="0" applyNumberFormat="1" applyFont="1" applyFill="1" applyBorder="1" applyAlignment="1" applyProtection="1">
      <alignment horizontal="center"/>
      <protection/>
    </xf>
    <xf numFmtId="0" fontId="4" fillId="0" borderId="0" xfId="0" applyFont="1" applyAlignment="1">
      <alignment horizontal="right"/>
    </xf>
    <xf numFmtId="0" fontId="0" fillId="0" borderId="0" xfId="0" applyAlignment="1">
      <alignment horizontal="center"/>
    </xf>
    <xf numFmtId="1" fontId="0" fillId="2" borderId="2" xfId="0" applyNumberFormat="1" applyFill="1" applyBorder="1" applyAlignment="1" applyProtection="1">
      <alignment horizontal="center"/>
      <protection/>
    </xf>
    <xf numFmtId="0" fontId="4" fillId="0" borderId="0" xfId="0" applyFont="1" applyAlignment="1">
      <alignment horizontal="center"/>
    </xf>
    <xf numFmtId="0" fontId="0" fillId="2" borderId="3" xfId="0" applyFill="1" applyBorder="1" applyAlignment="1">
      <alignment/>
    </xf>
    <xf numFmtId="0" fontId="0" fillId="2" borderId="4" xfId="0" applyFill="1" applyBorder="1" applyAlignment="1">
      <alignment/>
    </xf>
    <xf numFmtId="0" fontId="0" fillId="4" borderId="5" xfId="0" applyFill="1" applyBorder="1" applyAlignment="1" applyProtection="1">
      <alignment/>
      <protection locked="0"/>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0" fontId="0" fillId="4" borderId="8" xfId="0" applyFill="1" applyBorder="1" applyAlignment="1" applyProtection="1">
      <alignment/>
      <protection locked="0"/>
    </xf>
    <xf numFmtId="0" fontId="4" fillId="0" borderId="0" xfId="0" applyFont="1" applyFill="1" applyBorder="1" applyAlignment="1">
      <alignment horizontal="center"/>
    </xf>
    <xf numFmtId="0" fontId="0" fillId="0" borderId="0" xfId="0" applyFill="1" applyBorder="1" applyAlignment="1" applyProtection="1">
      <alignment/>
      <protection locked="0"/>
    </xf>
    <xf numFmtId="0" fontId="0" fillId="0" borderId="0" xfId="0" applyFill="1" applyAlignment="1">
      <alignment/>
    </xf>
    <xf numFmtId="0" fontId="4" fillId="0" borderId="0" xfId="0" applyFont="1" applyFill="1" applyAlignment="1">
      <alignment horizontal="center"/>
    </xf>
    <xf numFmtId="0" fontId="0" fillId="0" borderId="0" xfId="0" applyFill="1" applyBorder="1" applyAlignment="1" applyProtection="1">
      <alignment horizontal="center"/>
      <protection locked="0"/>
    </xf>
    <xf numFmtId="0" fontId="4" fillId="0" borderId="3"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9"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9" xfId="0" applyFont="1" applyBorder="1" applyAlignment="1" applyProtection="1" quotePrefix="1">
      <alignment horizontal="center"/>
      <protection/>
    </xf>
    <xf numFmtId="0" fontId="0" fillId="0" borderId="0" xfId="0" applyFill="1" applyBorder="1" applyAlignment="1">
      <alignment/>
    </xf>
    <xf numFmtId="0" fontId="4" fillId="0" borderId="0" xfId="0" applyFont="1" applyFill="1" applyBorder="1" applyAlignment="1">
      <alignment/>
    </xf>
    <xf numFmtId="0" fontId="4" fillId="0" borderId="11" xfId="0" applyFont="1" applyFill="1" applyBorder="1" applyAlignment="1">
      <alignment horizontal="center"/>
    </xf>
    <xf numFmtId="0" fontId="0" fillId="0" borderId="7" xfId="0" applyFill="1" applyBorder="1" applyAlignment="1" applyProtection="1">
      <alignment/>
      <protection locked="0"/>
    </xf>
    <xf numFmtId="0" fontId="4" fillId="4" borderId="12" xfId="0" applyFont="1" applyFill="1" applyBorder="1" applyAlignment="1" applyProtection="1">
      <alignment horizontal="center"/>
      <protection locked="0"/>
    </xf>
    <xf numFmtId="0" fontId="0" fillId="0" borderId="13" xfId="0" applyBorder="1" applyAlignment="1">
      <alignment/>
    </xf>
    <xf numFmtId="0" fontId="4" fillId="4" borderId="10" xfId="0" applyFont="1" applyFill="1" applyBorder="1" applyAlignment="1" applyProtection="1">
      <alignment horizontal="center"/>
      <protection locked="0"/>
    </xf>
    <xf numFmtId="165" fontId="0" fillId="4" borderId="4" xfId="0" applyNumberFormat="1" applyFill="1" applyBorder="1" applyAlignment="1" applyProtection="1">
      <alignment horizontal="center"/>
      <protection locked="0"/>
    </xf>
    <xf numFmtId="0" fontId="4" fillId="2" borderId="1" xfId="0" applyFont="1" applyFill="1" applyBorder="1" applyAlignment="1" applyProtection="1">
      <alignment horizontal="center"/>
      <protection/>
    </xf>
    <xf numFmtId="0" fontId="4" fillId="2" borderId="6" xfId="0" applyFont="1" applyFill="1" applyBorder="1" applyAlignment="1">
      <alignment/>
    </xf>
    <xf numFmtId="1" fontId="0" fillId="2" borderId="2" xfId="0" applyNumberFormat="1" applyFont="1" applyFill="1" applyBorder="1" applyAlignment="1" applyProtection="1">
      <alignment horizontal="center"/>
      <protection/>
    </xf>
    <xf numFmtId="165" fontId="4" fillId="2" borderId="1"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horizontal="right"/>
      <protection/>
    </xf>
    <xf numFmtId="0" fontId="0" fillId="2" borderId="2" xfId="0" applyFont="1" applyFill="1" applyBorder="1" applyAlignment="1" applyProtection="1">
      <alignment horizontal="center"/>
      <protection/>
    </xf>
    <xf numFmtId="0" fontId="0" fillId="2" borderId="14" xfId="0" applyFont="1" applyFill="1" applyBorder="1" applyAlignment="1" applyProtection="1">
      <alignment horizontal="center"/>
      <protection/>
    </xf>
    <xf numFmtId="0" fontId="4" fillId="2" borderId="14" xfId="0" applyFont="1" applyFill="1" applyBorder="1" applyAlignment="1" applyProtection="1">
      <alignment horizontal="center"/>
      <protection/>
    </xf>
    <xf numFmtId="1" fontId="4" fillId="2" borderId="2" xfId="0" applyNumberFormat="1" applyFont="1" applyFill="1" applyBorder="1" applyAlignment="1" applyProtection="1">
      <alignment horizontal="center"/>
      <protection/>
    </xf>
    <xf numFmtId="1" fontId="4" fillId="2" borderId="1" xfId="0" applyNumberFormat="1" applyFont="1" applyFill="1" applyBorder="1" applyAlignment="1" applyProtection="1">
      <alignment horizontal="center"/>
      <protection/>
    </xf>
    <xf numFmtId="0" fontId="4" fillId="2" borderId="3" xfId="0" applyFont="1" applyFill="1" applyBorder="1" applyAlignment="1" applyProtection="1">
      <alignment horizontal="center"/>
      <protection/>
    </xf>
    <xf numFmtId="0" fontId="4" fillId="2" borderId="15" xfId="0" applyFont="1" applyFill="1" applyBorder="1" applyAlignment="1">
      <alignment/>
    </xf>
    <xf numFmtId="0" fontId="4" fillId="2" borderId="8" xfId="0" applyFont="1" applyFill="1" applyBorder="1" applyAlignment="1">
      <alignment/>
    </xf>
    <xf numFmtId="0" fontId="4" fillId="2" borderId="16" xfId="0" applyFont="1" applyFill="1" applyBorder="1" applyAlignment="1">
      <alignment/>
    </xf>
    <xf numFmtId="1" fontId="4" fillId="2" borderId="12" xfId="0" applyNumberFormat="1" applyFont="1" applyFill="1" applyBorder="1" applyAlignment="1">
      <alignment horizontal="center"/>
    </xf>
    <xf numFmtId="0" fontId="4" fillId="2" borderId="17" xfId="0" applyFont="1" applyFill="1" applyBorder="1" applyAlignment="1">
      <alignment/>
    </xf>
    <xf numFmtId="0" fontId="0" fillId="2" borderId="18" xfId="0" applyFill="1" applyBorder="1" applyAlignment="1">
      <alignment/>
    </xf>
    <xf numFmtId="0" fontId="4" fillId="2" borderId="18" xfId="0" applyFont="1" applyFill="1" applyBorder="1" applyAlignment="1">
      <alignment horizontal="center"/>
    </xf>
    <xf numFmtId="0" fontId="0" fillId="2" borderId="19" xfId="0" applyFill="1" applyBorder="1" applyAlignment="1">
      <alignment/>
    </xf>
    <xf numFmtId="164" fontId="4" fillId="2" borderId="20" xfId="0" applyNumberFormat="1" applyFont="1" applyFill="1" applyBorder="1" applyAlignment="1">
      <alignment horizontal="center"/>
    </xf>
    <xf numFmtId="0" fontId="4" fillId="2" borderId="21" xfId="0" applyFont="1" applyFill="1" applyBorder="1" applyAlignment="1">
      <alignment/>
    </xf>
    <xf numFmtId="0" fontId="4" fillId="2" borderId="22" xfId="0" applyFont="1" applyFill="1" applyBorder="1" applyAlignment="1">
      <alignment/>
    </xf>
    <xf numFmtId="166" fontId="0" fillId="4" borderId="23" xfId="0" applyNumberFormat="1" applyFont="1" applyFill="1" applyBorder="1" applyAlignment="1" applyProtection="1">
      <alignment horizontal="center"/>
      <protection locked="0"/>
    </xf>
    <xf numFmtId="166" fontId="0" fillId="2" borderId="23" xfId="0" applyNumberFormat="1" applyFont="1" applyFill="1" applyBorder="1" applyAlignment="1" applyProtection="1">
      <alignment horizontal="center"/>
      <protection/>
    </xf>
    <xf numFmtId="166" fontId="0" fillId="4" borderId="24" xfId="0" applyNumberFormat="1" applyFont="1" applyFill="1" applyBorder="1" applyAlignment="1" applyProtection="1">
      <alignment horizontal="center"/>
      <protection locked="0"/>
    </xf>
    <xf numFmtId="0" fontId="0" fillId="4" borderId="23" xfId="0" applyFont="1" applyFill="1" applyBorder="1" applyAlignment="1" applyProtection="1">
      <alignment horizontal="center"/>
      <protection locked="0"/>
    </xf>
    <xf numFmtId="0" fontId="0" fillId="4" borderId="24" xfId="0" applyFont="1" applyFill="1" applyBorder="1" applyAlignment="1" applyProtection="1">
      <alignment horizontal="center"/>
      <protection locked="0"/>
    </xf>
    <xf numFmtId="0" fontId="0" fillId="0" borderId="0" xfId="0" applyFont="1" applyAlignment="1">
      <alignment/>
    </xf>
    <xf numFmtId="0" fontId="0" fillId="0" borderId="0" xfId="0" applyFont="1" applyAlignment="1">
      <alignment/>
    </xf>
    <xf numFmtId="166" fontId="0" fillId="5" borderId="23" xfId="0" applyNumberFormat="1" applyFont="1" applyFill="1" applyBorder="1" applyAlignment="1" applyProtection="1">
      <alignment horizontal="center"/>
      <protection/>
    </xf>
    <xf numFmtId="166" fontId="0" fillId="5" borderId="24" xfId="0" applyNumberFormat="1" applyFont="1" applyFill="1" applyBorder="1" applyAlignment="1" applyProtection="1">
      <alignment horizontal="center"/>
      <protection/>
    </xf>
    <xf numFmtId="166" fontId="0" fillId="6" borderId="23" xfId="0" applyNumberFormat="1" applyFont="1" applyFill="1" applyBorder="1" applyAlignment="1" applyProtection="1">
      <alignment horizontal="center"/>
      <protection/>
    </xf>
    <xf numFmtId="166" fontId="0" fillId="6" borderId="24" xfId="0" applyNumberFormat="1" applyFont="1" applyFill="1" applyBorder="1" applyAlignment="1" applyProtection="1">
      <alignment horizontal="center"/>
      <protection/>
    </xf>
    <xf numFmtId="165" fontId="0" fillId="0" borderId="0" xfId="0" applyNumberFormat="1" applyAlignment="1">
      <alignment horizontal="right"/>
    </xf>
    <xf numFmtId="0" fontId="0" fillId="0" borderId="0" xfId="0" applyFont="1" applyAlignment="1">
      <alignment horizontal="right"/>
    </xf>
    <xf numFmtId="0" fontId="0" fillId="0" borderId="0" xfId="0" applyFont="1" applyAlignment="1" applyProtection="1">
      <alignment horizontal="right"/>
      <protection/>
    </xf>
    <xf numFmtId="0" fontId="0" fillId="3" borderId="0" xfId="0" applyFont="1" applyFill="1" applyAlignment="1">
      <alignment/>
    </xf>
    <xf numFmtId="0" fontId="0" fillId="0" borderId="0" xfId="0" applyFont="1" applyFill="1" applyBorder="1" applyAlignment="1">
      <alignment/>
    </xf>
    <xf numFmtId="164" fontId="0" fillId="2" borderId="1" xfId="0" applyNumberFormat="1" applyFont="1" applyFill="1" applyBorder="1" applyAlignment="1">
      <alignment horizontal="center"/>
    </xf>
    <xf numFmtId="164" fontId="0" fillId="0" borderId="0" xfId="0" applyNumberFormat="1" applyFont="1" applyAlignment="1">
      <alignment/>
    </xf>
    <xf numFmtId="165" fontId="0" fillId="0" borderId="0" xfId="0" applyNumberFormat="1" applyFont="1" applyBorder="1" applyAlignment="1">
      <alignment/>
    </xf>
    <xf numFmtId="165" fontId="0" fillId="2" borderId="1" xfId="0" applyNumberFormat="1" applyFont="1" applyFill="1" applyBorder="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0" fontId="0" fillId="0" borderId="1" xfId="0" applyFont="1" applyBorder="1" applyAlignment="1">
      <alignment horizontal="center"/>
    </xf>
    <xf numFmtId="165" fontId="4" fillId="4" borderId="25" xfId="0" applyNumberFormat="1" applyFont="1" applyFill="1" applyBorder="1" applyAlignment="1" applyProtection="1">
      <alignment horizontal="center"/>
      <protection locked="0"/>
    </xf>
    <xf numFmtId="165" fontId="4" fillId="2" borderId="26" xfId="0" applyNumberFormat="1" applyFont="1" applyFill="1" applyBorder="1" applyAlignment="1" applyProtection="1">
      <alignment horizontal="center"/>
      <protection/>
    </xf>
    <xf numFmtId="165" fontId="4" fillId="4" borderId="27" xfId="0" applyNumberFormat="1" applyFont="1" applyFill="1" applyBorder="1" applyAlignment="1" applyProtection="1">
      <alignment horizontal="center"/>
      <protection locked="0"/>
    </xf>
    <xf numFmtId="0" fontId="4" fillId="2" borderId="28" xfId="0" applyFont="1" applyFill="1" applyBorder="1" applyAlignment="1" applyProtection="1">
      <alignment horizontal="center"/>
      <protection/>
    </xf>
    <xf numFmtId="0" fontId="0" fillId="5" borderId="23" xfId="0" applyFont="1" applyFill="1" applyBorder="1" applyAlignment="1" applyProtection="1">
      <alignment/>
      <protection/>
    </xf>
    <xf numFmtId="1" fontId="0" fillId="2" borderId="9" xfId="0" applyNumberFormat="1" applyFill="1" applyBorder="1" applyAlignment="1" applyProtection="1">
      <alignment horizontal="center"/>
      <protection/>
    </xf>
    <xf numFmtId="1" fontId="0" fillId="2" borderId="29" xfId="0" applyNumberFormat="1" applyFill="1" applyBorder="1" applyAlignment="1" applyProtection="1">
      <alignment horizontal="center"/>
      <protection/>
    </xf>
    <xf numFmtId="1" fontId="0" fillId="2" borderId="29" xfId="0" applyNumberFormat="1" applyFont="1" applyFill="1" applyBorder="1" applyAlignment="1" applyProtection="1">
      <alignment horizontal="center"/>
      <protection/>
    </xf>
    <xf numFmtId="0" fontId="0" fillId="2" borderId="9"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0" fillId="0" borderId="0" xfId="0" applyBorder="1" applyAlignment="1">
      <alignment/>
    </xf>
    <xf numFmtId="0" fontId="0" fillId="0" borderId="3" xfId="0" applyBorder="1" applyAlignment="1">
      <alignment horizontal="right"/>
    </xf>
    <xf numFmtId="0" fontId="0" fillId="2" borderId="30" xfId="0" applyFill="1" applyBorder="1" applyAlignment="1">
      <alignment horizontal="left"/>
    </xf>
    <xf numFmtId="0" fontId="0" fillId="2" borderId="31" xfId="0" applyFill="1" applyBorder="1" applyAlignment="1" applyProtection="1">
      <alignment horizontal="center"/>
      <protection/>
    </xf>
    <xf numFmtId="0" fontId="0" fillId="2" borderId="32" xfId="0" applyFill="1" applyBorder="1" applyAlignment="1" applyProtection="1">
      <alignment horizontal="center"/>
      <protection/>
    </xf>
    <xf numFmtId="0" fontId="0" fillId="2" borderId="11" xfId="0" applyFill="1" applyBorder="1" applyAlignment="1" applyProtection="1">
      <alignment horizontal="center"/>
      <protection/>
    </xf>
    <xf numFmtId="0" fontId="0" fillId="4" borderId="33" xfId="0" applyFill="1" applyBorder="1" applyAlignment="1" applyProtection="1">
      <alignment/>
      <protection locked="0"/>
    </xf>
    <xf numFmtId="0" fontId="0" fillId="4" borderId="34" xfId="0" applyFill="1" applyBorder="1" applyAlignment="1" applyProtection="1">
      <alignment/>
      <protection locked="0"/>
    </xf>
    <xf numFmtId="0" fontId="0" fillId="4" borderId="35" xfId="0" applyFill="1" applyBorder="1" applyAlignment="1" applyProtection="1">
      <alignment/>
      <protection locked="0"/>
    </xf>
    <xf numFmtId="0" fontId="0" fillId="4" borderId="28" xfId="0" applyFill="1" applyBorder="1" applyAlignment="1" applyProtection="1">
      <alignment/>
      <protection locked="0"/>
    </xf>
    <xf numFmtId="0" fontId="0" fillId="4" borderId="3" xfId="0" applyFill="1" applyBorder="1" applyAlignment="1" applyProtection="1">
      <alignment/>
      <protection locked="0"/>
    </xf>
    <xf numFmtId="0" fontId="0" fillId="4" borderId="4" xfId="0" applyFill="1" applyBorder="1" applyAlignment="1" applyProtection="1">
      <alignment/>
      <protection locked="0"/>
    </xf>
    <xf numFmtId="0" fontId="0" fillId="4" borderId="36" xfId="0" applyFill="1" applyBorder="1" applyAlignment="1" applyProtection="1">
      <alignment horizontal="center"/>
      <protection locked="0"/>
    </xf>
    <xf numFmtId="0" fontId="0" fillId="4" borderId="37" xfId="0" applyFill="1" applyBorder="1" applyAlignment="1" applyProtection="1">
      <alignment horizontal="center"/>
      <protection locked="0"/>
    </xf>
    <xf numFmtId="165" fontId="0" fillId="4" borderId="38" xfId="0" applyNumberFormat="1" applyFont="1" applyFill="1" applyBorder="1" applyAlignment="1" applyProtection="1">
      <alignment horizontal="center"/>
      <protection locked="0"/>
    </xf>
    <xf numFmtId="165" fontId="0" fillId="2" borderId="39" xfId="0" applyNumberFormat="1" applyFont="1" applyFill="1" applyBorder="1" applyAlignment="1">
      <alignment horizontal="center"/>
    </xf>
    <xf numFmtId="165" fontId="0" fillId="2" borderId="40" xfId="0" applyNumberFormat="1"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165" fontId="0" fillId="0" borderId="1" xfId="0" applyNumberFormat="1" applyFont="1" applyBorder="1" applyAlignment="1">
      <alignment horizontal="center"/>
    </xf>
    <xf numFmtId="0" fontId="0" fillId="2" borderId="23" xfId="0" applyFont="1" applyFill="1" applyBorder="1" applyAlignment="1">
      <alignment horizontal="center"/>
    </xf>
    <xf numFmtId="0" fontId="0" fillId="2" borderId="42" xfId="0" applyFont="1" applyFill="1" applyBorder="1" applyAlignment="1">
      <alignment horizontal="center"/>
    </xf>
    <xf numFmtId="0" fontId="0" fillId="0" borderId="9" xfId="0" applyFont="1" applyBorder="1" applyAlignment="1" applyProtection="1">
      <alignment horizontal="center"/>
      <protection/>
    </xf>
    <xf numFmtId="0" fontId="0" fillId="6" borderId="20" xfId="0" applyFont="1" applyFill="1" applyBorder="1" applyAlignment="1" applyProtection="1">
      <alignment horizontal="center"/>
      <protection/>
    </xf>
    <xf numFmtId="0" fontId="0" fillId="6" borderId="23" xfId="0" applyFont="1" applyFill="1" applyBorder="1" applyAlignment="1" applyProtection="1">
      <alignment/>
      <protection/>
    </xf>
    <xf numFmtId="0" fontId="0" fillId="6" borderId="6" xfId="0" applyFont="1" applyFill="1" applyBorder="1" applyAlignment="1" applyProtection="1">
      <alignment/>
      <protection/>
    </xf>
    <xf numFmtId="166" fontId="0" fillId="2" borderId="20" xfId="0" applyNumberFormat="1" applyFont="1" applyFill="1" applyBorder="1" applyAlignment="1" applyProtection="1">
      <alignment horizontal="center"/>
      <protection/>
    </xf>
    <xf numFmtId="168" fontId="0" fillId="2" borderId="23" xfId="0" applyNumberFormat="1" applyFont="1" applyFill="1" applyBorder="1" applyAlignment="1">
      <alignment horizontal="center"/>
    </xf>
    <xf numFmtId="166" fontId="0" fillId="2" borderId="23" xfId="0" applyNumberFormat="1" applyFont="1" applyFill="1" applyBorder="1" applyAlignment="1">
      <alignment horizontal="center"/>
    </xf>
    <xf numFmtId="1" fontId="0" fillId="2" borderId="6" xfId="0" applyNumberFormat="1" applyFont="1" applyFill="1" applyBorder="1" applyAlignment="1">
      <alignment horizontal="center"/>
    </xf>
    <xf numFmtId="166" fontId="0" fillId="2" borderId="12" xfId="0" applyNumberFormat="1" applyFont="1" applyFill="1" applyBorder="1" applyAlignment="1" applyProtection="1">
      <alignment horizontal="center"/>
      <protection/>
    </xf>
    <xf numFmtId="168" fontId="0" fillId="2" borderId="24" xfId="0" applyNumberFormat="1" applyFont="1" applyFill="1" applyBorder="1" applyAlignment="1">
      <alignment horizontal="center"/>
    </xf>
    <xf numFmtId="166" fontId="0" fillId="2" borderId="24" xfId="0" applyNumberFormat="1" applyFont="1" applyFill="1" applyBorder="1" applyAlignment="1">
      <alignment horizontal="center"/>
    </xf>
    <xf numFmtId="0" fontId="0" fillId="2" borderId="24" xfId="0" applyFont="1" applyFill="1" applyBorder="1" applyAlignment="1">
      <alignment horizontal="center"/>
    </xf>
    <xf numFmtId="1" fontId="0" fillId="2" borderId="8" xfId="0" applyNumberFormat="1" applyFont="1" applyFill="1" applyBorder="1" applyAlignment="1">
      <alignment horizontal="center"/>
    </xf>
    <xf numFmtId="0" fontId="0" fillId="0" borderId="3" xfId="0" applyFont="1" applyBorder="1" applyAlignment="1">
      <alignment horizontal="center"/>
    </xf>
    <xf numFmtId="0" fontId="0" fillId="0" borderId="30" xfId="0" applyFont="1" applyBorder="1" applyAlignment="1">
      <alignment horizontal="center"/>
    </xf>
    <xf numFmtId="0" fontId="0" fillId="0" borderId="30" xfId="0" applyFont="1" applyBorder="1" applyAlignment="1">
      <alignment/>
    </xf>
    <xf numFmtId="0" fontId="0" fillId="0" borderId="10" xfId="0" applyFont="1" applyBorder="1" applyAlignment="1">
      <alignment horizontal="left"/>
    </xf>
    <xf numFmtId="165" fontId="0" fillId="0" borderId="4" xfId="0" applyNumberFormat="1" applyFont="1" applyBorder="1" applyAlignment="1">
      <alignment horizontal="center"/>
    </xf>
    <xf numFmtId="0" fontId="0" fillId="0" borderId="11" xfId="0" applyFont="1" applyBorder="1" applyAlignment="1">
      <alignment horizontal="center"/>
    </xf>
    <xf numFmtId="0" fontId="0" fillId="2" borderId="43" xfId="0" applyFont="1" applyFill="1" applyBorder="1" applyAlignment="1">
      <alignment horizontal="center"/>
    </xf>
    <xf numFmtId="0" fontId="0" fillId="2" borderId="3" xfId="0" applyFont="1" applyFill="1" applyBorder="1" applyAlignment="1">
      <alignment/>
    </xf>
    <xf numFmtId="0" fontId="0" fillId="2" borderId="30" xfId="0" applyFont="1" applyFill="1" applyBorder="1" applyAlignment="1">
      <alignment horizontal="center"/>
    </xf>
    <xf numFmtId="0" fontId="0" fillId="2" borderId="4" xfId="0" applyFont="1" applyFill="1" applyBorder="1" applyAlignment="1">
      <alignment/>
    </xf>
    <xf numFmtId="0" fontId="0" fillId="0" borderId="44" xfId="0" applyFont="1" applyBorder="1" applyAlignment="1">
      <alignment horizontal="right"/>
    </xf>
    <xf numFmtId="0" fontId="0" fillId="0" borderId="27" xfId="0" applyFont="1" applyBorder="1" applyAlignment="1">
      <alignment horizontal="right"/>
    </xf>
    <xf numFmtId="0" fontId="4" fillId="0" borderId="29" xfId="0" applyFont="1" applyBorder="1" applyAlignment="1">
      <alignment horizontal="center"/>
    </xf>
    <xf numFmtId="0" fontId="0" fillId="0" borderId="41" xfId="0" applyFont="1" applyFill="1" applyBorder="1" applyAlignment="1">
      <alignment horizontal="center"/>
    </xf>
    <xf numFmtId="0" fontId="0" fillId="0" borderId="42" xfId="0" applyFont="1" applyFill="1" applyBorder="1" applyAlignment="1">
      <alignment horizontal="center"/>
    </xf>
    <xf numFmtId="1" fontId="0" fillId="2" borderId="45" xfId="0" applyNumberFormat="1" applyFill="1" applyBorder="1" applyAlignment="1" applyProtection="1">
      <alignment horizontal="center"/>
      <protection/>
    </xf>
    <xf numFmtId="0" fontId="0" fillId="4" borderId="46" xfId="0" applyFont="1" applyFill="1" applyBorder="1" applyAlignment="1" applyProtection="1">
      <alignment horizontal="center"/>
      <protection locked="0"/>
    </xf>
    <xf numFmtId="1" fontId="0" fillId="4" borderId="46" xfId="0" applyNumberFormat="1" applyFont="1" applyFill="1" applyBorder="1" applyAlignment="1" applyProtection="1">
      <alignment horizontal="center"/>
      <protection locked="0"/>
    </xf>
    <xf numFmtId="1" fontId="0" fillId="4" borderId="19" xfId="0" applyNumberFormat="1" applyFont="1" applyFill="1" applyBorder="1" applyAlignment="1" applyProtection="1">
      <alignment horizontal="center"/>
      <protection locked="0"/>
    </xf>
    <xf numFmtId="1" fontId="0" fillId="2" borderId="45" xfId="0" applyNumberFormat="1" applyFont="1" applyFill="1" applyBorder="1" applyAlignment="1" applyProtection="1">
      <alignment horizontal="center"/>
      <protection/>
    </xf>
    <xf numFmtId="1" fontId="0" fillId="2" borderId="1" xfId="0" applyNumberFormat="1" applyFont="1" applyFill="1" applyBorder="1" applyAlignment="1">
      <alignment horizontal="center"/>
    </xf>
    <xf numFmtId="0" fontId="7" fillId="0" borderId="0" xfId="0" applyFont="1" applyAlignment="1">
      <alignment/>
    </xf>
    <xf numFmtId="0" fontId="0" fillId="4" borderId="12" xfId="0" applyFill="1" applyBorder="1" applyAlignment="1" applyProtection="1">
      <alignment horizontal="left"/>
      <protection locked="0"/>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0" fillId="3" borderId="0" xfId="0" applyFill="1" applyAlignment="1" applyProtection="1">
      <alignment/>
      <protection locked="0"/>
    </xf>
    <xf numFmtId="0" fontId="0" fillId="0" borderId="0" xfId="0" applyAlignment="1" applyProtection="1">
      <alignment horizontal="center"/>
      <protection locked="0"/>
    </xf>
    <xf numFmtId="0" fontId="0" fillId="0" borderId="47" xfId="0" applyBorder="1" applyAlignment="1" applyProtection="1">
      <alignment/>
      <protection locked="0"/>
    </xf>
    <xf numFmtId="0" fontId="4" fillId="0" borderId="47" xfId="0" applyFont="1" applyBorder="1" applyAlignment="1" applyProtection="1">
      <alignment/>
      <protection locked="0"/>
    </xf>
    <xf numFmtId="0" fontId="0" fillId="0" borderId="5"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horizontal="center"/>
      <protection locked="0"/>
    </xf>
    <xf numFmtId="0" fontId="0" fillId="4" borderId="29" xfId="0" applyFill="1" applyBorder="1" applyAlignment="1" applyProtection="1">
      <alignment horizontal="center"/>
      <protection locked="0"/>
    </xf>
    <xf numFmtId="165" fontId="0" fillId="0" borderId="1" xfId="0" applyNumberFormat="1" applyFont="1" applyFill="1" applyBorder="1" applyAlignment="1">
      <alignment horizontal="center"/>
    </xf>
    <xf numFmtId="164" fontId="0" fillId="4" borderId="29" xfId="0" applyNumberFormat="1" applyFill="1" applyBorder="1" applyAlignment="1" applyProtection="1">
      <alignment horizontal="center"/>
      <protection locked="0"/>
    </xf>
    <xf numFmtId="164" fontId="0" fillId="4" borderId="29" xfId="0" applyNumberFormat="1" applyFill="1" applyBorder="1" applyAlignment="1" applyProtection="1" quotePrefix="1">
      <alignment horizontal="center"/>
      <protection locked="0"/>
    </xf>
    <xf numFmtId="0" fontId="0" fillId="4" borderId="2" xfId="0" applyFill="1" applyBorder="1" applyAlignment="1">
      <alignment/>
    </xf>
    <xf numFmtId="0" fontId="0" fillId="2" borderId="2" xfId="0" applyFill="1" applyBorder="1" applyAlignment="1">
      <alignment/>
    </xf>
    <xf numFmtId="0" fontId="8" fillId="0" borderId="0" xfId="0" applyFont="1" applyFill="1" applyBorder="1" applyAlignment="1" quotePrefix="1">
      <alignment/>
    </xf>
    <xf numFmtId="0" fontId="9" fillId="0" borderId="0" xfId="0" applyFont="1" applyAlignment="1">
      <alignment/>
    </xf>
    <xf numFmtId="0" fontId="1" fillId="0" borderId="0" xfId="0" applyFont="1" applyAlignment="1">
      <alignmen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vertical="top" wrapText="1"/>
    </xf>
    <xf numFmtId="0" fontId="8" fillId="0" borderId="13" xfId="0" applyFont="1" applyBorder="1" applyAlignment="1" quotePrefix="1">
      <alignment horizontal="left"/>
    </xf>
    <xf numFmtId="0" fontId="8" fillId="0" borderId="0" xfId="0" applyFont="1" applyAlignment="1" quotePrefix="1">
      <alignment horizontal="left"/>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N61"/>
  <sheetViews>
    <sheetView showGridLines="0" zoomScale="80" zoomScaleNormal="80" workbookViewId="0" topLeftCell="A1">
      <selection activeCell="J2" sqref="J2"/>
    </sheetView>
  </sheetViews>
  <sheetFormatPr defaultColWidth="9.140625" defaultRowHeight="12.75"/>
  <cols>
    <col min="3" max="3" width="7.00390625" style="0" customWidth="1"/>
    <col min="4" max="4" width="10.28125" style="0" customWidth="1"/>
    <col min="5" max="6" width="9.57421875" style="0" customWidth="1"/>
    <col min="7" max="7" width="9.7109375" style="0" customWidth="1"/>
    <col min="8" max="8" width="12.8515625" style="0" customWidth="1"/>
    <col min="9" max="9" width="11.7109375" style="0" customWidth="1"/>
    <col min="10" max="10" width="8.28125" style="0" customWidth="1"/>
    <col min="11" max="11" width="9.57421875" style="1" customWidth="1"/>
    <col min="12" max="12" width="11.7109375" style="0" customWidth="1"/>
    <col min="15" max="15" width="11.7109375" style="0" customWidth="1"/>
    <col min="17" max="17" width="10.00390625" style="0" customWidth="1"/>
    <col min="20" max="20" width="11.7109375" style="0" customWidth="1"/>
    <col min="23" max="23" width="11.7109375" style="0" customWidth="1"/>
    <col min="24" max="25" width="9.140625" style="9" customWidth="1"/>
  </cols>
  <sheetData>
    <row r="1" ht="13.5" thickBot="1"/>
    <row r="2" spans="1:40" ht="13.5" thickBot="1">
      <c r="A2" s="134"/>
      <c r="B2" s="135" t="s">
        <v>2</v>
      </c>
      <c r="C2" s="136"/>
      <c r="E2" s="93" t="s">
        <v>3</v>
      </c>
      <c r="F2" s="162"/>
      <c r="H2" s="137" t="s">
        <v>4</v>
      </c>
      <c r="I2" s="104"/>
      <c r="K2"/>
      <c r="N2" s="70" t="s">
        <v>5</v>
      </c>
      <c r="O2" s="102"/>
      <c r="P2" s="103"/>
      <c r="X2"/>
      <c r="Y2"/>
      <c r="Z2" s="40"/>
      <c r="AD2" s="41" t="s">
        <v>6</v>
      </c>
      <c r="AE2" s="10">
        <v>280</v>
      </c>
      <c r="AF2" s="10" t="s">
        <v>7</v>
      </c>
      <c r="AG2" s="10" t="s">
        <v>8</v>
      </c>
      <c r="AH2" s="10">
        <v>430</v>
      </c>
      <c r="AI2" s="10" t="s">
        <v>7</v>
      </c>
      <c r="AJ2" s="38" t="s">
        <v>8</v>
      </c>
      <c r="AK2" s="38">
        <v>1080</v>
      </c>
      <c r="AL2" s="42" t="s">
        <v>7</v>
      </c>
      <c r="AM2" s="43" t="s">
        <v>8</v>
      </c>
      <c r="AN2" s="40"/>
    </row>
    <row r="3" spans="1:40" ht="13.5" thickBot="1">
      <c r="A3" s="133" t="s">
        <v>9</v>
      </c>
      <c r="B3" s="14"/>
      <c r="C3" s="15"/>
      <c r="E3" s="93" t="s">
        <v>10</v>
      </c>
      <c r="F3" s="160"/>
      <c r="H3" s="138" t="s">
        <v>11</v>
      </c>
      <c r="I3" s="105"/>
      <c r="O3" s="40"/>
      <c r="X3"/>
      <c r="Y3"/>
      <c r="Z3" s="40"/>
      <c r="AD3" s="41" t="s">
        <v>12</v>
      </c>
      <c r="AE3" s="7">
        <f aca="true" t="shared" si="0" ref="AE3:AE12">I16</f>
        <v>0</v>
      </c>
      <c r="AF3" s="45">
        <f>IF(AND($F$17&lt;=AE3,AE3&lt;=$F$16),1,0)</f>
        <v>1</v>
      </c>
      <c r="AG3" s="45">
        <f aca="true" t="shared" si="1" ref="AG3:AG12">IF(AND($F$20&lt;=AE3,AE3&lt;=$F$19),1,0)</f>
        <v>1</v>
      </c>
      <c r="AH3" s="7">
        <f aca="true" t="shared" si="2" ref="AH3:AH12">L16</f>
        <v>0</v>
      </c>
      <c r="AI3" s="45">
        <f aca="true" t="shared" si="3" ref="AI3:AI12">IF(AND($F$23&lt;=AH3,AH3&lt;=$F$22),1,0)</f>
        <v>1</v>
      </c>
      <c r="AJ3" s="45">
        <f aca="true" t="shared" si="4" ref="AJ3:AJ12">IF(AND($F$26&lt;=AH3,AH3&lt;=$F$25),1,0)</f>
        <v>1</v>
      </c>
      <c r="AK3" s="7">
        <f aca="true" t="shared" si="5" ref="AK3:AK12">O16</f>
        <v>0</v>
      </c>
      <c r="AL3" s="44">
        <f aca="true" t="shared" si="6" ref="AL3:AL12">IF(AND($F$29&lt;=AK3,AK3&lt;=$F$28),1,0)</f>
        <v>1</v>
      </c>
      <c r="AM3" s="44">
        <f aca="true" t="shared" si="7" ref="AM3:AM12">IF(AND($F$32&lt;=AK3,AK3&lt;=$F$31),1,0)</f>
        <v>1</v>
      </c>
      <c r="AN3" s="40"/>
    </row>
    <row r="4" spans="1:40" ht="13.5" thickBot="1">
      <c r="A4" s="133" t="s">
        <v>13</v>
      </c>
      <c r="B4" s="14"/>
      <c r="C4" s="15"/>
      <c r="E4" s="11"/>
      <c r="F4" s="11"/>
      <c r="G4" s="11"/>
      <c r="H4" s="11"/>
      <c r="O4" s="12"/>
      <c r="P4" s="94" t="s">
        <v>14</v>
      </c>
      <c r="Q4" s="13"/>
      <c r="X4"/>
      <c r="Y4"/>
      <c r="Z4" s="40"/>
      <c r="AD4" s="41" t="s">
        <v>15</v>
      </c>
      <c r="AE4" s="7">
        <f t="shared" si="0"/>
        <v>0</v>
      </c>
      <c r="AF4" s="45">
        <f aca="true" t="shared" si="8" ref="AF4:AF12">IF(AND($F$17&lt;=AE4,AE4&lt;=$F$16),1,0)</f>
        <v>1</v>
      </c>
      <c r="AG4" s="45">
        <f t="shared" si="1"/>
        <v>1</v>
      </c>
      <c r="AH4" s="7">
        <f t="shared" si="2"/>
        <v>0</v>
      </c>
      <c r="AI4" s="45">
        <f t="shared" si="3"/>
        <v>1</v>
      </c>
      <c r="AJ4" s="45">
        <f t="shared" si="4"/>
        <v>1</v>
      </c>
      <c r="AK4" s="7">
        <f t="shared" si="5"/>
        <v>0</v>
      </c>
      <c r="AL4" s="44">
        <f t="shared" si="6"/>
        <v>1</v>
      </c>
      <c r="AM4" s="44">
        <f t="shared" si="7"/>
        <v>1</v>
      </c>
      <c r="AN4" s="40"/>
    </row>
    <row r="5" spans="1:40" ht="13.5" thickBot="1">
      <c r="A5" s="133" t="s">
        <v>16</v>
      </c>
      <c r="B5" s="14"/>
      <c r="C5" s="15"/>
      <c r="E5" s="127"/>
      <c r="F5" s="128" t="s">
        <v>17</v>
      </c>
      <c r="G5" s="129"/>
      <c r="H5" s="130" t="s">
        <v>18</v>
      </c>
      <c r="I5" s="129"/>
      <c r="J5" s="130" t="s">
        <v>19</v>
      </c>
      <c r="K5" s="131"/>
      <c r="L5" s="33"/>
      <c r="O5" s="95" t="s">
        <v>20</v>
      </c>
      <c r="P5" s="98"/>
      <c r="Q5" s="99"/>
      <c r="X5"/>
      <c r="Y5"/>
      <c r="Z5" s="40"/>
      <c r="AD5" s="41" t="s">
        <v>21</v>
      </c>
      <c r="AE5" s="7">
        <f t="shared" si="0"/>
        <v>0</v>
      </c>
      <c r="AF5" s="45">
        <f t="shared" si="8"/>
        <v>1</v>
      </c>
      <c r="AG5" s="45">
        <f t="shared" si="1"/>
        <v>1</v>
      </c>
      <c r="AH5" s="7">
        <f t="shared" si="2"/>
        <v>0</v>
      </c>
      <c r="AI5" s="45">
        <f t="shared" si="3"/>
        <v>1</v>
      </c>
      <c r="AJ5" s="45">
        <f t="shared" si="4"/>
        <v>1</v>
      </c>
      <c r="AK5" s="7">
        <f t="shared" si="5"/>
        <v>0</v>
      </c>
      <c r="AL5" s="44">
        <f t="shared" si="6"/>
        <v>1</v>
      </c>
      <c r="AM5" s="44">
        <f t="shared" si="7"/>
        <v>1</v>
      </c>
      <c r="AN5" s="40"/>
    </row>
    <row r="6" spans="1:40" ht="13.5" thickBot="1">
      <c r="A6" s="113" t="s">
        <v>16</v>
      </c>
      <c r="B6" s="16"/>
      <c r="C6" s="17"/>
      <c r="E6" s="132" t="s">
        <v>22</v>
      </c>
      <c r="F6" s="32"/>
      <c r="G6" s="16"/>
      <c r="H6" s="32"/>
      <c r="I6" s="16"/>
      <c r="J6" s="34"/>
      <c r="K6" s="35"/>
      <c r="O6" s="96" t="s">
        <v>23</v>
      </c>
      <c r="P6" s="100"/>
      <c r="Q6" s="101"/>
      <c r="X6"/>
      <c r="Y6"/>
      <c r="Z6" s="40"/>
      <c r="AD6" s="41" t="s">
        <v>24</v>
      </c>
      <c r="AE6" s="7">
        <f t="shared" si="0"/>
        <v>0</v>
      </c>
      <c r="AF6" s="45">
        <f t="shared" si="8"/>
        <v>1</v>
      </c>
      <c r="AG6" s="45">
        <f t="shared" si="1"/>
        <v>1</v>
      </c>
      <c r="AH6" s="7">
        <f t="shared" si="2"/>
        <v>0</v>
      </c>
      <c r="AI6" s="45">
        <f t="shared" si="3"/>
        <v>1</v>
      </c>
      <c r="AJ6" s="45">
        <f t="shared" si="4"/>
        <v>1</v>
      </c>
      <c r="AK6" s="7">
        <f t="shared" si="5"/>
        <v>0</v>
      </c>
      <c r="AL6" s="44">
        <f t="shared" si="6"/>
        <v>1</v>
      </c>
      <c r="AM6" s="44">
        <f t="shared" si="7"/>
        <v>1</v>
      </c>
      <c r="AN6" s="40"/>
    </row>
    <row r="7" spans="1:40" ht="13.5" thickBot="1">
      <c r="A7" s="30"/>
      <c r="B7" s="31"/>
      <c r="C7" s="31"/>
      <c r="O7" s="97" t="s">
        <v>25</v>
      </c>
      <c r="P7" s="149"/>
      <c r="Q7" s="17"/>
      <c r="X7"/>
      <c r="Y7"/>
      <c r="Z7" s="40"/>
      <c r="AD7" s="41" t="s">
        <v>26</v>
      </c>
      <c r="AE7" s="7">
        <f t="shared" si="0"/>
        <v>0</v>
      </c>
      <c r="AF7" s="45">
        <f t="shared" si="8"/>
        <v>1</v>
      </c>
      <c r="AG7" s="45">
        <f t="shared" si="1"/>
        <v>1</v>
      </c>
      <c r="AH7" s="7">
        <f t="shared" si="2"/>
        <v>0</v>
      </c>
      <c r="AI7" s="45">
        <f t="shared" si="3"/>
        <v>1</v>
      </c>
      <c r="AJ7" s="45">
        <f t="shared" si="4"/>
        <v>1</v>
      </c>
      <c r="AK7" s="7">
        <f t="shared" si="5"/>
        <v>0</v>
      </c>
      <c r="AL7" s="44">
        <f t="shared" si="6"/>
        <v>1</v>
      </c>
      <c r="AM7" s="44">
        <f t="shared" si="7"/>
        <v>1</v>
      </c>
      <c r="AN7" s="40"/>
    </row>
    <row r="8" spans="1:40" ht="13.5" thickBot="1">
      <c r="A8" s="23" t="s">
        <v>27</v>
      </c>
      <c r="B8" s="24" t="s">
        <v>28</v>
      </c>
      <c r="C8" s="24" t="s">
        <v>29</v>
      </c>
      <c r="D8" s="25" t="s">
        <v>30</v>
      </c>
      <c r="E8" s="25" t="s">
        <v>31</v>
      </c>
      <c r="F8" s="26" t="s">
        <v>32</v>
      </c>
      <c r="G8" s="27" t="s">
        <v>33</v>
      </c>
      <c r="H8" s="24" t="s">
        <v>34</v>
      </c>
      <c r="I8" s="114" t="s">
        <v>35</v>
      </c>
      <c r="J8" s="114" t="s">
        <v>36</v>
      </c>
      <c r="K8" s="114" t="s">
        <v>37</v>
      </c>
      <c r="L8" s="139" t="s">
        <v>38</v>
      </c>
      <c r="X8"/>
      <c r="Y8"/>
      <c r="Z8" s="40"/>
      <c r="AD8" s="41" t="s">
        <v>39</v>
      </c>
      <c r="AE8" s="7">
        <f t="shared" si="0"/>
        <v>0</v>
      </c>
      <c r="AF8" s="45">
        <f t="shared" si="8"/>
        <v>1</v>
      </c>
      <c r="AG8" s="45">
        <f t="shared" si="1"/>
        <v>1</v>
      </c>
      <c r="AH8" s="7">
        <f t="shared" si="2"/>
        <v>0</v>
      </c>
      <c r="AI8" s="45">
        <f t="shared" si="3"/>
        <v>1</v>
      </c>
      <c r="AJ8" s="45">
        <f t="shared" si="4"/>
        <v>1</v>
      </c>
      <c r="AK8" s="7">
        <f t="shared" si="5"/>
        <v>0</v>
      </c>
      <c r="AL8" s="44">
        <f t="shared" si="6"/>
        <v>1</v>
      </c>
      <c r="AM8" s="44">
        <f t="shared" si="7"/>
        <v>1</v>
      </c>
      <c r="AN8" s="40"/>
    </row>
    <row r="9" spans="1:40" ht="13.5" thickBot="1">
      <c r="A9" s="143"/>
      <c r="B9" s="59"/>
      <c r="C9" s="59"/>
      <c r="D9" s="66"/>
      <c r="E9" s="60">
        <f>B9+C9</f>
        <v>0</v>
      </c>
      <c r="F9" s="115"/>
      <c r="G9" s="86"/>
      <c r="H9" s="86"/>
      <c r="I9" s="116"/>
      <c r="J9" s="116"/>
      <c r="K9" s="116"/>
      <c r="L9" s="117"/>
      <c r="O9" s="12"/>
      <c r="P9" s="94" t="s">
        <v>40</v>
      </c>
      <c r="Q9" s="13"/>
      <c r="X9"/>
      <c r="Y9"/>
      <c r="Z9" s="40"/>
      <c r="AD9" s="41" t="s">
        <v>41</v>
      </c>
      <c r="AE9" s="7">
        <f t="shared" si="0"/>
        <v>0</v>
      </c>
      <c r="AF9" s="45">
        <f t="shared" si="8"/>
        <v>1</v>
      </c>
      <c r="AG9" s="45">
        <f t="shared" si="1"/>
        <v>1</v>
      </c>
      <c r="AH9" s="7">
        <f t="shared" si="2"/>
        <v>0</v>
      </c>
      <c r="AI9" s="45">
        <f t="shared" si="3"/>
        <v>1</v>
      </c>
      <c r="AJ9" s="45">
        <f t="shared" si="4"/>
        <v>1</v>
      </c>
      <c r="AK9" s="7">
        <f t="shared" si="5"/>
        <v>0</v>
      </c>
      <c r="AL9" s="44">
        <f t="shared" si="6"/>
        <v>1</v>
      </c>
      <c r="AM9" s="44">
        <f t="shared" si="7"/>
        <v>1</v>
      </c>
      <c r="AN9" s="40"/>
    </row>
    <row r="10" spans="1:40" ht="12.75">
      <c r="A10" s="144"/>
      <c r="B10" s="59"/>
      <c r="C10" s="66"/>
      <c r="D10" s="59"/>
      <c r="E10" s="68"/>
      <c r="F10" s="118">
        <f>B10+D10</f>
        <v>0</v>
      </c>
      <c r="G10" s="62"/>
      <c r="H10" s="62"/>
      <c r="I10" s="119">
        <f>((7.5*G10)/(237.3+G10))+0.7857</f>
        <v>0.7857</v>
      </c>
      <c r="J10" s="120">
        <f>1/273.16</f>
        <v>0.0036608581051398447</v>
      </c>
      <c r="K10" s="112">
        <v>0.6</v>
      </c>
      <c r="L10" s="121">
        <f>281.8-(((0.29065*H10)/(1+J10*G10))-((4.126*0.0001*K10)/(1+J10*G10))*10^I10)</f>
        <v>281.80151140367553</v>
      </c>
      <c r="O10" s="95" t="s">
        <v>20</v>
      </c>
      <c r="P10" s="98"/>
      <c r="Q10" s="99"/>
      <c r="X10"/>
      <c r="Y10"/>
      <c r="Z10" s="40"/>
      <c r="AD10" s="41" t="s">
        <v>42</v>
      </c>
      <c r="AE10" s="7">
        <f t="shared" si="0"/>
        <v>0</v>
      </c>
      <c r="AF10" s="45">
        <f t="shared" si="8"/>
        <v>1</v>
      </c>
      <c r="AG10" s="45">
        <f t="shared" si="1"/>
        <v>1</v>
      </c>
      <c r="AH10" s="7">
        <f t="shared" si="2"/>
        <v>0</v>
      </c>
      <c r="AI10" s="45">
        <f t="shared" si="3"/>
        <v>1</v>
      </c>
      <c r="AJ10" s="45">
        <f t="shared" si="4"/>
        <v>1</v>
      </c>
      <c r="AK10" s="7">
        <f t="shared" si="5"/>
        <v>0</v>
      </c>
      <c r="AL10" s="44">
        <f t="shared" si="6"/>
        <v>1</v>
      </c>
      <c r="AM10" s="44">
        <f t="shared" si="7"/>
        <v>1</v>
      </c>
      <c r="AN10" s="40"/>
    </row>
    <row r="11" spans="1:40" ht="12.75">
      <c r="A11" s="144"/>
      <c r="B11" s="59"/>
      <c r="C11" s="66"/>
      <c r="D11" s="59"/>
      <c r="E11" s="68"/>
      <c r="F11" s="118">
        <f>B11+D11</f>
        <v>0</v>
      </c>
      <c r="G11" s="62"/>
      <c r="H11" s="62"/>
      <c r="I11" s="119">
        <f>((7.5*G11)/(237.3+G11))+0.7857</f>
        <v>0.7857</v>
      </c>
      <c r="J11" s="120">
        <f>1/273.16</f>
        <v>0.0036608581051398447</v>
      </c>
      <c r="K11" s="112">
        <v>0.6</v>
      </c>
      <c r="L11" s="121">
        <f>281.8-(((0.29065*H11)/(1+J11*G11))-((4.126*(10^-4)*K11)/(1+J11*G11))*10^I11)</f>
        <v>281.80151140367553</v>
      </c>
      <c r="O11" s="96" t="s">
        <v>23</v>
      </c>
      <c r="P11" s="100"/>
      <c r="Q11" s="101"/>
      <c r="X11"/>
      <c r="Y11"/>
      <c r="Z11" s="40"/>
      <c r="AD11" s="41" t="s">
        <v>43</v>
      </c>
      <c r="AE11" s="7">
        <f t="shared" si="0"/>
        <v>0</v>
      </c>
      <c r="AF11" s="45">
        <f t="shared" si="8"/>
        <v>1</v>
      </c>
      <c r="AG11" s="45">
        <f t="shared" si="1"/>
        <v>1</v>
      </c>
      <c r="AH11" s="7">
        <f t="shared" si="2"/>
        <v>0</v>
      </c>
      <c r="AI11" s="45">
        <f t="shared" si="3"/>
        <v>1</v>
      </c>
      <c r="AJ11" s="45">
        <f t="shared" si="4"/>
        <v>1</v>
      </c>
      <c r="AK11" s="7">
        <f t="shared" si="5"/>
        <v>0</v>
      </c>
      <c r="AL11" s="44">
        <f t="shared" si="6"/>
        <v>1</v>
      </c>
      <c r="AM11" s="44">
        <f t="shared" si="7"/>
        <v>1</v>
      </c>
      <c r="AN11" s="40"/>
    </row>
    <row r="12" spans="1:40" ht="13.5" thickBot="1">
      <c r="A12" s="145"/>
      <c r="B12" s="61"/>
      <c r="C12" s="67"/>
      <c r="D12" s="61"/>
      <c r="E12" s="69"/>
      <c r="F12" s="122">
        <f>B12+D12</f>
        <v>0</v>
      </c>
      <c r="G12" s="63"/>
      <c r="H12" s="63"/>
      <c r="I12" s="123">
        <f>((7.5*G12)/(237.3+G12))+0.7857</f>
        <v>0.7857</v>
      </c>
      <c r="J12" s="124">
        <f>1/273.16</f>
        <v>0.0036608581051398447</v>
      </c>
      <c r="K12" s="125">
        <v>0.6</v>
      </c>
      <c r="L12" s="126">
        <f>281.8-(((0.29065*H12)/(1+J12*G12))-((4.126*0.0001*K12)/(1+J12*G12))*10^I12)</f>
        <v>281.80151140367553</v>
      </c>
      <c r="O12" s="97" t="s">
        <v>25</v>
      </c>
      <c r="P12" s="149"/>
      <c r="Q12" s="17"/>
      <c r="X12"/>
      <c r="Y12"/>
      <c r="Z12" s="40"/>
      <c r="AD12" s="41" t="s">
        <v>44</v>
      </c>
      <c r="AE12" s="7">
        <f t="shared" si="0"/>
        <v>0</v>
      </c>
      <c r="AF12" s="45">
        <f t="shared" si="8"/>
        <v>1</v>
      </c>
      <c r="AG12" s="45">
        <f t="shared" si="1"/>
        <v>1</v>
      </c>
      <c r="AH12" s="7">
        <f t="shared" si="2"/>
        <v>0</v>
      </c>
      <c r="AI12" s="45">
        <f t="shared" si="3"/>
        <v>1</v>
      </c>
      <c r="AJ12" s="45">
        <f t="shared" si="4"/>
        <v>1</v>
      </c>
      <c r="AK12" s="7">
        <f t="shared" si="5"/>
        <v>0</v>
      </c>
      <c r="AL12" s="44">
        <f t="shared" si="6"/>
        <v>1</v>
      </c>
      <c r="AM12" s="44">
        <f t="shared" si="7"/>
        <v>1</v>
      </c>
      <c r="AN12" s="40"/>
    </row>
    <row r="13" spans="1:40" ht="13.5" thickBot="1">
      <c r="A13" s="9"/>
      <c r="B13" s="9"/>
      <c r="C13" s="11"/>
      <c r="D13" s="21"/>
      <c r="E13" s="18"/>
      <c r="F13" s="22"/>
      <c r="G13" s="19"/>
      <c r="H13" s="20"/>
      <c r="K13"/>
      <c r="O13" s="40"/>
      <c r="X13"/>
      <c r="Y13"/>
      <c r="Z13" s="40"/>
      <c r="AD13" s="41" t="s">
        <v>45</v>
      </c>
      <c r="AE13" s="39">
        <f>SUM(AE3:AE12)/10</f>
        <v>0</v>
      </c>
      <c r="AF13" s="46">
        <f>SUM(AF3:AF12)</f>
        <v>10</v>
      </c>
      <c r="AG13" s="46">
        <f>SUM(AG3:AG12)</f>
        <v>10</v>
      </c>
      <c r="AH13" s="39">
        <f>SUM(AH3:AH12)/10</f>
        <v>0</v>
      </c>
      <c r="AI13" s="46">
        <f>SUM(AI3:AI12)</f>
        <v>10</v>
      </c>
      <c r="AJ13" s="46">
        <f>SUM(AJ3:AJ12)</f>
        <v>10</v>
      </c>
      <c r="AK13" s="39">
        <f>SUM(AK3:AK12)/10</f>
        <v>0</v>
      </c>
      <c r="AL13" s="47">
        <f>SUM(AL3:AL12)</f>
        <v>10</v>
      </c>
      <c r="AM13" s="36">
        <f>SUM(AM3:AM12)</f>
        <v>10</v>
      </c>
      <c r="AN13" s="40"/>
    </row>
    <row r="14" spans="2:25" ht="13.5" thickBot="1">
      <c r="B14" s="4"/>
      <c r="C14" s="5"/>
      <c r="D14" s="64"/>
      <c r="E14" s="64"/>
      <c r="F14" s="64"/>
      <c r="G14" s="64"/>
      <c r="K14"/>
      <c r="X14"/>
      <c r="Y14"/>
    </row>
    <row r="15" spans="2:25" ht="13.5" thickBot="1">
      <c r="B15" s="6"/>
      <c r="D15" s="77"/>
      <c r="E15" s="109" t="s">
        <v>46</v>
      </c>
      <c r="F15" s="111" t="s">
        <v>47</v>
      </c>
      <c r="G15" s="64"/>
      <c r="H15" s="72" t="s">
        <v>6</v>
      </c>
      <c r="I15" s="142">
        <f>A10</f>
        <v>0</v>
      </c>
      <c r="J15" s="87" t="s">
        <v>7</v>
      </c>
      <c r="K15" s="88" t="s">
        <v>8</v>
      </c>
      <c r="L15" s="142">
        <f>A11</f>
        <v>0</v>
      </c>
      <c r="M15" s="87" t="s">
        <v>7</v>
      </c>
      <c r="N15" s="89" t="s">
        <v>8</v>
      </c>
      <c r="O15" s="146">
        <f>A12</f>
        <v>0</v>
      </c>
      <c r="P15" s="90" t="s">
        <v>7</v>
      </c>
      <c r="Q15" s="91" t="s">
        <v>8</v>
      </c>
      <c r="X15"/>
      <c r="Y15"/>
    </row>
    <row r="16" spans="1:25" ht="13.5" thickBot="1">
      <c r="A16" s="6"/>
      <c r="B16" s="6"/>
      <c r="C16" t="s">
        <v>48</v>
      </c>
      <c r="D16" s="147">
        <f>A10</f>
        <v>0</v>
      </c>
      <c r="E16" s="110" t="s">
        <v>49</v>
      </c>
      <c r="F16" s="78">
        <f>ROUND(E17+(B20/1000),4)</f>
        <v>0</v>
      </c>
      <c r="G16" s="79" t="s">
        <v>50</v>
      </c>
      <c r="H16" s="72" t="s">
        <v>12</v>
      </c>
      <c r="I16" s="82"/>
      <c r="J16" s="7" t="str">
        <f aca="true" t="shared" si="9" ref="J16:J25">IF(AND($F$17&lt;=I16,I16&lt;=$F$16),"PASS","FAIL")</f>
        <v>PASS</v>
      </c>
      <c r="K16" s="83" t="str">
        <f aca="true" t="shared" si="10" ref="K16:K25">IF(AND($F$20&lt;=I16,I16&lt;=$F$19),"PASS","FAIL")</f>
        <v>PASS</v>
      </c>
      <c r="L16" s="82"/>
      <c r="M16" s="7" t="str">
        <f>IF(AND($F$23&lt;=L16,L16&lt;=$F$22),"PASS","FAIL")</f>
        <v>PASS</v>
      </c>
      <c r="N16" s="83" t="str">
        <f aca="true" t="shared" si="11" ref="N16:N25">IF(AND($F$26&lt;=L16,L16&lt;=$F$25),"PASS","FAIL")</f>
        <v>PASS</v>
      </c>
      <c r="O16" s="82"/>
      <c r="P16" s="44" t="str">
        <f aca="true" t="shared" si="12" ref="P16:P25">IF(AND($F$29&lt;=O16,O16&lt;=$F$28),"PASS","FAIL")</f>
        <v>PASS</v>
      </c>
      <c r="Q16" s="85" t="str">
        <f aca="true" t="shared" si="13" ref="Q16:Q25">IF(AND($F$32&lt;=O16,O16&lt;=$F$31),"PASS","FAIL")</f>
        <v>PASS</v>
      </c>
      <c r="X16"/>
      <c r="Y16"/>
    </row>
    <row r="17" spans="1:25" ht="13.5" thickBot="1">
      <c r="A17" s="73"/>
      <c r="B17" s="6"/>
      <c r="C17" s="71" t="s">
        <v>51</v>
      </c>
      <c r="D17" s="106"/>
      <c r="E17" s="78">
        <f>(D19)*(1-(L10/1000000))</f>
        <v>0</v>
      </c>
      <c r="F17" s="78">
        <f>ROUND(E17-(B20/1000),4)</f>
        <v>0</v>
      </c>
      <c r="G17" s="79" t="s">
        <v>52</v>
      </c>
      <c r="H17" s="72" t="s">
        <v>15</v>
      </c>
      <c r="I17" s="82"/>
      <c r="J17" s="7" t="str">
        <f t="shared" si="9"/>
        <v>PASS</v>
      </c>
      <c r="K17" s="83" t="str">
        <f t="shared" si="10"/>
        <v>PASS</v>
      </c>
      <c r="L17" s="82"/>
      <c r="M17" s="7" t="str">
        <f aca="true" t="shared" si="14" ref="M17:M25">IF(AND($F$23&lt;=L17,L17&lt;=$F$22),"PASS","FAIL")</f>
        <v>PASS</v>
      </c>
      <c r="N17" s="83" t="str">
        <f t="shared" si="11"/>
        <v>PASS</v>
      </c>
      <c r="O17" s="82"/>
      <c r="P17" s="44" t="str">
        <f t="shared" si="12"/>
        <v>PASS</v>
      </c>
      <c r="Q17" s="85" t="str">
        <f t="shared" si="13"/>
        <v>PASS</v>
      </c>
      <c r="X17"/>
      <c r="Y17"/>
    </row>
    <row r="18" spans="1:25" ht="13.5" thickBot="1">
      <c r="A18" s="73"/>
      <c r="B18" s="6"/>
      <c r="C18" s="71" t="s">
        <v>53</v>
      </c>
      <c r="D18" s="107">
        <f>E9-F10</f>
        <v>0</v>
      </c>
      <c r="E18" s="64"/>
      <c r="F18" s="111" t="s">
        <v>8</v>
      </c>
      <c r="G18" s="80"/>
      <c r="H18" s="72" t="s">
        <v>21</v>
      </c>
      <c r="I18" s="82"/>
      <c r="J18" s="7" t="str">
        <f t="shared" si="9"/>
        <v>PASS</v>
      </c>
      <c r="K18" s="83" t="str">
        <f t="shared" si="10"/>
        <v>PASS</v>
      </c>
      <c r="L18" s="82"/>
      <c r="M18" s="7" t="str">
        <f t="shared" si="14"/>
        <v>PASS</v>
      </c>
      <c r="N18" s="83" t="str">
        <f t="shared" si="11"/>
        <v>PASS</v>
      </c>
      <c r="O18" s="82"/>
      <c r="P18" s="44" t="str">
        <f t="shared" si="12"/>
        <v>PASS</v>
      </c>
      <c r="Q18" s="85" t="str">
        <f t="shared" si="13"/>
        <v>PASS</v>
      </c>
      <c r="X18"/>
      <c r="Y18"/>
    </row>
    <row r="19" spans="1:17" ht="13.5" thickBot="1">
      <c r="A19" s="73"/>
      <c r="B19" s="6"/>
      <c r="C19" s="71" t="s">
        <v>54</v>
      </c>
      <c r="D19" s="108">
        <f>SQRT((D17^2)+(D18^2))</f>
        <v>0</v>
      </c>
      <c r="E19" s="64"/>
      <c r="F19" s="78">
        <f>ROUND(E17+(3*B20/1000),4)</f>
        <v>0</v>
      </c>
      <c r="G19" s="79" t="s">
        <v>50</v>
      </c>
      <c r="H19" s="72" t="s">
        <v>24</v>
      </c>
      <c r="I19" s="82"/>
      <c r="J19" s="7" t="str">
        <f t="shared" si="9"/>
        <v>PASS</v>
      </c>
      <c r="K19" s="83" t="str">
        <f t="shared" si="10"/>
        <v>PASS</v>
      </c>
      <c r="L19" s="82"/>
      <c r="M19" s="7" t="str">
        <f t="shared" si="14"/>
        <v>PASS</v>
      </c>
      <c r="N19" s="83" t="str">
        <f t="shared" si="11"/>
        <v>PASS</v>
      </c>
      <c r="O19" s="82"/>
      <c r="P19" s="44" t="str">
        <f t="shared" si="12"/>
        <v>PASS</v>
      </c>
      <c r="Q19" s="85" t="str">
        <f t="shared" si="13"/>
        <v>PASS</v>
      </c>
    </row>
    <row r="20" spans="1:17" ht="13.5" thickBot="1">
      <c r="A20" s="71" t="s">
        <v>55</v>
      </c>
      <c r="B20" s="75">
        <f>E17*(I3/1000)+I2</f>
        <v>0</v>
      </c>
      <c r="C20" s="8"/>
      <c r="D20" s="64"/>
      <c r="E20" s="64"/>
      <c r="F20" s="78">
        <f>ROUND(E17-(3*B20/1000),4)</f>
        <v>0</v>
      </c>
      <c r="G20" s="79" t="s">
        <v>52</v>
      </c>
      <c r="H20" s="72" t="s">
        <v>26</v>
      </c>
      <c r="I20" s="82"/>
      <c r="J20" s="7" t="str">
        <f t="shared" si="9"/>
        <v>PASS</v>
      </c>
      <c r="K20" s="83" t="str">
        <f t="shared" si="10"/>
        <v>PASS</v>
      </c>
      <c r="L20" s="82"/>
      <c r="M20" s="7" t="str">
        <f t="shared" si="14"/>
        <v>PASS</v>
      </c>
      <c r="N20" s="83" t="str">
        <f t="shared" si="11"/>
        <v>PASS</v>
      </c>
      <c r="O20" s="82"/>
      <c r="P20" s="44" t="str">
        <f t="shared" si="12"/>
        <v>PASS</v>
      </c>
      <c r="Q20" s="85" t="str">
        <f t="shared" si="13"/>
        <v>PASS</v>
      </c>
    </row>
    <row r="21" spans="1:17" ht="13.5" thickBot="1">
      <c r="A21" s="71"/>
      <c r="B21" s="64"/>
      <c r="C21" s="8"/>
      <c r="D21" s="64"/>
      <c r="E21" s="140" t="s">
        <v>46</v>
      </c>
      <c r="F21" s="161" t="s">
        <v>47</v>
      </c>
      <c r="G21" s="80"/>
      <c r="H21" s="72" t="s">
        <v>39</v>
      </c>
      <c r="I21" s="82"/>
      <c r="J21" s="7" t="str">
        <f t="shared" si="9"/>
        <v>PASS</v>
      </c>
      <c r="K21" s="83" t="str">
        <f t="shared" si="10"/>
        <v>PASS</v>
      </c>
      <c r="L21" s="82"/>
      <c r="M21" s="7" t="str">
        <f t="shared" si="14"/>
        <v>PASS</v>
      </c>
      <c r="N21" s="83" t="str">
        <f t="shared" si="11"/>
        <v>PASS</v>
      </c>
      <c r="O21" s="82"/>
      <c r="P21" s="44" t="str">
        <f t="shared" si="12"/>
        <v>PASS</v>
      </c>
      <c r="Q21" s="85" t="str">
        <f t="shared" si="13"/>
        <v>PASS</v>
      </c>
    </row>
    <row r="22" spans="1:17" ht="13.5" thickBot="1">
      <c r="A22" s="71"/>
      <c r="B22" s="64"/>
      <c r="C22" s="71" t="s">
        <v>48</v>
      </c>
      <c r="D22" s="147">
        <f>A11</f>
        <v>0</v>
      </c>
      <c r="E22" s="141" t="s">
        <v>49</v>
      </c>
      <c r="F22" s="78">
        <f>ROUND(E23+(B26/1000),4)</f>
        <v>0</v>
      </c>
      <c r="G22" s="79" t="s">
        <v>50</v>
      </c>
      <c r="H22" s="72" t="s">
        <v>41</v>
      </c>
      <c r="I22" s="82"/>
      <c r="J22" s="7" t="str">
        <f t="shared" si="9"/>
        <v>PASS</v>
      </c>
      <c r="K22" s="83" t="str">
        <f t="shared" si="10"/>
        <v>PASS</v>
      </c>
      <c r="L22" s="82"/>
      <c r="M22" s="7" t="str">
        <f t="shared" si="14"/>
        <v>PASS</v>
      </c>
      <c r="N22" s="83" t="str">
        <f t="shared" si="11"/>
        <v>PASS</v>
      </c>
      <c r="O22" s="82"/>
      <c r="P22" s="44" t="str">
        <f t="shared" si="12"/>
        <v>PASS</v>
      </c>
      <c r="Q22" s="85" t="str">
        <f t="shared" si="13"/>
        <v>PASS</v>
      </c>
    </row>
    <row r="23" spans="1:17" ht="13.5" thickBot="1">
      <c r="A23" s="64"/>
      <c r="B23" s="64"/>
      <c r="C23" s="71" t="s">
        <v>56</v>
      </c>
      <c r="D23" s="106"/>
      <c r="E23" s="78">
        <f>(D25)*(1-(L11/1000000))</f>
        <v>0</v>
      </c>
      <c r="F23" s="78">
        <f>ROUND(E23-(B26/1000),4)</f>
        <v>0</v>
      </c>
      <c r="G23" s="79" t="s">
        <v>52</v>
      </c>
      <c r="H23" s="72" t="s">
        <v>42</v>
      </c>
      <c r="I23" s="82"/>
      <c r="J23" s="7" t="str">
        <f t="shared" si="9"/>
        <v>PASS</v>
      </c>
      <c r="K23" s="83" t="str">
        <f t="shared" si="10"/>
        <v>PASS</v>
      </c>
      <c r="L23" s="82"/>
      <c r="M23" s="7" t="str">
        <f t="shared" si="14"/>
        <v>PASS</v>
      </c>
      <c r="N23" s="83" t="str">
        <f t="shared" si="11"/>
        <v>PASS</v>
      </c>
      <c r="O23" s="82"/>
      <c r="P23" s="44" t="str">
        <f t="shared" si="12"/>
        <v>PASS</v>
      </c>
      <c r="Q23" s="85" t="str">
        <f t="shared" si="13"/>
        <v>PASS</v>
      </c>
    </row>
    <row r="24" spans="1:17" ht="13.5" thickBot="1">
      <c r="A24" s="64"/>
      <c r="B24" s="64"/>
      <c r="C24" s="71" t="s">
        <v>57</v>
      </c>
      <c r="D24" s="107">
        <f>E9-F11</f>
        <v>0</v>
      </c>
      <c r="E24" s="64"/>
      <c r="F24" s="111" t="s">
        <v>8</v>
      </c>
      <c r="G24" s="80"/>
      <c r="H24" s="72" t="s">
        <v>43</v>
      </c>
      <c r="I24" s="82"/>
      <c r="J24" s="7" t="str">
        <f t="shared" si="9"/>
        <v>PASS</v>
      </c>
      <c r="K24" s="83" t="str">
        <f t="shared" si="10"/>
        <v>PASS</v>
      </c>
      <c r="L24" s="82"/>
      <c r="M24" s="7" t="str">
        <f t="shared" si="14"/>
        <v>PASS</v>
      </c>
      <c r="N24" s="83" t="str">
        <f t="shared" si="11"/>
        <v>PASS</v>
      </c>
      <c r="O24" s="82"/>
      <c r="P24" s="44" t="str">
        <f t="shared" si="12"/>
        <v>PASS</v>
      </c>
      <c r="Q24" s="85" t="str">
        <f t="shared" si="13"/>
        <v>PASS</v>
      </c>
    </row>
    <row r="25" spans="1:17" ht="13.5" thickBot="1">
      <c r="A25" s="64"/>
      <c r="B25" s="64"/>
      <c r="C25" s="71" t="s">
        <v>54</v>
      </c>
      <c r="D25" s="108">
        <f>SQRT((D23^2)+(D24^2))</f>
        <v>0</v>
      </c>
      <c r="E25" s="64"/>
      <c r="F25" s="78">
        <f>ROUND(E23+(3*B26/1000),4)</f>
        <v>0</v>
      </c>
      <c r="G25" s="79" t="s">
        <v>50</v>
      </c>
      <c r="H25" s="72" t="s">
        <v>44</v>
      </c>
      <c r="I25" s="82"/>
      <c r="J25" s="7" t="str">
        <f t="shared" si="9"/>
        <v>PASS</v>
      </c>
      <c r="K25" s="83" t="str">
        <f t="shared" si="10"/>
        <v>PASS</v>
      </c>
      <c r="L25" s="84"/>
      <c r="M25" s="7" t="str">
        <f t="shared" si="14"/>
        <v>PASS</v>
      </c>
      <c r="N25" s="83" t="str">
        <f t="shared" si="11"/>
        <v>PASS</v>
      </c>
      <c r="O25" s="82"/>
      <c r="P25" s="44" t="str">
        <f t="shared" si="12"/>
        <v>PASS</v>
      </c>
      <c r="Q25" s="85" t="str">
        <f t="shared" si="13"/>
        <v>PASS</v>
      </c>
    </row>
    <row r="26" spans="1:17" ht="13.5" thickBot="1">
      <c r="A26" s="71" t="s">
        <v>55</v>
      </c>
      <c r="B26" s="75">
        <f>E23*(I3/1000)+I2</f>
        <v>0</v>
      </c>
      <c r="C26" s="8"/>
      <c r="D26" s="64"/>
      <c r="E26" s="64"/>
      <c r="F26" s="78">
        <f>ROUND(E23-(3*B26/1000),4)</f>
        <v>0</v>
      </c>
      <c r="G26" s="79" t="s">
        <v>52</v>
      </c>
      <c r="H26" s="72" t="s">
        <v>45</v>
      </c>
      <c r="I26" s="39">
        <f>SUM(I16:I25)/10</f>
        <v>0</v>
      </c>
      <c r="J26" s="39" t="str">
        <f>IF(AF13&gt;=7,"PASS","FAIL")</f>
        <v>PASS</v>
      </c>
      <c r="K26" s="39" t="str">
        <f>IF(AG13&lt;10,"FAIL","PASS")</f>
        <v>PASS</v>
      </c>
      <c r="L26" s="39">
        <f>SUM(L16:L25)/10</f>
        <v>0</v>
      </c>
      <c r="M26" s="39" t="str">
        <f>IF(AI13&gt;=7,"PASS","FAIL")</f>
        <v>PASS</v>
      </c>
      <c r="N26" s="39" t="str">
        <f>IF(AJ13&lt;10,"FAIL","PASS")</f>
        <v>PASS</v>
      </c>
      <c r="O26" s="39">
        <f>SUM(O16:O25)/10</f>
        <v>0</v>
      </c>
      <c r="P26" s="39" t="str">
        <f>IF(AL13&gt;=7,"PASS","FAIL")</f>
        <v>PASS</v>
      </c>
      <c r="Q26" s="39" t="str">
        <f>IF(AM13&lt;10,"FAIL","PASS")</f>
        <v>PASS</v>
      </c>
    </row>
    <row r="27" spans="1:17" ht="13.5" thickBot="1">
      <c r="A27" s="71"/>
      <c r="B27" s="76"/>
      <c r="C27" s="8"/>
      <c r="D27" s="64"/>
      <c r="E27" s="109" t="s">
        <v>46</v>
      </c>
      <c r="F27" s="111" t="s">
        <v>47</v>
      </c>
      <c r="G27" s="80"/>
      <c r="K27"/>
      <c r="P27" s="9"/>
      <c r="Q27" s="9"/>
    </row>
    <row r="28" spans="1:17" ht="13.5" thickBot="1">
      <c r="A28" s="71"/>
      <c r="B28" s="76"/>
      <c r="C28" s="71" t="s">
        <v>48</v>
      </c>
      <c r="D28" s="147">
        <f>A12</f>
        <v>0</v>
      </c>
      <c r="E28" s="110" t="s">
        <v>49</v>
      </c>
      <c r="F28" s="3">
        <f>ROUND(E29+(B32/1000),4)</f>
        <v>0</v>
      </c>
      <c r="G28" s="79" t="s">
        <v>50</v>
      </c>
      <c r="I28" s="52" t="s">
        <v>58</v>
      </c>
      <c r="J28" s="50" t="s">
        <v>59</v>
      </c>
      <c r="K28" s="48"/>
      <c r="L28" s="52" t="s">
        <v>58</v>
      </c>
      <c r="M28" s="50" t="s">
        <v>59</v>
      </c>
      <c r="N28" s="48"/>
      <c r="O28" s="52" t="s">
        <v>58</v>
      </c>
      <c r="P28" s="50" t="s">
        <v>59</v>
      </c>
      <c r="Q28" s="48"/>
    </row>
    <row r="29" spans="1:25" ht="13.5" thickBot="1">
      <c r="A29" s="64"/>
      <c r="B29" s="64"/>
      <c r="C29" s="71" t="s">
        <v>60</v>
      </c>
      <c r="D29" s="106"/>
      <c r="E29" s="78">
        <f>(D31)*(1-(L12/1000000))</f>
        <v>0</v>
      </c>
      <c r="F29" s="3">
        <f>ROUND(E29-(B32/1000),4)</f>
        <v>0</v>
      </c>
      <c r="G29" s="79" t="s">
        <v>52</v>
      </c>
      <c r="I29" s="53"/>
      <c r="J29" s="56">
        <f>(I26-$E$17)*1000</f>
        <v>0</v>
      </c>
      <c r="K29" s="37" t="s">
        <v>61</v>
      </c>
      <c r="L29" s="53"/>
      <c r="M29" s="56">
        <f>(L26-$E$23)*1000</f>
        <v>0</v>
      </c>
      <c r="N29" s="37" t="s">
        <v>61</v>
      </c>
      <c r="O29" s="53"/>
      <c r="P29" s="56">
        <f>(O26-$E$29)*1000</f>
        <v>0</v>
      </c>
      <c r="Q29" s="37" t="s">
        <v>61</v>
      </c>
      <c r="R29" s="9"/>
      <c r="S29" s="9"/>
      <c r="X29"/>
      <c r="Y29"/>
    </row>
    <row r="30" spans="1:25" ht="13.5" thickBot="1">
      <c r="A30" s="64" t="s">
        <v>62</v>
      </c>
      <c r="B30" s="64"/>
      <c r="C30" s="71" t="s">
        <v>63</v>
      </c>
      <c r="D30" s="107">
        <f>E9-F12</f>
        <v>0</v>
      </c>
      <c r="E30" s="64"/>
      <c r="F30" s="111" t="s">
        <v>8</v>
      </c>
      <c r="G30" s="80"/>
      <c r="I30" s="54" t="str">
        <f>IF(J29&gt;=0,"LONG","SHORT")</f>
        <v>LONG</v>
      </c>
      <c r="J30" s="57" t="s">
        <v>64</v>
      </c>
      <c r="K30" s="58"/>
      <c r="L30" s="54" t="str">
        <f>IF(M29&gt;=0,"LONG","SHORT")</f>
        <v>LONG</v>
      </c>
      <c r="M30" s="57" t="s">
        <v>64</v>
      </c>
      <c r="N30" s="58"/>
      <c r="O30" s="54" t="str">
        <f>IF(P29&gt;=0,"LONG","SHORT")</f>
        <v>LONG</v>
      </c>
      <c r="P30" s="57" t="s">
        <v>64</v>
      </c>
      <c r="Q30" s="58"/>
      <c r="R30" s="9"/>
      <c r="S30" s="9"/>
      <c r="X30"/>
      <c r="Y30"/>
    </row>
    <row r="31" spans="1:25" ht="13.5" thickBot="1">
      <c r="A31" s="64"/>
      <c r="B31" s="64"/>
      <c r="C31" s="71" t="s">
        <v>54</v>
      </c>
      <c r="D31" s="108">
        <f>SQRT((D29^2)+(D30^2))</f>
        <v>0</v>
      </c>
      <c r="E31" s="64"/>
      <c r="F31" s="3">
        <f>ROUND(E29+(3*B32/1000),4)</f>
        <v>0</v>
      </c>
      <c r="G31" s="81" t="s">
        <v>50</v>
      </c>
      <c r="I31" s="55"/>
      <c r="J31" s="51" t="e">
        <f>(I26-$E$17)/$E$17*1000000</f>
        <v>#DIV/0!</v>
      </c>
      <c r="K31" s="49" t="s">
        <v>65</v>
      </c>
      <c r="L31" s="55"/>
      <c r="M31" s="51" t="e">
        <f>(L26-$E$23)/$E$23*1000000</f>
        <v>#DIV/0!</v>
      </c>
      <c r="N31" s="49" t="s">
        <v>65</v>
      </c>
      <c r="O31" s="55"/>
      <c r="P31" s="51" t="e">
        <f>(O26-$E$29)/$E$29*1000000</f>
        <v>#DIV/0!</v>
      </c>
      <c r="Q31" s="49" t="s">
        <v>65</v>
      </c>
      <c r="R31" s="9"/>
      <c r="S31" s="9"/>
      <c r="X31"/>
      <c r="Y31"/>
    </row>
    <row r="32" spans="1:25" ht="13.5" thickBot="1">
      <c r="A32" s="71" t="s">
        <v>55</v>
      </c>
      <c r="B32" s="75">
        <f>E29*(I3/1000)+I2</f>
        <v>0</v>
      </c>
      <c r="C32" s="8"/>
      <c r="D32" s="64"/>
      <c r="E32" s="64"/>
      <c r="F32" s="3">
        <f>ROUND(E29-(3*B32/1000),4)</f>
        <v>0</v>
      </c>
      <c r="G32" s="81" t="s">
        <v>52</v>
      </c>
      <c r="K32"/>
      <c r="R32" s="9"/>
      <c r="S32" s="9"/>
      <c r="X32"/>
      <c r="Y32"/>
    </row>
    <row r="33" spans="1:25" ht="12.75">
      <c r="A33" s="74"/>
      <c r="B33" s="29"/>
      <c r="C33" s="28"/>
      <c r="D33" s="28"/>
      <c r="E33" s="28"/>
      <c r="K33"/>
      <c r="R33" s="9"/>
      <c r="S33" s="9"/>
      <c r="X33"/>
      <c r="Y33"/>
    </row>
    <row r="34" spans="1:11" ht="12.75">
      <c r="A34" s="64"/>
      <c r="B34" s="2"/>
      <c r="D34" s="6"/>
      <c r="E34" s="6"/>
      <c r="K34"/>
    </row>
    <row r="35" spans="1:11" ht="12.75">
      <c r="A35" s="65" t="s">
        <v>66</v>
      </c>
      <c r="B35" s="2"/>
      <c r="D35" s="6"/>
      <c r="E35" s="6"/>
      <c r="K35"/>
    </row>
    <row r="36" spans="1:25" s="152" customFormat="1" ht="12.75">
      <c r="A36" s="150"/>
      <c r="B36" s="151"/>
      <c r="D36" s="153"/>
      <c r="E36" s="153"/>
      <c r="X36" s="154"/>
      <c r="Y36" s="154"/>
    </row>
    <row r="37" spans="1:25" s="152" customFormat="1" ht="12" customHeight="1">
      <c r="A37" s="155"/>
      <c r="B37" s="155"/>
      <c r="C37" s="156"/>
      <c r="D37" s="156"/>
      <c r="E37" s="155"/>
      <c r="F37" s="155"/>
      <c r="G37" s="155"/>
      <c r="H37" s="155"/>
      <c r="I37" s="155"/>
      <c r="J37" s="155"/>
      <c r="K37" s="155"/>
      <c r="L37" s="155"/>
      <c r="M37" s="155"/>
      <c r="N37" s="155"/>
      <c r="O37" s="155"/>
      <c r="P37" s="155"/>
      <c r="Q37" s="155"/>
      <c r="X37" s="154"/>
      <c r="Y37" s="154"/>
    </row>
    <row r="38" spans="1:25" s="152" customFormat="1" ht="12.75">
      <c r="A38" s="157"/>
      <c r="B38" s="157"/>
      <c r="C38" s="157"/>
      <c r="D38" s="157"/>
      <c r="E38" s="157"/>
      <c r="F38" s="157"/>
      <c r="G38" s="157"/>
      <c r="H38" s="157"/>
      <c r="I38" s="157"/>
      <c r="J38" s="157"/>
      <c r="K38" s="157"/>
      <c r="L38" s="157"/>
      <c r="M38" s="157"/>
      <c r="N38" s="157"/>
      <c r="O38" s="157"/>
      <c r="P38" s="157"/>
      <c r="Q38" s="157"/>
      <c r="X38" s="154"/>
      <c r="Y38" s="154"/>
    </row>
    <row r="39" spans="1:25" s="158" customFormat="1" ht="12.75">
      <c r="A39" s="155"/>
      <c r="B39" s="155"/>
      <c r="C39" s="155"/>
      <c r="D39" s="155"/>
      <c r="E39" s="155"/>
      <c r="F39" s="155"/>
      <c r="G39" s="155"/>
      <c r="H39" s="155"/>
      <c r="I39" s="155"/>
      <c r="J39" s="155"/>
      <c r="K39" s="155"/>
      <c r="L39" s="155"/>
      <c r="M39" s="155"/>
      <c r="N39" s="155"/>
      <c r="O39" s="155"/>
      <c r="P39" s="155"/>
      <c r="Q39" s="155"/>
      <c r="X39" s="159"/>
      <c r="Y39" s="159"/>
    </row>
    <row r="40" spans="24:25" s="158" customFormat="1" ht="12.75">
      <c r="X40" s="159"/>
      <c r="Y40" s="159"/>
    </row>
    <row r="41" spans="24:25" s="158" customFormat="1" ht="12.75">
      <c r="X41" s="159"/>
      <c r="Y41" s="159"/>
    </row>
    <row r="42" spans="24:25" s="92" customFormat="1" ht="12.75">
      <c r="X42" s="4"/>
      <c r="Y42" s="4"/>
    </row>
    <row r="43" spans="24:25" s="92" customFormat="1" ht="12.75">
      <c r="X43" s="4"/>
      <c r="Y43" s="4"/>
    </row>
    <row r="44" spans="1:18" ht="12.75">
      <c r="A44" s="92"/>
      <c r="B44" s="92"/>
      <c r="C44" s="92"/>
      <c r="D44" s="92"/>
      <c r="E44" s="92"/>
      <c r="F44" s="92"/>
      <c r="G44" s="92"/>
      <c r="H44" s="92"/>
      <c r="I44" s="92"/>
      <c r="J44" s="92"/>
      <c r="K44" s="92"/>
      <c r="L44" s="92"/>
      <c r="M44" s="92"/>
      <c r="N44" s="92"/>
      <c r="O44" s="92"/>
      <c r="P44" s="92"/>
      <c r="Q44" s="92"/>
      <c r="R44" s="92"/>
    </row>
    <row r="45" ht="12.75">
      <c r="K45"/>
    </row>
    <row r="46" ht="12.75">
      <c r="K46"/>
    </row>
    <row r="47" ht="12.75">
      <c r="K47"/>
    </row>
    <row r="48" ht="12.75">
      <c r="K48"/>
    </row>
    <row r="49" ht="12.75">
      <c r="K49"/>
    </row>
    <row r="50" ht="12.75">
      <c r="K50"/>
    </row>
    <row r="51" ht="12.75">
      <c r="K51"/>
    </row>
    <row r="52" ht="12.75">
      <c r="K52"/>
    </row>
    <row r="53" ht="12.75">
      <c r="K53"/>
    </row>
    <row r="58" ht="12.75">
      <c r="K58"/>
    </row>
    <row r="59" ht="12.75">
      <c r="K59"/>
    </row>
    <row r="60" ht="12.75">
      <c r="K60"/>
    </row>
    <row r="61" ht="12.75">
      <c r="K61"/>
    </row>
  </sheetData>
  <sheetProtection sheet="1" objects="1" scenarios="1"/>
  <printOptions/>
  <pageMargins left="0.36" right="0.33" top="1" bottom="1" header="0.5" footer="0.5"/>
  <pageSetup horizontalDpi="300" verticalDpi="300" orientation="landscape" scale="80" r:id="rId1"/>
  <headerFooter alignWithMargins="0">
    <oddHeader>&amp;L
&amp;D&amp;C
&amp;F&amp;R
&amp;T</oddHeader>
    <oddFooter>&amp;CPage &amp;P&amp;RREVISED E. HALL / J. MOORE  11/97
CREW 3811 ODOT</oddFooter>
  </headerFooter>
</worksheet>
</file>

<file path=xl/worksheets/sheet2.xml><?xml version="1.0" encoding="utf-8"?>
<worksheet xmlns="http://schemas.openxmlformats.org/spreadsheetml/2006/main" xmlns:r="http://schemas.openxmlformats.org/officeDocument/2006/relationships">
  <dimension ref="A2:AN61"/>
  <sheetViews>
    <sheetView showGridLines="0" tabSelected="1" workbookViewId="0" topLeftCell="A1">
      <selection activeCell="M7" sqref="M7"/>
    </sheetView>
  </sheetViews>
  <sheetFormatPr defaultColWidth="9.140625" defaultRowHeight="12.75"/>
  <cols>
    <col min="3" max="3" width="7.00390625" style="0" customWidth="1"/>
    <col min="4" max="4" width="10.28125" style="0" customWidth="1"/>
    <col min="5" max="6" width="9.57421875" style="0" customWidth="1"/>
    <col min="7" max="7" width="9.7109375" style="0" customWidth="1"/>
    <col min="8" max="8" width="12.8515625" style="0" customWidth="1"/>
    <col min="9" max="9" width="11.7109375" style="0" customWidth="1"/>
    <col min="10" max="10" width="8.28125" style="0" customWidth="1"/>
    <col min="11" max="11" width="9.57421875" style="1" customWidth="1"/>
    <col min="12" max="12" width="11.7109375" style="0" customWidth="1"/>
    <col min="15" max="15" width="11.7109375" style="0" customWidth="1"/>
    <col min="16" max="16" width="9.28125" style="0" bestFit="1" customWidth="1"/>
    <col min="17" max="17" width="10.00390625" style="0" customWidth="1"/>
    <col min="20" max="20" width="11.7109375" style="0" customWidth="1"/>
    <col min="23" max="23" width="11.7109375" style="0" customWidth="1"/>
    <col min="24" max="25" width="9.140625" style="9" customWidth="1"/>
  </cols>
  <sheetData>
    <row r="1" ht="13.5" thickBot="1"/>
    <row r="2" spans="1:40" ht="13.5" thickBot="1">
      <c r="A2" s="134"/>
      <c r="B2" s="135" t="s">
        <v>2</v>
      </c>
      <c r="C2" s="136"/>
      <c r="E2" s="93" t="s">
        <v>3</v>
      </c>
      <c r="F2" s="163" t="s">
        <v>70</v>
      </c>
      <c r="H2" s="137" t="s">
        <v>4</v>
      </c>
      <c r="I2" s="104">
        <v>2</v>
      </c>
      <c r="K2"/>
      <c r="N2" s="70" t="s">
        <v>5</v>
      </c>
      <c r="O2" s="102" t="s">
        <v>72</v>
      </c>
      <c r="P2" s="103"/>
      <c r="X2"/>
      <c r="Y2"/>
      <c r="Z2" s="40"/>
      <c r="AD2" s="41" t="s">
        <v>6</v>
      </c>
      <c r="AE2" s="10">
        <v>280</v>
      </c>
      <c r="AF2" s="10" t="s">
        <v>7</v>
      </c>
      <c r="AG2" s="10" t="s">
        <v>8</v>
      </c>
      <c r="AH2" s="10">
        <v>430</v>
      </c>
      <c r="AI2" s="10" t="s">
        <v>7</v>
      </c>
      <c r="AJ2" s="38" t="s">
        <v>8</v>
      </c>
      <c r="AK2" s="38">
        <v>1080</v>
      </c>
      <c r="AL2" s="42" t="s">
        <v>7</v>
      </c>
      <c r="AM2" s="43" t="s">
        <v>8</v>
      </c>
      <c r="AN2" s="40"/>
    </row>
    <row r="3" spans="1:40" ht="13.5" thickBot="1">
      <c r="A3" s="133" t="s">
        <v>9</v>
      </c>
      <c r="B3" s="14" t="s">
        <v>67</v>
      </c>
      <c r="C3" s="15"/>
      <c r="E3" s="93" t="s">
        <v>10</v>
      </c>
      <c r="F3" s="160" t="s">
        <v>71</v>
      </c>
      <c r="H3" s="138" t="s">
        <v>11</v>
      </c>
      <c r="I3" s="105">
        <v>2</v>
      </c>
      <c r="O3" s="40"/>
      <c r="X3"/>
      <c r="Y3"/>
      <c r="Z3" s="40"/>
      <c r="AD3" s="41" t="s">
        <v>12</v>
      </c>
      <c r="AE3" s="7">
        <f aca="true" t="shared" si="0" ref="AE3:AE12">I16</f>
        <v>149.998</v>
      </c>
      <c r="AF3" s="45">
        <f aca="true" t="shared" si="1" ref="AF3:AF12">IF(AND($F$17&lt;=AE3,AE3&lt;=$F$16),1,0)</f>
        <v>1</v>
      </c>
      <c r="AG3" s="45">
        <f aca="true" t="shared" si="2" ref="AG3:AG12">IF(AND($F$20&lt;=AE3,AE3&lt;=$F$19),1,0)</f>
        <v>1</v>
      </c>
      <c r="AH3" s="7">
        <f aca="true" t="shared" si="3" ref="AH3:AH12">L16</f>
        <v>940.043</v>
      </c>
      <c r="AI3" s="45">
        <f aca="true" t="shared" si="4" ref="AI3:AI12">IF(AND($F$23&lt;=AH3,AH3&lt;=$F$22),1,0)</f>
        <v>1</v>
      </c>
      <c r="AJ3" s="45">
        <f aca="true" t="shared" si="5" ref="AJ3:AJ12">IF(AND($F$26&lt;=AH3,AH3&lt;=$F$25),1,0)</f>
        <v>1</v>
      </c>
      <c r="AK3" s="7">
        <f aca="true" t="shared" si="6" ref="AK3:AK12">O16</f>
        <v>1370.027</v>
      </c>
      <c r="AL3" s="44">
        <f aca="true" t="shared" si="7" ref="AL3:AL12">IF(AND($F$29&lt;=AK3,AK3&lt;=$F$28),1,0)</f>
        <v>1</v>
      </c>
      <c r="AM3" s="44">
        <f aca="true" t="shared" si="8" ref="AM3:AM12">IF(AND($F$32&lt;=AK3,AK3&lt;=$F$31),1,0)</f>
        <v>1</v>
      </c>
      <c r="AN3" s="40"/>
    </row>
    <row r="4" spans="1:40" ht="13.5" thickBot="1">
      <c r="A4" s="133" t="s">
        <v>13</v>
      </c>
      <c r="B4" s="14" t="s">
        <v>68</v>
      </c>
      <c r="C4" s="15"/>
      <c r="E4" s="11"/>
      <c r="F4" s="11"/>
      <c r="G4" s="11"/>
      <c r="H4" s="11"/>
      <c r="O4" s="12"/>
      <c r="P4" s="94" t="s">
        <v>14</v>
      </c>
      <c r="Q4" s="13"/>
      <c r="X4"/>
      <c r="Y4"/>
      <c r="Z4" s="40"/>
      <c r="AD4" s="41" t="s">
        <v>15</v>
      </c>
      <c r="AE4" s="7">
        <f t="shared" si="0"/>
        <v>149.998</v>
      </c>
      <c r="AF4" s="45">
        <f t="shared" si="1"/>
        <v>1</v>
      </c>
      <c r="AG4" s="45">
        <f t="shared" si="2"/>
        <v>1</v>
      </c>
      <c r="AH4" s="7">
        <f t="shared" si="3"/>
        <v>940.045</v>
      </c>
      <c r="AI4" s="45">
        <f t="shared" si="4"/>
        <v>1</v>
      </c>
      <c r="AJ4" s="45">
        <f t="shared" si="5"/>
        <v>1</v>
      </c>
      <c r="AK4" s="7">
        <f t="shared" si="6"/>
        <v>1370.027</v>
      </c>
      <c r="AL4" s="44">
        <f t="shared" si="7"/>
        <v>1</v>
      </c>
      <c r="AM4" s="44">
        <f t="shared" si="8"/>
        <v>1</v>
      </c>
      <c r="AN4" s="40"/>
    </row>
    <row r="5" spans="1:40" ht="13.5" thickBot="1">
      <c r="A5" s="133" t="s">
        <v>16</v>
      </c>
      <c r="B5" s="14" t="s">
        <v>69</v>
      </c>
      <c r="C5" s="15"/>
      <c r="E5" s="127"/>
      <c r="F5" s="128" t="s">
        <v>17</v>
      </c>
      <c r="G5" s="129"/>
      <c r="H5" s="130" t="s">
        <v>18</v>
      </c>
      <c r="I5" s="129"/>
      <c r="J5" s="130" t="s">
        <v>19</v>
      </c>
      <c r="K5" s="131"/>
      <c r="L5" s="33"/>
      <c r="O5" s="95" t="s">
        <v>20</v>
      </c>
      <c r="P5" s="98" t="s">
        <v>76</v>
      </c>
      <c r="Q5" s="99"/>
      <c r="X5"/>
      <c r="Y5"/>
      <c r="Z5" s="40"/>
      <c r="AD5" s="41" t="s">
        <v>21</v>
      </c>
      <c r="AE5" s="7">
        <f t="shared" si="0"/>
        <v>149.998</v>
      </c>
      <c r="AF5" s="45">
        <f t="shared" si="1"/>
        <v>1</v>
      </c>
      <c r="AG5" s="45">
        <f t="shared" si="2"/>
        <v>1</v>
      </c>
      <c r="AH5" s="7">
        <f t="shared" si="3"/>
        <v>940.044</v>
      </c>
      <c r="AI5" s="45">
        <f t="shared" si="4"/>
        <v>1</v>
      </c>
      <c r="AJ5" s="45">
        <f t="shared" si="5"/>
        <v>1</v>
      </c>
      <c r="AK5" s="7">
        <f t="shared" si="6"/>
        <v>1370.027</v>
      </c>
      <c r="AL5" s="44">
        <f t="shared" si="7"/>
        <v>1</v>
      </c>
      <c r="AM5" s="44">
        <f t="shared" si="8"/>
        <v>1</v>
      </c>
      <c r="AN5" s="40"/>
    </row>
    <row r="6" spans="1:40" ht="13.5" thickBot="1">
      <c r="A6" s="113" t="s">
        <v>16</v>
      </c>
      <c r="B6" s="16"/>
      <c r="C6" s="17"/>
      <c r="E6" s="132" t="s">
        <v>22</v>
      </c>
      <c r="F6" s="32" t="s">
        <v>73</v>
      </c>
      <c r="G6" s="16"/>
      <c r="H6" s="32" t="s">
        <v>74</v>
      </c>
      <c r="I6" s="16"/>
      <c r="J6" s="34" t="s">
        <v>75</v>
      </c>
      <c r="K6" s="35"/>
      <c r="O6" s="96" t="s">
        <v>23</v>
      </c>
      <c r="P6" s="100" t="s">
        <v>77</v>
      </c>
      <c r="Q6" s="101"/>
      <c r="X6"/>
      <c r="Y6"/>
      <c r="Z6" s="40"/>
      <c r="AD6" s="41" t="s">
        <v>24</v>
      </c>
      <c r="AE6" s="7">
        <f t="shared" si="0"/>
        <v>149.998</v>
      </c>
      <c r="AF6" s="45">
        <f t="shared" si="1"/>
        <v>1</v>
      </c>
      <c r="AG6" s="45">
        <f t="shared" si="2"/>
        <v>1</v>
      </c>
      <c r="AH6" s="7">
        <f t="shared" si="3"/>
        <v>940.043</v>
      </c>
      <c r="AI6" s="45">
        <f t="shared" si="4"/>
        <v>1</v>
      </c>
      <c r="AJ6" s="45">
        <f t="shared" si="5"/>
        <v>1</v>
      </c>
      <c r="AK6" s="7">
        <f t="shared" si="6"/>
        <v>1370.027</v>
      </c>
      <c r="AL6" s="44">
        <f t="shared" si="7"/>
        <v>1</v>
      </c>
      <c r="AM6" s="44">
        <f t="shared" si="8"/>
        <v>1</v>
      </c>
      <c r="AN6" s="40"/>
    </row>
    <row r="7" spans="1:40" ht="13.5" thickBot="1">
      <c r="A7" s="30"/>
      <c r="B7" s="31"/>
      <c r="C7" s="31"/>
      <c r="O7" s="97" t="s">
        <v>25</v>
      </c>
      <c r="P7" s="149">
        <v>9999999</v>
      </c>
      <c r="Q7" s="17"/>
      <c r="X7"/>
      <c r="Y7"/>
      <c r="Z7" s="40"/>
      <c r="AD7" s="41" t="s">
        <v>26</v>
      </c>
      <c r="AE7" s="7">
        <f t="shared" si="0"/>
        <v>149.998</v>
      </c>
      <c r="AF7" s="45">
        <f t="shared" si="1"/>
        <v>1</v>
      </c>
      <c r="AG7" s="45">
        <f t="shared" si="2"/>
        <v>1</v>
      </c>
      <c r="AH7" s="7">
        <f t="shared" si="3"/>
        <v>940.044</v>
      </c>
      <c r="AI7" s="45">
        <f t="shared" si="4"/>
        <v>1</v>
      </c>
      <c r="AJ7" s="45">
        <f t="shared" si="5"/>
        <v>1</v>
      </c>
      <c r="AK7" s="7">
        <f t="shared" si="6"/>
        <v>1370.027</v>
      </c>
      <c r="AL7" s="44">
        <f t="shared" si="7"/>
        <v>1</v>
      </c>
      <c r="AM7" s="44">
        <f t="shared" si="8"/>
        <v>1</v>
      </c>
      <c r="AN7" s="40"/>
    </row>
    <row r="8" spans="1:40" ht="13.5" thickBot="1">
      <c r="A8" s="23" t="s">
        <v>27</v>
      </c>
      <c r="B8" s="24" t="s">
        <v>28</v>
      </c>
      <c r="C8" s="24" t="s">
        <v>29</v>
      </c>
      <c r="D8" s="25" t="s">
        <v>30</v>
      </c>
      <c r="E8" s="25" t="s">
        <v>31</v>
      </c>
      <c r="F8" s="26" t="s">
        <v>32</v>
      </c>
      <c r="G8" s="27" t="s">
        <v>33</v>
      </c>
      <c r="H8" s="24" t="s">
        <v>34</v>
      </c>
      <c r="I8" s="114" t="s">
        <v>35</v>
      </c>
      <c r="J8" s="114" t="s">
        <v>36</v>
      </c>
      <c r="K8" s="114" t="s">
        <v>37</v>
      </c>
      <c r="L8" s="139" t="s">
        <v>38</v>
      </c>
      <c r="X8"/>
      <c r="Y8"/>
      <c r="Z8" s="40"/>
      <c r="AD8" s="41" t="s">
        <v>39</v>
      </c>
      <c r="AE8" s="7">
        <f t="shared" si="0"/>
        <v>149.998</v>
      </c>
      <c r="AF8" s="45">
        <f t="shared" si="1"/>
        <v>1</v>
      </c>
      <c r="AG8" s="45">
        <f t="shared" si="2"/>
        <v>1</v>
      </c>
      <c r="AH8" s="7">
        <f t="shared" si="3"/>
        <v>940.045</v>
      </c>
      <c r="AI8" s="45">
        <f t="shared" si="4"/>
        <v>1</v>
      </c>
      <c r="AJ8" s="45">
        <f t="shared" si="5"/>
        <v>1</v>
      </c>
      <c r="AK8" s="7">
        <f t="shared" si="6"/>
        <v>1370.027</v>
      </c>
      <c r="AL8" s="44">
        <f t="shared" si="7"/>
        <v>1</v>
      </c>
      <c r="AM8" s="44">
        <f t="shared" si="8"/>
        <v>1</v>
      </c>
      <c r="AN8" s="40"/>
    </row>
    <row r="9" spans="1:40" ht="13.5" thickBot="1">
      <c r="A9" s="143">
        <v>0</v>
      </c>
      <c r="B9" s="59">
        <v>60.96</v>
      </c>
      <c r="C9" s="59">
        <v>1.584</v>
      </c>
      <c r="D9" s="66"/>
      <c r="E9" s="60">
        <f>B9+C9</f>
        <v>62.544000000000004</v>
      </c>
      <c r="F9" s="115"/>
      <c r="G9" s="86"/>
      <c r="H9" s="86"/>
      <c r="I9" s="116"/>
      <c r="J9" s="116"/>
      <c r="K9" s="116"/>
      <c r="L9" s="117"/>
      <c r="O9" s="12"/>
      <c r="P9" s="94" t="s">
        <v>40</v>
      </c>
      <c r="Q9" s="13"/>
      <c r="X9"/>
      <c r="Y9"/>
      <c r="Z9" s="40"/>
      <c r="AD9" s="41" t="s">
        <v>41</v>
      </c>
      <c r="AE9" s="7">
        <f t="shared" si="0"/>
        <v>149.998</v>
      </c>
      <c r="AF9" s="45">
        <f t="shared" si="1"/>
        <v>1</v>
      </c>
      <c r="AG9" s="45">
        <f t="shared" si="2"/>
        <v>1</v>
      </c>
      <c r="AH9" s="7">
        <f t="shared" si="3"/>
        <v>940.044</v>
      </c>
      <c r="AI9" s="45">
        <f t="shared" si="4"/>
        <v>1</v>
      </c>
      <c r="AJ9" s="45">
        <f t="shared" si="5"/>
        <v>1</v>
      </c>
      <c r="AK9" s="7">
        <f t="shared" si="6"/>
        <v>1370.027</v>
      </c>
      <c r="AL9" s="44">
        <f t="shared" si="7"/>
        <v>1</v>
      </c>
      <c r="AM9" s="44">
        <f t="shared" si="8"/>
        <v>1</v>
      </c>
      <c r="AN9" s="40"/>
    </row>
    <row r="10" spans="1:40" ht="12.75">
      <c r="A10" s="144">
        <v>150</v>
      </c>
      <c r="B10" s="59">
        <v>60.231</v>
      </c>
      <c r="C10" s="66"/>
      <c r="D10" s="59">
        <v>1.578</v>
      </c>
      <c r="E10" s="68"/>
      <c r="F10" s="118">
        <f>B10+D10</f>
        <v>61.809000000000005</v>
      </c>
      <c r="G10" s="62">
        <v>8</v>
      </c>
      <c r="H10" s="62">
        <v>1023</v>
      </c>
      <c r="I10" s="119">
        <f>((7.5*G10)/(237.3+G10))+0.7857</f>
        <v>1.0302984508764776</v>
      </c>
      <c r="J10" s="120">
        <f>1/273.16</f>
        <v>0.0036608581051398447</v>
      </c>
      <c r="K10" s="112">
        <v>0.6</v>
      </c>
      <c r="L10" s="121">
        <f>281.8-(((0.29065*H10)/(1+J10*G10))-((4.126*0.0001*K10)/(1+J10*G10))*10^I10)</f>
        <v>-7.0721363107571165</v>
      </c>
      <c r="O10" s="95" t="s">
        <v>20</v>
      </c>
      <c r="P10" s="98" t="s">
        <v>76</v>
      </c>
      <c r="Q10" s="99"/>
      <c r="X10"/>
      <c r="Y10"/>
      <c r="Z10" s="40"/>
      <c r="AD10" s="41" t="s">
        <v>42</v>
      </c>
      <c r="AE10" s="7">
        <f t="shared" si="0"/>
        <v>149.998</v>
      </c>
      <c r="AF10" s="45">
        <f t="shared" si="1"/>
        <v>1</v>
      </c>
      <c r="AG10" s="45">
        <f t="shared" si="2"/>
        <v>1</v>
      </c>
      <c r="AH10" s="7">
        <f t="shared" si="3"/>
        <v>940.044</v>
      </c>
      <c r="AI10" s="45">
        <f t="shared" si="4"/>
        <v>1</v>
      </c>
      <c r="AJ10" s="45">
        <f t="shared" si="5"/>
        <v>1</v>
      </c>
      <c r="AK10" s="7">
        <f t="shared" si="6"/>
        <v>1370.027</v>
      </c>
      <c r="AL10" s="44">
        <f t="shared" si="7"/>
        <v>1</v>
      </c>
      <c r="AM10" s="44">
        <f t="shared" si="8"/>
        <v>1</v>
      </c>
      <c r="AN10" s="40"/>
    </row>
    <row r="11" spans="1:40" ht="12.75">
      <c r="A11" s="144">
        <v>940</v>
      </c>
      <c r="B11" s="59">
        <v>51.911</v>
      </c>
      <c r="C11" s="66"/>
      <c r="D11" s="59">
        <v>1.588</v>
      </c>
      <c r="E11" s="68"/>
      <c r="F11" s="118">
        <f>B11+D11</f>
        <v>53.499</v>
      </c>
      <c r="G11" s="62">
        <v>8</v>
      </c>
      <c r="H11" s="62">
        <v>1023</v>
      </c>
      <c r="I11" s="119">
        <f>((7.5*G11)/(237.3+G11))+0.7857</f>
        <v>1.0302984508764776</v>
      </c>
      <c r="J11" s="120">
        <f>1/273.16</f>
        <v>0.0036608581051398447</v>
      </c>
      <c r="K11" s="112">
        <v>0.6</v>
      </c>
      <c r="L11" s="121">
        <f>281.8-(((0.29065*H11)/(1+J11*G11))-((4.126*(10^-4)*K11)/(1+J11*G11))*10^I11)</f>
        <v>-7.0721363107571165</v>
      </c>
      <c r="O11" s="96" t="s">
        <v>23</v>
      </c>
      <c r="P11" s="100" t="s">
        <v>77</v>
      </c>
      <c r="Q11" s="101"/>
      <c r="X11"/>
      <c r="Y11"/>
      <c r="Z11" s="40"/>
      <c r="AD11" s="41" t="s">
        <v>43</v>
      </c>
      <c r="AE11" s="7">
        <f t="shared" si="0"/>
        <v>149.998</v>
      </c>
      <c r="AF11" s="45">
        <f t="shared" si="1"/>
        <v>1</v>
      </c>
      <c r="AG11" s="45">
        <f t="shared" si="2"/>
        <v>1</v>
      </c>
      <c r="AH11" s="7">
        <f t="shared" si="3"/>
        <v>940.045</v>
      </c>
      <c r="AI11" s="45">
        <f t="shared" si="4"/>
        <v>1</v>
      </c>
      <c r="AJ11" s="45">
        <f t="shared" si="5"/>
        <v>1</v>
      </c>
      <c r="AK11" s="7">
        <f t="shared" si="6"/>
        <v>1370.027</v>
      </c>
      <c r="AL11" s="44">
        <f t="shared" si="7"/>
        <v>1</v>
      </c>
      <c r="AM11" s="44">
        <f t="shared" si="8"/>
        <v>1</v>
      </c>
      <c r="AN11" s="40"/>
    </row>
    <row r="12" spans="1:40" ht="13.5" thickBot="1">
      <c r="A12" s="145">
        <v>1370</v>
      </c>
      <c r="B12" s="61">
        <v>52.391</v>
      </c>
      <c r="C12" s="67"/>
      <c r="D12" s="61">
        <v>1.595</v>
      </c>
      <c r="E12" s="69"/>
      <c r="F12" s="122">
        <f>B12+D12</f>
        <v>53.986</v>
      </c>
      <c r="G12" s="63">
        <v>8</v>
      </c>
      <c r="H12" s="63">
        <v>1023</v>
      </c>
      <c r="I12" s="123">
        <f>((7.5*G12)/(237.3+G12))+0.7857</f>
        <v>1.0302984508764776</v>
      </c>
      <c r="J12" s="124">
        <f>1/273.16</f>
        <v>0.0036608581051398447</v>
      </c>
      <c r="K12" s="125">
        <v>0.6</v>
      </c>
      <c r="L12" s="126">
        <f>281.8-(((0.29065*H12)/(1+J12*G12))-((4.126*0.0001*K12)/(1+J12*G12))*10^I12)</f>
        <v>-7.0721363107571165</v>
      </c>
      <c r="O12" s="97" t="s">
        <v>25</v>
      </c>
      <c r="P12" s="149" t="s">
        <v>78</v>
      </c>
      <c r="Q12" s="17"/>
      <c r="X12"/>
      <c r="Y12"/>
      <c r="Z12" s="40"/>
      <c r="AD12" s="41" t="s">
        <v>44</v>
      </c>
      <c r="AE12" s="7">
        <f t="shared" si="0"/>
        <v>149.998</v>
      </c>
      <c r="AF12" s="45">
        <f t="shared" si="1"/>
        <v>1</v>
      </c>
      <c r="AG12" s="45">
        <f t="shared" si="2"/>
        <v>1</v>
      </c>
      <c r="AH12" s="7">
        <f t="shared" si="3"/>
        <v>940.046</v>
      </c>
      <c r="AI12" s="45">
        <f t="shared" si="4"/>
        <v>1</v>
      </c>
      <c r="AJ12" s="45">
        <f t="shared" si="5"/>
        <v>1</v>
      </c>
      <c r="AK12" s="7">
        <f t="shared" si="6"/>
        <v>1370.027</v>
      </c>
      <c r="AL12" s="44">
        <f t="shared" si="7"/>
        <v>1</v>
      </c>
      <c r="AM12" s="44">
        <f t="shared" si="8"/>
        <v>1</v>
      </c>
      <c r="AN12" s="40"/>
    </row>
    <row r="13" spans="1:40" ht="13.5" thickBot="1">
      <c r="A13" s="9"/>
      <c r="B13" s="9"/>
      <c r="C13" s="11"/>
      <c r="D13" s="21"/>
      <c r="E13" s="18"/>
      <c r="F13" s="22"/>
      <c r="G13" s="19"/>
      <c r="H13" s="20"/>
      <c r="K13"/>
      <c r="O13" s="40"/>
      <c r="X13"/>
      <c r="Y13"/>
      <c r="Z13" s="40"/>
      <c r="AD13" s="41" t="s">
        <v>45</v>
      </c>
      <c r="AE13" s="39">
        <f>SUM(AE3:AE12)/10</f>
        <v>149.99800000000002</v>
      </c>
      <c r="AF13" s="46">
        <f>SUM(AF3:AF12)</f>
        <v>10</v>
      </c>
      <c r="AG13" s="46">
        <f>SUM(AG3:AG12)</f>
        <v>10</v>
      </c>
      <c r="AH13" s="39">
        <f>SUM(AH3:AH12)/10</f>
        <v>940.0442999999999</v>
      </c>
      <c r="AI13" s="46">
        <f>SUM(AI3:AI12)</f>
        <v>10</v>
      </c>
      <c r="AJ13" s="46">
        <f>SUM(AJ3:AJ12)</f>
        <v>10</v>
      </c>
      <c r="AK13" s="39">
        <f>SUM(AK3:AK12)/10</f>
        <v>1370.027</v>
      </c>
      <c r="AL13" s="47">
        <f>SUM(AL3:AL12)</f>
        <v>10</v>
      </c>
      <c r="AM13" s="36">
        <f>SUM(AM3:AM12)</f>
        <v>10</v>
      </c>
      <c r="AN13" s="40"/>
    </row>
    <row r="14" spans="2:25" ht="13.5" thickBot="1">
      <c r="B14" s="4"/>
      <c r="C14" s="5"/>
      <c r="D14" s="64"/>
      <c r="E14" s="64"/>
      <c r="F14" s="64"/>
      <c r="G14" s="64"/>
      <c r="K14"/>
      <c r="X14"/>
      <c r="Y14"/>
    </row>
    <row r="15" spans="2:25" ht="13.5" thickBot="1">
      <c r="B15" s="6"/>
      <c r="D15" s="77"/>
      <c r="E15" s="109" t="s">
        <v>46</v>
      </c>
      <c r="F15" s="111" t="s">
        <v>47</v>
      </c>
      <c r="G15" s="64"/>
      <c r="H15" s="72" t="s">
        <v>6</v>
      </c>
      <c r="I15" s="142">
        <f>A10</f>
        <v>150</v>
      </c>
      <c r="J15" s="87" t="s">
        <v>7</v>
      </c>
      <c r="K15" s="88" t="s">
        <v>8</v>
      </c>
      <c r="L15" s="142">
        <f>A11</f>
        <v>940</v>
      </c>
      <c r="M15" s="87" t="s">
        <v>7</v>
      </c>
      <c r="N15" s="89" t="s">
        <v>8</v>
      </c>
      <c r="O15" s="146">
        <f>A12</f>
        <v>1370</v>
      </c>
      <c r="P15" s="90" t="s">
        <v>7</v>
      </c>
      <c r="Q15" s="91" t="s">
        <v>8</v>
      </c>
      <c r="X15"/>
      <c r="Y15"/>
    </row>
    <row r="16" spans="1:25" ht="13.5" thickBot="1">
      <c r="A16" s="6"/>
      <c r="B16" s="6"/>
      <c r="C16" t="s">
        <v>48</v>
      </c>
      <c r="D16" s="147">
        <f>A10</f>
        <v>150</v>
      </c>
      <c r="E16" s="110" t="s">
        <v>49</v>
      </c>
      <c r="F16" s="78">
        <f>ROUND(E17+(B20/1000),4)</f>
        <v>150.0023</v>
      </c>
      <c r="G16" s="79" t="s">
        <v>50</v>
      </c>
      <c r="H16" s="72" t="s">
        <v>12</v>
      </c>
      <c r="I16" s="82">
        <v>149.998</v>
      </c>
      <c r="J16" s="7" t="str">
        <f aca="true" t="shared" si="9" ref="J16:J25">IF(AND($F$17&lt;=I16,I16&lt;=$F$16),"PASS","FAIL")</f>
        <v>PASS</v>
      </c>
      <c r="K16" s="83" t="str">
        <f aca="true" t="shared" si="10" ref="K16:K25">IF(AND($F$20&lt;=I16,I16&lt;=$F$19),"PASS","FAIL")</f>
        <v>PASS</v>
      </c>
      <c r="L16" s="82">
        <v>940.043</v>
      </c>
      <c r="M16" s="7" t="str">
        <f aca="true" t="shared" si="11" ref="M16:M25">IF(AND($F$23&lt;=L16,L16&lt;=$F$22),"PASS","FAIL")</f>
        <v>PASS</v>
      </c>
      <c r="N16" s="83" t="str">
        <f aca="true" t="shared" si="12" ref="N16:N25">IF(AND($F$26&lt;=L16,L16&lt;=$F$25),"PASS","FAIL")</f>
        <v>PASS</v>
      </c>
      <c r="O16" s="82">
        <v>1370.027</v>
      </c>
      <c r="P16" s="44" t="str">
        <f aca="true" t="shared" si="13" ref="P16:P25">IF(AND($F$29&lt;=O16,O16&lt;=$F$28),"PASS","FAIL")</f>
        <v>PASS</v>
      </c>
      <c r="Q16" s="85" t="str">
        <f aca="true" t="shared" si="14" ref="Q16:Q25">IF(AND($F$32&lt;=O16,O16&lt;=$F$31),"PASS","FAIL")</f>
        <v>PASS</v>
      </c>
      <c r="X16"/>
      <c r="Y16"/>
    </row>
    <row r="17" spans="1:25" ht="13.5" thickBot="1">
      <c r="A17" s="73"/>
      <c r="B17" s="6"/>
      <c r="C17" s="71" t="s">
        <v>51</v>
      </c>
      <c r="D17" s="106">
        <v>149.9971</v>
      </c>
      <c r="E17" s="78">
        <f>(D19)*(1-(L10/1000000))</f>
        <v>149.9999615866784</v>
      </c>
      <c r="F17" s="78">
        <f>ROUND(E17-(B20/1000),4)</f>
        <v>149.9977</v>
      </c>
      <c r="G17" s="79" t="s">
        <v>52</v>
      </c>
      <c r="H17" s="72" t="s">
        <v>15</v>
      </c>
      <c r="I17" s="82">
        <v>149.998</v>
      </c>
      <c r="J17" s="7" t="str">
        <f t="shared" si="9"/>
        <v>PASS</v>
      </c>
      <c r="K17" s="83" t="str">
        <f t="shared" si="10"/>
        <v>PASS</v>
      </c>
      <c r="L17" s="82">
        <v>940.045</v>
      </c>
      <c r="M17" s="7" t="str">
        <f t="shared" si="11"/>
        <v>PASS</v>
      </c>
      <c r="N17" s="83" t="str">
        <f t="shared" si="12"/>
        <v>PASS</v>
      </c>
      <c r="O17" s="82">
        <v>1370.027</v>
      </c>
      <c r="P17" s="44" t="str">
        <f t="shared" si="13"/>
        <v>PASS</v>
      </c>
      <c r="Q17" s="85" t="str">
        <f t="shared" si="14"/>
        <v>PASS</v>
      </c>
      <c r="X17"/>
      <c r="Y17"/>
    </row>
    <row r="18" spans="1:25" ht="13.5" thickBot="1">
      <c r="A18" s="73"/>
      <c r="B18" s="6"/>
      <c r="C18" s="71" t="s">
        <v>53</v>
      </c>
      <c r="D18" s="107">
        <f>E9-F10</f>
        <v>0.7349999999999994</v>
      </c>
      <c r="E18" s="64"/>
      <c r="F18" s="111" t="s">
        <v>8</v>
      </c>
      <c r="G18" s="80"/>
      <c r="H18" s="72" t="s">
        <v>21</v>
      </c>
      <c r="I18" s="82">
        <v>149.998</v>
      </c>
      <c r="J18" s="7" t="str">
        <f t="shared" si="9"/>
        <v>PASS</v>
      </c>
      <c r="K18" s="83" t="str">
        <f t="shared" si="10"/>
        <v>PASS</v>
      </c>
      <c r="L18" s="82">
        <v>940.044</v>
      </c>
      <c r="M18" s="7" t="str">
        <f t="shared" si="11"/>
        <v>PASS</v>
      </c>
      <c r="N18" s="83" t="str">
        <f t="shared" si="12"/>
        <v>PASS</v>
      </c>
      <c r="O18" s="82">
        <v>1370.027</v>
      </c>
      <c r="P18" s="44" t="str">
        <f t="shared" si="13"/>
        <v>PASS</v>
      </c>
      <c r="Q18" s="85" t="str">
        <f t="shared" si="14"/>
        <v>PASS</v>
      </c>
      <c r="X18"/>
      <c r="Y18"/>
    </row>
    <row r="19" spans="1:17" ht="13.5" thickBot="1">
      <c r="A19" s="73"/>
      <c r="B19" s="6"/>
      <c r="C19" s="71" t="s">
        <v>54</v>
      </c>
      <c r="D19" s="108">
        <f>SQRT((D17^2)+(D18^2))</f>
        <v>149.99890077400568</v>
      </c>
      <c r="E19" s="64"/>
      <c r="F19" s="78">
        <f>ROUND(E17+(3*B20/1000),4)</f>
        <v>150.0069</v>
      </c>
      <c r="G19" s="79" t="s">
        <v>50</v>
      </c>
      <c r="H19" s="72" t="s">
        <v>24</v>
      </c>
      <c r="I19" s="82">
        <v>149.998</v>
      </c>
      <c r="J19" s="7" t="str">
        <f t="shared" si="9"/>
        <v>PASS</v>
      </c>
      <c r="K19" s="83" t="str">
        <f t="shared" si="10"/>
        <v>PASS</v>
      </c>
      <c r="L19" s="82">
        <v>940.043</v>
      </c>
      <c r="M19" s="7" t="str">
        <f t="shared" si="11"/>
        <v>PASS</v>
      </c>
      <c r="N19" s="83" t="str">
        <f t="shared" si="12"/>
        <v>PASS</v>
      </c>
      <c r="O19" s="82">
        <v>1370.027</v>
      </c>
      <c r="P19" s="44" t="str">
        <f t="shared" si="13"/>
        <v>PASS</v>
      </c>
      <c r="Q19" s="85" t="str">
        <f t="shared" si="14"/>
        <v>PASS</v>
      </c>
    </row>
    <row r="20" spans="1:17" ht="13.5" thickBot="1">
      <c r="A20" s="71" t="s">
        <v>55</v>
      </c>
      <c r="B20" s="75">
        <f>E17*(I3/1000)+I2</f>
        <v>2.299999923173357</v>
      </c>
      <c r="C20" s="8"/>
      <c r="D20" s="64"/>
      <c r="E20" s="64"/>
      <c r="F20" s="78">
        <f>ROUND(E17-(3*B20/1000),4)</f>
        <v>149.9931</v>
      </c>
      <c r="G20" s="79" t="s">
        <v>52</v>
      </c>
      <c r="H20" s="72" t="s">
        <v>26</v>
      </c>
      <c r="I20" s="82">
        <v>149.998</v>
      </c>
      <c r="J20" s="7" t="str">
        <f t="shared" si="9"/>
        <v>PASS</v>
      </c>
      <c r="K20" s="83" t="str">
        <f t="shared" si="10"/>
        <v>PASS</v>
      </c>
      <c r="L20" s="82">
        <v>940.044</v>
      </c>
      <c r="M20" s="7" t="str">
        <f t="shared" si="11"/>
        <v>PASS</v>
      </c>
      <c r="N20" s="83" t="str">
        <f t="shared" si="12"/>
        <v>PASS</v>
      </c>
      <c r="O20" s="82">
        <v>1370.027</v>
      </c>
      <c r="P20" s="44" t="str">
        <f t="shared" si="13"/>
        <v>PASS</v>
      </c>
      <c r="Q20" s="85" t="str">
        <f t="shared" si="14"/>
        <v>PASS</v>
      </c>
    </row>
    <row r="21" spans="1:17" ht="13.5" thickBot="1">
      <c r="A21" s="71"/>
      <c r="B21" s="64"/>
      <c r="C21" s="8"/>
      <c r="D21" s="64"/>
      <c r="E21" s="140" t="s">
        <v>46</v>
      </c>
      <c r="F21" s="161" t="s">
        <v>47</v>
      </c>
      <c r="G21" s="80"/>
      <c r="H21" s="72" t="s">
        <v>39</v>
      </c>
      <c r="I21" s="82">
        <v>149.998</v>
      </c>
      <c r="J21" s="7" t="str">
        <f t="shared" si="9"/>
        <v>PASS</v>
      </c>
      <c r="K21" s="83" t="str">
        <f t="shared" si="10"/>
        <v>PASS</v>
      </c>
      <c r="L21" s="82">
        <v>940.045</v>
      </c>
      <c r="M21" s="7" t="str">
        <f t="shared" si="11"/>
        <v>PASS</v>
      </c>
      <c r="N21" s="83" t="str">
        <f t="shared" si="12"/>
        <v>PASS</v>
      </c>
      <c r="O21" s="82">
        <v>1370.027</v>
      </c>
      <c r="P21" s="44" t="str">
        <f t="shared" si="13"/>
        <v>PASS</v>
      </c>
      <c r="Q21" s="85" t="str">
        <f t="shared" si="14"/>
        <v>PASS</v>
      </c>
    </row>
    <row r="22" spans="1:17" ht="13.5" thickBot="1">
      <c r="A22" s="71"/>
      <c r="B22" s="64"/>
      <c r="C22" s="71" t="s">
        <v>48</v>
      </c>
      <c r="D22" s="147">
        <f>A11</f>
        <v>940</v>
      </c>
      <c r="E22" s="141" t="s">
        <v>49</v>
      </c>
      <c r="F22" s="78">
        <f>ROUND(E23+(B26/1000),4)</f>
        <v>940.0499</v>
      </c>
      <c r="G22" s="79" t="s">
        <v>50</v>
      </c>
      <c r="H22" s="72" t="s">
        <v>41</v>
      </c>
      <c r="I22" s="82">
        <v>149.998</v>
      </c>
      <c r="J22" s="7" t="str">
        <f t="shared" si="9"/>
        <v>PASS</v>
      </c>
      <c r="K22" s="83" t="str">
        <f t="shared" si="10"/>
        <v>PASS</v>
      </c>
      <c r="L22" s="82">
        <v>940.044</v>
      </c>
      <c r="M22" s="7" t="str">
        <f t="shared" si="11"/>
        <v>PASS</v>
      </c>
      <c r="N22" s="83" t="str">
        <f t="shared" si="12"/>
        <v>PASS</v>
      </c>
      <c r="O22" s="82">
        <v>1370.027</v>
      </c>
      <c r="P22" s="44" t="str">
        <f t="shared" si="13"/>
        <v>PASS</v>
      </c>
      <c r="Q22" s="85" t="str">
        <f t="shared" si="14"/>
        <v>PASS</v>
      </c>
    </row>
    <row r="23" spans="1:17" ht="13.5" thickBot="1">
      <c r="A23" s="64"/>
      <c r="B23" s="64"/>
      <c r="C23" s="71" t="s">
        <v>56</v>
      </c>
      <c r="D23" s="106">
        <v>939.9959</v>
      </c>
      <c r="E23" s="78">
        <f>(D25)*(1-(L11/1000000))</f>
        <v>940.0460643040017</v>
      </c>
      <c r="F23" s="78">
        <f>ROUND(E23-(B26/1000),4)</f>
        <v>940.0422</v>
      </c>
      <c r="G23" s="79" t="s">
        <v>52</v>
      </c>
      <c r="H23" s="72" t="s">
        <v>42</v>
      </c>
      <c r="I23" s="82">
        <v>149.998</v>
      </c>
      <c r="J23" s="7" t="str">
        <f t="shared" si="9"/>
        <v>PASS</v>
      </c>
      <c r="K23" s="83" t="str">
        <f t="shared" si="10"/>
        <v>PASS</v>
      </c>
      <c r="L23" s="82">
        <v>940.044</v>
      </c>
      <c r="M23" s="7" t="str">
        <f t="shared" si="11"/>
        <v>PASS</v>
      </c>
      <c r="N23" s="83" t="str">
        <f t="shared" si="12"/>
        <v>PASS</v>
      </c>
      <c r="O23" s="82">
        <v>1370.027</v>
      </c>
      <c r="P23" s="44" t="str">
        <f t="shared" si="13"/>
        <v>PASS</v>
      </c>
      <c r="Q23" s="85" t="str">
        <f t="shared" si="14"/>
        <v>PASS</v>
      </c>
    </row>
    <row r="24" spans="1:17" ht="13.5" thickBot="1">
      <c r="A24" s="64"/>
      <c r="B24" s="64"/>
      <c r="C24" s="71" t="s">
        <v>57</v>
      </c>
      <c r="D24" s="107">
        <f>E9-F11</f>
        <v>9.045000000000002</v>
      </c>
      <c r="E24" s="64"/>
      <c r="F24" s="111" t="s">
        <v>8</v>
      </c>
      <c r="G24" s="80"/>
      <c r="H24" s="72" t="s">
        <v>43</v>
      </c>
      <c r="I24" s="82">
        <v>149.998</v>
      </c>
      <c r="J24" s="7" t="str">
        <f t="shared" si="9"/>
        <v>PASS</v>
      </c>
      <c r="K24" s="83" t="str">
        <f t="shared" si="10"/>
        <v>PASS</v>
      </c>
      <c r="L24" s="82">
        <v>940.045</v>
      </c>
      <c r="M24" s="7" t="str">
        <f t="shared" si="11"/>
        <v>PASS</v>
      </c>
      <c r="N24" s="83" t="str">
        <f t="shared" si="12"/>
        <v>PASS</v>
      </c>
      <c r="O24" s="82">
        <v>1370.027</v>
      </c>
      <c r="P24" s="44" t="str">
        <f t="shared" si="13"/>
        <v>PASS</v>
      </c>
      <c r="Q24" s="85" t="str">
        <f t="shared" si="14"/>
        <v>PASS</v>
      </c>
    </row>
    <row r="25" spans="1:17" ht="13.5" thickBot="1">
      <c r="A25" s="64"/>
      <c r="B25" s="64"/>
      <c r="C25" s="71" t="s">
        <v>54</v>
      </c>
      <c r="D25" s="108">
        <f>SQRT((D23^2)+(D24^2))</f>
        <v>940.0394162171127</v>
      </c>
      <c r="E25" s="64"/>
      <c r="F25" s="78">
        <f>ROUND(E23+(3*B26/1000),4)</f>
        <v>940.0577</v>
      </c>
      <c r="G25" s="79" t="s">
        <v>50</v>
      </c>
      <c r="H25" s="72" t="s">
        <v>44</v>
      </c>
      <c r="I25" s="82">
        <v>149.998</v>
      </c>
      <c r="J25" s="7" t="str">
        <f t="shared" si="9"/>
        <v>PASS</v>
      </c>
      <c r="K25" s="83" t="str">
        <f t="shared" si="10"/>
        <v>PASS</v>
      </c>
      <c r="L25" s="84">
        <v>940.046</v>
      </c>
      <c r="M25" s="7" t="str">
        <f t="shared" si="11"/>
        <v>PASS</v>
      </c>
      <c r="N25" s="83" t="str">
        <f t="shared" si="12"/>
        <v>PASS</v>
      </c>
      <c r="O25" s="82">
        <v>1370.027</v>
      </c>
      <c r="P25" s="44" t="str">
        <f t="shared" si="13"/>
        <v>PASS</v>
      </c>
      <c r="Q25" s="85" t="str">
        <f t="shared" si="14"/>
        <v>PASS</v>
      </c>
    </row>
    <row r="26" spans="1:17" ht="13.5" thickBot="1">
      <c r="A26" s="71" t="s">
        <v>55</v>
      </c>
      <c r="B26" s="75">
        <f>E23*(I3/1000)+I2</f>
        <v>3.8800921286080037</v>
      </c>
      <c r="C26" s="8"/>
      <c r="D26" s="64"/>
      <c r="E26" s="64"/>
      <c r="F26" s="78">
        <f>ROUND(E23-(3*B26/1000),4)</f>
        <v>940.0344</v>
      </c>
      <c r="G26" s="79" t="s">
        <v>52</v>
      </c>
      <c r="H26" s="72" t="s">
        <v>45</v>
      </c>
      <c r="I26" s="39">
        <f>SUM(I16:I25)/10</f>
        <v>149.99800000000002</v>
      </c>
      <c r="J26" s="39" t="str">
        <f>IF(AF13&gt;=7,"PASS","FAIL")</f>
        <v>PASS</v>
      </c>
      <c r="K26" s="39" t="str">
        <f>IF(AG13&lt;10,"FAIL","PASS")</f>
        <v>PASS</v>
      </c>
      <c r="L26" s="39">
        <f>SUM(L16:L25)/10</f>
        <v>940.0442999999999</v>
      </c>
      <c r="M26" s="39" t="str">
        <f>IF(AI13&gt;=7,"PASS","FAIL")</f>
        <v>PASS</v>
      </c>
      <c r="N26" s="39" t="str">
        <f>IF(AJ13&lt;10,"FAIL","PASS")</f>
        <v>PASS</v>
      </c>
      <c r="O26" s="39">
        <f>SUM(O16:O25)/10</f>
        <v>1370.027</v>
      </c>
      <c r="P26" s="39" t="str">
        <f>IF(AL13&gt;=7,"PASS","FAIL")</f>
        <v>PASS</v>
      </c>
      <c r="Q26" s="39" t="str">
        <f>IF(AM13&lt;10,"FAIL","PASS")</f>
        <v>PASS</v>
      </c>
    </row>
    <row r="27" spans="1:17" ht="13.5" thickBot="1">
      <c r="A27" s="71"/>
      <c r="B27" s="76"/>
      <c r="C27" s="8"/>
      <c r="D27" s="64"/>
      <c r="E27" s="109" t="s">
        <v>46</v>
      </c>
      <c r="F27" s="111" t="s">
        <v>47</v>
      </c>
      <c r="G27" s="80"/>
      <c r="K27"/>
      <c r="P27" s="9"/>
      <c r="Q27" s="9"/>
    </row>
    <row r="28" spans="1:17" ht="13.5" thickBot="1">
      <c r="A28" s="71"/>
      <c r="B28" s="76"/>
      <c r="C28" s="71" t="s">
        <v>48</v>
      </c>
      <c r="D28" s="147">
        <f>A12</f>
        <v>1370</v>
      </c>
      <c r="E28" s="110" t="s">
        <v>49</v>
      </c>
      <c r="F28" s="3">
        <f>ROUND(E29+(B32/1000),4)</f>
        <v>1370.0354</v>
      </c>
      <c r="G28" s="79" t="s">
        <v>50</v>
      </c>
      <c r="I28" s="52" t="s">
        <v>58</v>
      </c>
      <c r="J28" s="50" t="s">
        <v>59</v>
      </c>
      <c r="K28" s="48"/>
      <c r="L28" s="52" t="s">
        <v>58</v>
      </c>
      <c r="M28" s="50" t="s">
        <v>59</v>
      </c>
      <c r="N28" s="48"/>
      <c r="O28" s="52" t="s">
        <v>58</v>
      </c>
      <c r="P28" s="50" t="s">
        <v>59</v>
      </c>
      <c r="Q28" s="48"/>
    </row>
    <row r="29" spans="1:25" ht="13.5" thickBot="1">
      <c r="A29" s="64"/>
      <c r="B29" s="64"/>
      <c r="C29" s="71" t="s">
        <v>60</v>
      </c>
      <c r="D29" s="106">
        <v>1369.9942</v>
      </c>
      <c r="E29" s="78">
        <f>(D31)*(1-(L12/1000000))</f>
        <v>1370.0306185220597</v>
      </c>
      <c r="F29" s="3">
        <f>ROUND(E29-(B32/1000),4)</f>
        <v>1370.0259</v>
      </c>
      <c r="G29" s="79" t="s">
        <v>52</v>
      </c>
      <c r="I29" s="53"/>
      <c r="J29" s="56">
        <f>(I26-$E$17)*1000</f>
        <v>-1.9615866783908587</v>
      </c>
      <c r="K29" s="37" t="s">
        <v>61</v>
      </c>
      <c r="L29" s="53"/>
      <c r="M29" s="56">
        <f>(L26-$E$23)*1000</f>
        <v>-1.7643040017674139</v>
      </c>
      <c r="N29" s="37" t="s">
        <v>61</v>
      </c>
      <c r="O29" s="53"/>
      <c r="P29" s="56">
        <f>(O26-$E$29)*1000</f>
        <v>-3.618522059696261</v>
      </c>
      <c r="Q29" s="37" t="s">
        <v>61</v>
      </c>
      <c r="R29" s="9"/>
      <c r="S29" s="9"/>
      <c r="X29"/>
      <c r="Y29"/>
    </row>
    <row r="30" spans="1:25" ht="13.5" thickBot="1">
      <c r="A30" s="64" t="s">
        <v>62</v>
      </c>
      <c r="B30" s="64"/>
      <c r="C30" s="71" t="s">
        <v>63</v>
      </c>
      <c r="D30" s="107">
        <f>E9-F12</f>
        <v>8.558000000000007</v>
      </c>
      <c r="E30" s="64"/>
      <c r="F30" s="111" t="s">
        <v>8</v>
      </c>
      <c r="G30" s="80"/>
      <c r="I30" s="54" t="str">
        <f>IF(J29&gt;=0,"LONG","SHORT")</f>
        <v>SHORT</v>
      </c>
      <c r="J30" s="57" t="s">
        <v>64</v>
      </c>
      <c r="K30" s="58"/>
      <c r="L30" s="54" t="str">
        <f>IF(M29&gt;=0,"LONG","SHORT")</f>
        <v>SHORT</v>
      </c>
      <c r="M30" s="57" t="s">
        <v>64</v>
      </c>
      <c r="N30" s="58"/>
      <c r="O30" s="54" t="str">
        <f>IF(P29&gt;=0,"LONG","SHORT")</f>
        <v>SHORT</v>
      </c>
      <c r="P30" s="57" t="s">
        <v>64</v>
      </c>
      <c r="Q30" s="58"/>
      <c r="R30" s="9"/>
      <c r="S30" s="9"/>
      <c r="X30"/>
      <c r="Y30"/>
    </row>
    <row r="31" spans="1:25" ht="13.5" thickBot="1">
      <c r="A31" s="64"/>
      <c r="B31" s="64"/>
      <c r="C31" s="71" t="s">
        <v>54</v>
      </c>
      <c r="D31" s="108">
        <f>SQRT((D29^2)+(D30^2))</f>
        <v>1370.0209295472973</v>
      </c>
      <c r="E31" s="64"/>
      <c r="F31" s="3">
        <f>ROUND(E29+(3*B32/1000),4)</f>
        <v>1370.0448</v>
      </c>
      <c r="G31" s="81" t="s">
        <v>50</v>
      </c>
      <c r="I31" s="55"/>
      <c r="J31" s="51">
        <f>(I26-$E$17)/$E$17*1000000</f>
        <v>-13.077247871542578</v>
      </c>
      <c r="K31" s="49" t="s">
        <v>65</v>
      </c>
      <c r="L31" s="55"/>
      <c r="M31" s="51">
        <f>(L26-$E$23)/$E$23*1000000</f>
        <v>-1.876827177691215</v>
      </c>
      <c r="N31" s="49" t="s">
        <v>65</v>
      </c>
      <c r="O31" s="55"/>
      <c r="P31" s="51">
        <f>(O26-$E$29)/$E$29*1000000</f>
        <v>-2.6411979489916755</v>
      </c>
      <c r="Q31" s="49" t="s">
        <v>65</v>
      </c>
      <c r="R31" s="9"/>
      <c r="S31" s="9"/>
      <c r="X31"/>
      <c r="Y31"/>
    </row>
    <row r="32" spans="1:25" ht="13.5" thickBot="1">
      <c r="A32" s="71" t="s">
        <v>55</v>
      </c>
      <c r="B32" s="75">
        <f>E29*(I3/1000)+I2</f>
        <v>4.74006123704412</v>
      </c>
      <c r="C32" s="8"/>
      <c r="D32" s="64"/>
      <c r="E32" s="64"/>
      <c r="F32" s="3">
        <f>ROUND(E29-(3*B32/1000),4)</f>
        <v>1370.0164</v>
      </c>
      <c r="G32" s="81" t="s">
        <v>52</v>
      </c>
      <c r="K32"/>
      <c r="R32" s="9"/>
      <c r="S32" s="9"/>
      <c r="X32"/>
      <c r="Y32"/>
    </row>
    <row r="33" spans="1:25" ht="12.75">
      <c r="A33" s="74"/>
      <c r="B33" s="29"/>
      <c r="C33" s="28"/>
      <c r="D33" s="28"/>
      <c r="E33" s="28"/>
      <c r="K33"/>
      <c r="R33" s="9"/>
      <c r="S33" s="9"/>
      <c r="X33"/>
      <c r="Y33"/>
    </row>
    <row r="34" spans="1:11" ht="12.75">
      <c r="A34" s="64"/>
      <c r="B34" s="2"/>
      <c r="D34" s="6"/>
      <c r="E34" s="6"/>
      <c r="K34"/>
    </row>
    <row r="35" spans="1:11" ht="12.75">
      <c r="A35" s="65" t="s">
        <v>66</v>
      </c>
      <c r="B35" s="2"/>
      <c r="D35" s="6"/>
      <c r="E35" s="6"/>
      <c r="K35"/>
    </row>
    <row r="36" spans="1:25" s="152" customFormat="1" ht="12.75">
      <c r="A36" s="150"/>
      <c r="B36" s="151"/>
      <c r="D36" s="153"/>
      <c r="E36" s="153"/>
      <c r="X36" s="154"/>
      <c r="Y36" s="154"/>
    </row>
    <row r="37" spans="1:25" s="152" customFormat="1" ht="12" customHeight="1">
      <c r="A37" s="155"/>
      <c r="B37" s="155"/>
      <c r="C37" s="156"/>
      <c r="D37" s="156"/>
      <c r="E37" s="155"/>
      <c r="F37" s="155"/>
      <c r="G37" s="155"/>
      <c r="H37" s="155"/>
      <c r="I37" s="155"/>
      <c r="J37" s="155"/>
      <c r="K37" s="155"/>
      <c r="L37" s="155"/>
      <c r="M37" s="155"/>
      <c r="N37" s="155"/>
      <c r="O37" s="155"/>
      <c r="P37" s="155"/>
      <c r="Q37" s="155"/>
      <c r="X37" s="154"/>
      <c r="Y37" s="154"/>
    </row>
    <row r="38" spans="1:25" s="152" customFormat="1" ht="12.75">
      <c r="A38" s="157"/>
      <c r="B38" s="157"/>
      <c r="C38" s="157"/>
      <c r="D38" s="157"/>
      <c r="E38" s="157"/>
      <c r="F38" s="157"/>
      <c r="G38" s="157"/>
      <c r="H38" s="157"/>
      <c r="I38" s="157"/>
      <c r="J38" s="157"/>
      <c r="K38" s="157"/>
      <c r="L38" s="157"/>
      <c r="M38" s="157"/>
      <c r="N38" s="157"/>
      <c r="O38" s="157"/>
      <c r="P38" s="157"/>
      <c r="Q38" s="157"/>
      <c r="X38" s="154"/>
      <c r="Y38" s="154"/>
    </row>
    <row r="39" spans="1:25" s="158" customFormat="1" ht="12.75">
      <c r="A39" s="155"/>
      <c r="B39" s="155"/>
      <c r="C39" s="155"/>
      <c r="D39" s="155"/>
      <c r="E39" s="155"/>
      <c r="F39" s="155"/>
      <c r="G39" s="155"/>
      <c r="H39" s="155"/>
      <c r="I39" s="155"/>
      <c r="J39" s="155"/>
      <c r="K39" s="155"/>
      <c r="L39" s="155"/>
      <c r="M39" s="155"/>
      <c r="N39" s="155"/>
      <c r="O39" s="155"/>
      <c r="P39" s="155"/>
      <c r="Q39" s="155"/>
      <c r="X39" s="159"/>
      <c r="Y39" s="159"/>
    </row>
    <row r="40" spans="24:25" s="158" customFormat="1" ht="12.75">
      <c r="X40" s="159"/>
      <c r="Y40" s="159"/>
    </row>
    <row r="41" spans="24:25" s="158" customFormat="1" ht="12.75">
      <c r="X41" s="159"/>
      <c r="Y41" s="159"/>
    </row>
    <row r="42" spans="24:25" s="92" customFormat="1" ht="12.75">
      <c r="X42" s="4"/>
      <c r="Y42" s="4"/>
    </row>
    <row r="43" spans="24:25" s="92" customFormat="1" ht="12.75">
      <c r="X43" s="4"/>
      <c r="Y43" s="4"/>
    </row>
    <row r="44" spans="1:18" ht="12.75">
      <c r="A44" s="92"/>
      <c r="B44" s="92"/>
      <c r="C44" s="92"/>
      <c r="D44" s="92"/>
      <c r="E44" s="92"/>
      <c r="F44" s="92"/>
      <c r="G44" s="92"/>
      <c r="H44" s="92"/>
      <c r="I44" s="92"/>
      <c r="J44" s="92"/>
      <c r="K44" s="92"/>
      <c r="L44" s="92"/>
      <c r="M44" s="92"/>
      <c r="N44" s="92"/>
      <c r="O44" s="92"/>
      <c r="P44" s="92"/>
      <c r="Q44" s="92"/>
      <c r="R44" s="92"/>
    </row>
    <row r="45" ht="12.75">
      <c r="K45"/>
    </row>
    <row r="46" ht="12.75">
      <c r="K46"/>
    </row>
    <row r="47" ht="12.75">
      <c r="K47"/>
    </row>
    <row r="48" ht="12.75">
      <c r="K48"/>
    </row>
    <row r="49" ht="12.75">
      <c r="K49"/>
    </row>
    <row r="50" ht="12.75">
      <c r="K50"/>
    </row>
    <row r="51" ht="12.75">
      <c r="K51"/>
    </row>
    <row r="52" ht="12.75">
      <c r="K52"/>
    </row>
    <row r="53" ht="12.75">
      <c r="K53"/>
    </row>
    <row r="58" ht="12.75">
      <c r="K58"/>
    </row>
    <row r="59" ht="12.75">
      <c r="K59"/>
    </row>
    <row r="60" ht="12.75">
      <c r="K60"/>
    </row>
    <row r="61" ht="12.75">
      <c r="K61"/>
    </row>
  </sheetData>
  <sheetProtection sheet="1" objects="1" scenarios="1"/>
  <printOptions/>
  <pageMargins left="0.36" right="0.33" top="1" bottom="1" header="0.5" footer="0.5"/>
  <pageSetup horizontalDpi="300" verticalDpi="300" orientation="landscape" scale="80" r:id="rId1"/>
  <headerFooter alignWithMargins="0">
    <oddHeader>&amp;L
&amp;D&amp;C
&amp;F&amp;R
&amp;T</oddHeader>
    <oddFooter>&amp;CPage &amp;P&amp;RREVISED E. HALL / J. MOORE  11/97
CREW 3811 ODOT</oddFooter>
  </headerFooter>
</worksheet>
</file>

<file path=xl/worksheets/sheet3.xml><?xml version="1.0" encoding="utf-8"?>
<worksheet xmlns="http://schemas.openxmlformats.org/spreadsheetml/2006/main" xmlns:r="http://schemas.openxmlformats.org/officeDocument/2006/relationships">
  <dimension ref="A1:I35"/>
  <sheetViews>
    <sheetView workbookViewId="0" topLeftCell="A6">
      <selection activeCell="A21" sqref="A21:I28"/>
    </sheetView>
  </sheetViews>
  <sheetFormatPr defaultColWidth="9.140625" defaultRowHeight="12.75"/>
  <sheetData>
    <row r="1" ht="15.75">
      <c r="A1" s="167" t="s">
        <v>79</v>
      </c>
    </row>
    <row r="2" ht="15.75">
      <c r="A2" s="148"/>
    </row>
    <row r="3" spans="1:7" ht="15">
      <c r="A3" s="164"/>
      <c r="B3" s="173" t="s">
        <v>0</v>
      </c>
      <c r="C3" s="174"/>
      <c r="D3" s="174"/>
      <c r="E3" s="174"/>
      <c r="F3" s="174"/>
      <c r="G3" s="174"/>
    </row>
    <row r="4" s="28" customFormat="1" ht="15">
      <c r="B4" s="166"/>
    </row>
    <row r="5" spans="1:8" ht="15">
      <c r="A5" s="165"/>
      <c r="B5" s="173" t="s">
        <v>1</v>
      </c>
      <c r="C5" s="174"/>
      <c r="D5" s="174"/>
      <c r="E5" s="174"/>
      <c r="F5" s="174"/>
      <c r="G5" s="174"/>
      <c r="H5" s="174"/>
    </row>
    <row r="7" spans="1:7" ht="12.75">
      <c r="A7" s="175" t="s">
        <v>81</v>
      </c>
      <c r="B7" s="175"/>
      <c r="C7" s="175"/>
      <c r="D7" s="175"/>
      <c r="E7" s="175"/>
      <c r="F7" s="175"/>
      <c r="G7" s="175"/>
    </row>
    <row r="8" spans="1:7" ht="12.75">
      <c r="A8" s="175"/>
      <c r="B8" s="175"/>
      <c r="C8" s="175"/>
      <c r="D8" s="175"/>
      <c r="E8" s="175"/>
      <c r="F8" s="175"/>
      <c r="G8" s="175"/>
    </row>
    <row r="9" spans="1:7" ht="12.75">
      <c r="A9" s="175"/>
      <c r="B9" s="175"/>
      <c r="C9" s="175"/>
      <c r="D9" s="175"/>
      <c r="E9" s="175"/>
      <c r="F9" s="175"/>
      <c r="G9" s="175"/>
    </row>
    <row r="10" spans="1:7" ht="12.75">
      <c r="A10" s="175"/>
      <c r="B10" s="175"/>
      <c r="C10" s="175"/>
      <c r="D10" s="175"/>
      <c r="E10" s="175"/>
      <c r="F10" s="175"/>
      <c r="G10" s="175"/>
    </row>
    <row r="11" spans="1:7" ht="12.75" customHeight="1">
      <c r="A11" s="175"/>
      <c r="B11" s="175"/>
      <c r="C11" s="175"/>
      <c r="D11" s="175"/>
      <c r="E11" s="175"/>
      <c r="F11" s="175"/>
      <c r="G11" s="175"/>
    </row>
    <row r="12" spans="1:7" ht="12.75">
      <c r="A12" s="169"/>
      <c r="B12" s="169"/>
      <c r="C12" s="169"/>
      <c r="D12" s="169"/>
      <c r="E12" s="169"/>
      <c r="F12" s="169"/>
      <c r="G12" s="169"/>
    </row>
    <row r="13" ht="15.75" customHeight="1">
      <c r="A13" s="148" t="s">
        <v>80</v>
      </c>
    </row>
    <row r="14" ht="12.75" customHeight="1"/>
    <row r="15" spans="1:9" ht="12.75" customHeight="1">
      <c r="A15" s="172" t="s">
        <v>83</v>
      </c>
      <c r="B15" s="172"/>
      <c r="C15" s="172"/>
      <c r="D15" s="172"/>
      <c r="E15" s="172"/>
      <c r="F15" s="172"/>
      <c r="G15" s="172"/>
      <c r="H15" s="172"/>
      <c r="I15" s="172"/>
    </row>
    <row r="16" spans="1:9" ht="12.75" customHeight="1">
      <c r="A16" s="172"/>
      <c r="B16" s="172"/>
      <c r="C16" s="172"/>
      <c r="D16" s="172"/>
      <c r="E16" s="172"/>
      <c r="F16" s="172"/>
      <c r="G16" s="172"/>
      <c r="H16" s="172"/>
      <c r="I16" s="172"/>
    </row>
    <row r="17" spans="1:9" ht="12.75" customHeight="1">
      <c r="A17" s="172"/>
      <c r="B17" s="172"/>
      <c r="C17" s="172"/>
      <c r="D17" s="172"/>
      <c r="E17" s="172"/>
      <c r="F17" s="172"/>
      <c r="G17" s="172"/>
      <c r="H17" s="172"/>
      <c r="I17" s="172"/>
    </row>
    <row r="18" spans="1:9" ht="12.75" customHeight="1">
      <c r="A18" s="172"/>
      <c r="B18" s="172"/>
      <c r="C18" s="172"/>
      <c r="D18" s="172"/>
      <c r="E18" s="172"/>
      <c r="F18" s="172"/>
      <c r="G18" s="172"/>
      <c r="H18" s="172"/>
      <c r="I18" s="172"/>
    </row>
    <row r="19" spans="1:9" ht="12.75" customHeight="1">
      <c r="A19" s="170"/>
      <c r="B19" s="170"/>
      <c r="C19" s="170"/>
      <c r="D19" s="170"/>
      <c r="E19" s="170"/>
      <c r="F19" s="170"/>
      <c r="G19" s="170"/>
      <c r="H19" s="170"/>
      <c r="I19" s="170"/>
    </row>
    <row r="20" ht="12.75" hidden="1"/>
    <row r="21" spans="1:9" ht="12.75" customHeight="1">
      <c r="A21" s="172" t="s">
        <v>85</v>
      </c>
      <c r="B21" s="172"/>
      <c r="C21" s="172"/>
      <c r="D21" s="172"/>
      <c r="E21" s="172"/>
      <c r="F21" s="172"/>
      <c r="G21" s="172"/>
      <c r="H21" s="172"/>
      <c r="I21" s="172"/>
    </row>
    <row r="22" spans="1:9" ht="12.75">
      <c r="A22" s="172"/>
      <c r="B22" s="172"/>
      <c r="C22" s="172"/>
      <c r="D22" s="172"/>
      <c r="E22" s="172"/>
      <c r="F22" s="172"/>
      <c r="G22" s="172"/>
      <c r="H22" s="172"/>
      <c r="I22" s="172"/>
    </row>
    <row r="23" spans="1:9" ht="12.75">
      <c r="A23" s="172"/>
      <c r="B23" s="172"/>
      <c r="C23" s="172"/>
      <c r="D23" s="172"/>
      <c r="E23" s="172"/>
      <c r="F23" s="172"/>
      <c r="G23" s="172"/>
      <c r="H23" s="172"/>
      <c r="I23" s="172"/>
    </row>
    <row r="24" spans="1:9" ht="12.75">
      <c r="A24" s="172"/>
      <c r="B24" s="172"/>
      <c r="C24" s="172"/>
      <c r="D24" s="172"/>
      <c r="E24" s="172"/>
      <c r="F24" s="172"/>
      <c r="G24" s="172"/>
      <c r="H24" s="172"/>
      <c r="I24" s="172"/>
    </row>
    <row r="25" spans="1:9" ht="12.75">
      <c r="A25" s="172"/>
      <c r="B25" s="172"/>
      <c r="C25" s="172"/>
      <c r="D25" s="172"/>
      <c r="E25" s="172"/>
      <c r="F25" s="172"/>
      <c r="G25" s="172"/>
      <c r="H25" s="172"/>
      <c r="I25" s="172"/>
    </row>
    <row r="26" spans="1:9" ht="12.75">
      <c r="A26" s="172"/>
      <c r="B26" s="172"/>
      <c r="C26" s="172"/>
      <c r="D26" s="172"/>
      <c r="E26" s="172"/>
      <c r="F26" s="172"/>
      <c r="G26" s="172"/>
      <c r="H26" s="172"/>
      <c r="I26" s="172"/>
    </row>
    <row r="27" spans="1:9" ht="12.75">
      <c r="A27" s="172"/>
      <c r="B27" s="172"/>
      <c r="C27" s="172"/>
      <c r="D27" s="172"/>
      <c r="E27" s="172"/>
      <c r="F27" s="172"/>
      <c r="G27" s="172"/>
      <c r="H27" s="172"/>
      <c r="I27" s="172"/>
    </row>
    <row r="28" spans="1:9" ht="12.75">
      <c r="A28" s="172"/>
      <c r="B28" s="172"/>
      <c r="C28" s="172"/>
      <c r="D28" s="172"/>
      <c r="E28" s="172"/>
      <c r="F28" s="172"/>
      <c r="G28" s="172"/>
      <c r="H28" s="172"/>
      <c r="I28" s="172"/>
    </row>
    <row r="29" spans="1:9" ht="12.75">
      <c r="A29" s="171"/>
      <c r="B29" s="171"/>
      <c r="C29" s="171"/>
      <c r="D29" s="171"/>
      <c r="E29" s="171"/>
      <c r="F29" s="171"/>
      <c r="G29" s="171"/>
      <c r="H29" s="171"/>
      <c r="I29" s="171"/>
    </row>
    <row r="30" spans="1:9" ht="12.75" customHeight="1">
      <c r="A30" s="172" t="s">
        <v>84</v>
      </c>
      <c r="B30" s="172"/>
      <c r="C30" s="172"/>
      <c r="D30" s="172"/>
      <c r="E30" s="172"/>
      <c r="F30" s="172"/>
      <c r="G30" s="172"/>
      <c r="H30" s="172"/>
      <c r="I30" s="172"/>
    </row>
    <row r="31" spans="1:9" ht="12.75">
      <c r="A31" s="172"/>
      <c r="B31" s="172"/>
      <c r="C31" s="172"/>
      <c r="D31" s="172"/>
      <c r="E31" s="172"/>
      <c r="F31" s="172"/>
      <c r="G31" s="172"/>
      <c r="H31" s="172"/>
      <c r="I31" s="172"/>
    </row>
    <row r="32" spans="1:9" ht="12.75">
      <c r="A32" s="172"/>
      <c r="B32" s="172"/>
      <c r="C32" s="172"/>
      <c r="D32" s="172"/>
      <c r="E32" s="172"/>
      <c r="F32" s="172"/>
      <c r="G32" s="172"/>
      <c r="H32" s="172"/>
      <c r="I32" s="172"/>
    </row>
    <row r="33" spans="1:9" ht="12.75">
      <c r="A33" s="172"/>
      <c r="B33" s="172"/>
      <c r="C33" s="172"/>
      <c r="D33" s="172"/>
      <c r="E33" s="172"/>
      <c r="F33" s="172"/>
      <c r="G33" s="172"/>
      <c r="H33" s="172"/>
      <c r="I33" s="172"/>
    </row>
    <row r="34" spans="1:9" ht="12.75">
      <c r="A34" s="170"/>
      <c r="B34" s="170"/>
      <c r="C34" s="170"/>
      <c r="D34" s="170"/>
      <c r="E34" s="170"/>
      <c r="F34" s="170"/>
      <c r="G34" s="170"/>
      <c r="H34" s="170"/>
      <c r="I34" s="170"/>
    </row>
    <row r="35" ht="12.75">
      <c r="A35" s="168" t="s">
        <v>82</v>
      </c>
    </row>
  </sheetData>
  <mergeCells count="6">
    <mergeCell ref="A30:I33"/>
    <mergeCell ref="B3:G3"/>
    <mergeCell ref="B5:H5"/>
    <mergeCell ref="A21:I28"/>
    <mergeCell ref="A7:G11"/>
    <mergeCell ref="A15:I18"/>
  </mergeCells>
  <printOptions/>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BASELINE</dc:title>
  <dc:subject>EDM TEST</dc:subject>
  <dc:creator>JAMIE BARCLAY-MOORE</dc:creator>
  <cp:keywords/>
  <dc:description/>
  <cp:lastModifiedBy>Jim Brown</cp:lastModifiedBy>
  <cp:lastPrinted>2002-07-22T21:23:58Z</cp:lastPrinted>
  <dcterms:created xsi:type="dcterms:W3CDTF">2002-07-22T21:09:24Z</dcterms:created>
  <dcterms:modified xsi:type="dcterms:W3CDTF">2004-07-12T20:16:01Z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KOURTNEY  LARGENT</vt:lpwstr>
  </property>
  <property fmtid="{D5CDD505-2E9C-101B-9397-08002B2CF9AE}" pid="4" name="display_urn:schemas-microsoft-com:office:office#Auth">
    <vt:lpwstr>KOURTNEY  LARGENT</vt:lpwstr>
  </property>
</Properties>
</file>