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How to Use" sheetId="1" r:id="rId1"/>
    <sheet name="Overall Rating" sheetId="2" r:id="rId2"/>
    <sheet name="Achievement Index" sheetId="3" r:id="rId3"/>
    <sheet name="Improvement" sheetId="4" r:id="rId4"/>
    <sheet name="Other Indicators" sheetId="5" r:id="rId5"/>
  </sheets>
  <definedNames>
    <definedName name="_xlfn.BAHTTEXT" hidden="1">#NAME?</definedName>
  </definedNames>
  <calcPr fullCalcOnLoad="1"/>
</workbook>
</file>

<file path=xl/sharedStrings.xml><?xml version="1.0" encoding="utf-8"?>
<sst xmlns="http://schemas.openxmlformats.org/spreadsheetml/2006/main" count="193" uniqueCount="103">
  <si>
    <t>All Students</t>
  </si>
  <si>
    <t>Economically Disadvantaged</t>
  </si>
  <si>
    <t>Limited English Proficient</t>
  </si>
  <si>
    <t>Students with Disabilities</t>
  </si>
  <si>
    <t>Hispanic</t>
  </si>
  <si>
    <t>Asian/Pacific Islander</t>
  </si>
  <si>
    <t>Multi-Racial/Multi-Ethnic</t>
  </si>
  <si>
    <t>Index</t>
  </si>
  <si>
    <t>Reading</t>
  </si>
  <si>
    <t>Math</t>
  </si>
  <si>
    <t>Meets or Exceeds</t>
  </si>
  <si>
    <t>Exceeds</t>
  </si>
  <si>
    <t>Meets</t>
  </si>
  <si>
    <t>Does Not Meet</t>
  </si>
  <si>
    <t>Yearly Index</t>
  </si>
  <si>
    <t>Reading Index</t>
  </si>
  <si>
    <t>School Type</t>
  </si>
  <si>
    <t>Black (not of Hispanic origin)</t>
  </si>
  <si>
    <t>American Indian/Alaskan Native</t>
  </si>
  <si>
    <r>
      <t xml:space="preserve">Totals </t>
    </r>
    <r>
      <rPr>
        <sz val="8"/>
        <rFont val="Arial"/>
        <family val="2"/>
      </rPr>
      <t>(excludes Asian/PI, White, Multi)</t>
    </r>
  </si>
  <si>
    <t>Outstanding</t>
  </si>
  <si>
    <t>Satisfactory</t>
  </si>
  <si>
    <t>In Need of Improvement</t>
  </si>
  <si>
    <t>Weight</t>
  </si>
  <si>
    <t>Subgroup Index*</t>
  </si>
  <si>
    <t>* - Included for comparative purposes</t>
  </si>
  <si>
    <t>Achievement Index</t>
  </si>
  <si>
    <t>Reading Knowledge and Skills</t>
  </si>
  <si>
    <t>Math Knowledge and Skills</t>
  </si>
  <si>
    <t>Nearly Meets</t>
  </si>
  <si>
    <t>Low</t>
  </si>
  <si>
    <t>Very Low</t>
  </si>
  <si>
    <t>Counts</t>
  </si>
  <si>
    <t>Weighted</t>
  </si>
  <si>
    <t>Totals</t>
  </si>
  <si>
    <t>Weighted Counts</t>
  </si>
  <si>
    <t>Meets Growth Target</t>
  </si>
  <si>
    <t>Yes</t>
  </si>
  <si>
    <t>No</t>
  </si>
  <si>
    <t>NA</t>
  </si>
  <si>
    <t>Math Index</t>
  </si>
  <si>
    <t xml:space="preserve">Math  </t>
  </si>
  <si>
    <t>Summary Data</t>
  </si>
  <si>
    <t>Rating/Comments</t>
  </si>
  <si>
    <t>Attendance Rate</t>
  </si>
  <si>
    <t>Participation Rate</t>
  </si>
  <si>
    <t>Grade</t>
  </si>
  <si>
    <t>Writing</t>
  </si>
  <si>
    <t>Science</t>
  </si>
  <si>
    <t xml:space="preserve">Partic </t>
  </si>
  <si>
    <t>Non-Partic</t>
  </si>
  <si>
    <t>School</t>
  </si>
  <si>
    <t>Graduation Rate</t>
  </si>
  <si>
    <t>AYP Status  ( Met / Not Met )</t>
  </si>
  <si>
    <t>Overall Rating</t>
  </si>
  <si>
    <t>School Achievement Index = ( Reading Index + Math Index ) / 2</t>
  </si>
  <si>
    <t>Rating</t>
  </si>
  <si>
    <t>Index Score</t>
  </si>
  <si>
    <t>Improvement Data (High Schools only)</t>
  </si>
  <si>
    <t>Improvement Index</t>
  </si>
  <si>
    <t>Not Improved</t>
  </si>
  <si>
    <t>Improved</t>
  </si>
  <si>
    <t>Less than 5.0</t>
  </si>
  <si>
    <t>5.0 or Higher</t>
  </si>
  <si>
    <t>Includes grade 12? (Y/N)</t>
  </si>
  <si>
    <t>Additional Indicators</t>
  </si>
  <si>
    <t>Graduates</t>
  </si>
  <si>
    <t>Dropouts</t>
  </si>
  <si>
    <t>Less than 94.5</t>
  </si>
  <si>
    <t>Participation in Statewide Assessments = Participants / (Participants + Non-Participants)</t>
  </si>
  <si>
    <t>Graduation Data</t>
  </si>
  <si>
    <t>Attendance Data</t>
  </si>
  <si>
    <t>Enrollment Data</t>
  </si>
  <si>
    <t xml:space="preserve">Enrollment  </t>
  </si>
  <si>
    <t>School is rated on:</t>
  </si>
  <si>
    <t>94.5 or Higher</t>
  </si>
  <si>
    <t>Met AYP? (Y/N)</t>
  </si>
  <si>
    <t>White (not of Hispanic origin)</t>
  </si>
  <si>
    <t>* - High Schools with a combined total of fewer than 20 graduates and dropouts are rated on attendance.</t>
  </si>
  <si>
    <t>Total Grads + dropouts</t>
  </si>
  <si>
    <t xml:space="preserve">   -- The school has only one year of data.</t>
  </si>
  <si>
    <t>Notes: Situations where schools are not rated include:</t>
  </si>
  <si>
    <t>Performance Index</t>
  </si>
  <si>
    <r>
      <t xml:space="preserve">Finally, click again on the tab of the second worksheet, </t>
    </r>
    <r>
      <rPr>
        <b/>
        <sz val="10"/>
        <rFont val="Arial"/>
        <family val="2"/>
      </rPr>
      <t>Overall Rating</t>
    </r>
    <r>
      <rPr>
        <sz val="10"/>
        <rFont val="Arial"/>
        <family val="2"/>
      </rPr>
      <t>.  Your school's ratings will now appear in the section labeled Summary Data -- Rating/Comments.</t>
    </r>
  </si>
  <si>
    <t>How to Use the Report Card Calculator</t>
  </si>
  <si>
    <t>1.</t>
  </si>
  <si>
    <t>2.</t>
  </si>
  <si>
    <t>3.</t>
  </si>
  <si>
    <t>4.</t>
  </si>
  <si>
    <t>5.</t>
  </si>
  <si>
    <r>
      <t xml:space="preserve">Begin by clicking on the tab of the second worksheet in this file, </t>
    </r>
    <r>
      <rPr>
        <b/>
        <sz val="10"/>
        <rFont val="Arial"/>
        <family val="2"/>
      </rPr>
      <t>Overall Rating</t>
    </r>
    <r>
      <rPr>
        <sz val="10"/>
        <rFont val="Arial"/>
        <family val="2"/>
      </rPr>
      <t xml:space="preserve">.  You must input data in the yellow cells.  
  1. Enter Y (yes) or N (no) to indicate if your school includes grade 12.  
  2. Enter a Y (yes) or N (no) to indicate if your school Met AYP for 2009-10.  
  3. Enter your school's 2008-09 total enrollment and your school's 2009-10 total enrollment.  
As the note at the bottom of the worksheet explains, your school is not rated if the combined 2008-09 and 2009-10 enrollment is less than 50 students.     </t>
    </r>
  </si>
  <si>
    <r>
      <t xml:space="preserve">Next, click on the tab of the third worksheet, </t>
    </r>
    <r>
      <rPr>
        <b/>
        <sz val="10"/>
        <rFont val="Arial"/>
        <family val="2"/>
      </rPr>
      <t>Achievement Index</t>
    </r>
    <r>
      <rPr>
        <sz val="10"/>
        <rFont val="Arial"/>
        <family val="2"/>
      </rPr>
      <t xml:space="preserve">.  You must input data in the yellow cells.  Your school's actual data for the 2009-10 Report Card can be found on the school's Report Card Detail Sheet.  You may enter hypothetical data to see your school's rating under a variety of scenarios.  As the note at the bottom of the worksheet explains, your school is not rated if the number of tests from 2008-09 and 2009-10 combined is less than 80.     </t>
    </r>
  </si>
  <si>
    <r>
      <t xml:space="preserve">If your school includes grade 12, click on the tab of the fourth worksheet, </t>
    </r>
    <r>
      <rPr>
        <b/>
        <sz val="10"/>
        <rFont val="Arial"/>
        <family val="2"/>
      </rPr>
      <t>Improvement</t>
    </r>
    <r>
      <rPr>
        <sz val="10"/>
        <rFont val="Arial"/>
        <family val="0"/>
      </rPr>
      <t>.  You must input data in the yellow cells.  Your school's actual data for the 2009-10 Report Card can be found on the school's Report Card Detail Sheet.  You may enter hypothetical data to see your school's rating under a variety of scenarios.  A rating of Improved raises the school's overall rating by one category.</t>
    </r>
  </si>
  <si>
    <r>
      <t xml:space="preserve">Now, click on the tab of the fifth worksheet, </t>
    </r>
    <r>
      <rPr>
        <b/>
        <sz val="10"/>
        <rFont val="Arial"/>
        <family val="2"/>
      </rPr>
      <t>Other Indicators</t>
    </r>
    <r>
      <rPr>
        <sz val="10"/>
        <rFont val="Arial"/>
        <family val="2"/>
      </rPr>
      <t xml:space="preserve">.   You must input data in the yellow cells.  
  1. If your school does not include grade 12, complete only the Attendance Data and Participation Rate sections. 
  2. If your school includes grade 12 and had more than 20 graduates and dropouts in 2008-09 and 2009-10 combined, complete the Graduation Data and Participation Rate sections.  
  3. If your school includes grade 12 but had fewer than 20 graduates and dropouts in 2008-09 and 2009-10 combined, complete the Attendance Data and Participation Rate sections.  
Your school's actual data for the 2009-10 Report Card can be found on the school's Report Card Detail Sheet.  You may enter hypothetical data to see your school's rating under a variety of scenarios.   </t>
    </r>
  </si>
  <si>
    <t>2008-2009</t>
  </si>
  <si>
    <t>2009-2010</t>
  </si>
  <si>
    <t xml:space="preserve">   -- Combined enrollment for 2008-09 and 2009-10 is less than 50.</t>
  </si>
  <si>
    <t xml:space="preserve">   -- Fewer than 80 reading and math tests were taken in 2008-09 and 2009-10 combined.</t>
  </si>
  <si>
    <t>* -- Schools with fewer than 80 reading in math tests in 2008-09 and 2009-10 combined will not be rated.</t>
  </si>
  <si>
    <t xml:space="preserve"> Improvement Index =  Index 2009-10 - Index 2008-09</t>
  </si>
  <si>
    <t>2007-2008</t>
  </si>
  <si>
    <t>2009-10 Participation Rate in Statewide Assessments</t>
  </si>
  <si>
    <r>
      <t xml:space="preserve">The </t>
    </r>
    <r>
      <rPr>
        <b/>
        <i/>
        <sz val="10"/>
        <rFont val="Arial"/>
        <family val="2"/>
      </rPr>
      <t>Achievement Index Calculator</t>
    </r>
    <r>
      <rPr>
        <i/>
        <sz val="10"/>
        <rFont val="Arial"/>
        <family val="2"/>
      </rPr>
      <t xml:space="preserve"> is designed to allow district and school personnel to input data and then view the School Report Card rating that results from those entries.  You can duplicate the calculations used to generate your school's 2009-2010 Report Card rating, or you can project ratings under a variety of scenarios.  
</t>
    </r>
    <r>
      <rPr>
        <sz val="10"/>
        <rFont val="Arial"/>
        <family val="2"/>
      </rPr>
      <t>Note: Only those cells highlighted in yellow may be edited.</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</si>
</sst>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
    <numFmt numFmtId="173" formatCode="_(* #,##0.0_);_(* \(#,##0.0\);_(* &quot;-&quot;??_);_(@_)"/>
    <numFmt numFmtId="174" formatCode="_(* #,##0_);_(* \(#,##0\);_(* &quot;-&quot;??_);_(@_)"/>
    <numFmt numFmtId="175" formatCode="0.0%"/>
  </numFmts>
  <fonts count="53">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0"/>
    </font>
    <font>
      <b/>
      <sz val="12"/>
      <name val="Arial"/>
      <family val="2"/>
    </font>
    <font>
      <b/>
      <sz val="11"/>
      <name val="Arial"/>
      <family val="2"/>
    </font>
    <font>
      <sz val="9"/>
      <name val="Arial"/>
      <family val="0"/>
    </font>
    <font>
      <i/>
      <sz val="10"/>
      <name val="Arial"/>
      <family val="2"/>
    </font>
    <font>
      <sz val="10"/>
      <color indexed="9"/>
      <name val="Arial"/>
      <family val="0"/>
    </font>
    <font>
      <b/>
      <sz val="10"/>
      <color indexed="9"/>
      <name val="Arial"/>
      <family val="2"/>
    </font>
    <font>
      <b/>
      <sz val="11"/>
      <color indexed="9"/>
      <name val="Arial"/>
      <family val="2"/>
    </font>
    <font>
      <b/>
      <sz val="12"/>
      <color indexed="9"/>
      <name val="Arial"/>
      <family val="0"/>
    </font>
    <font>
      <b/>
      <sz val="18"/>
      <name val="Arial"/>
      <family val="2"/>
    </font>
    <font>
      <b/>
      <sz val="20"/>
      <name val="Arial"/>
      <family val="2"/>
    </font>
    <font>
      <b/>
      <sz val="8"/>
      <name val="Arial"/>
      <family val="2"/>
    </font>
    <font>
      <b/>
      <sz val="14"/>
      <name val="Arial"/>
      <family val="2"/>
    </font>
    <font>
      <b/>
      <sz val="16"/>
      <name val="Arial"/>
      <family val="2"/>
    </font>
    <font>
      <b/>
      <i/>
      <sz val="14"/>
      <name val="Arial"/>
      <family val="2"/>
    </font>
    <font>
      <b/>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gray125">
        <fgColor indexed="22"/>
      </patternFill>
    </fill>
    <fill>
      <patternFill patternType="solid">
        <fgColor indexed="26"/>
        <bgColor indexed="64"/>
      </patternFill>
    </fill>
    <fill>
      <patternFill patternType="gray125">
        <fgColor indexed="22"/>
        <bgColor indexed="26"/>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n"/>
    </border>
    <border>
      <left style="thin"/>
      <right style="thin"/>
      <top style="thin">
        <color indexed="22"/>
      </top>
      <bottom style="thin"/>
    </border>
    <border>
      <left>
        <color indexed="63"/>
      </left>
      <right>
        <color indexed="63"/>
      </right>
      <top>
        <color indexed="63"/>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style="thin"/>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color indexed="22"/>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9">
    <xf numFmtId="0" fontId="0" fillId="0" borderId="0" xfId="0"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0" fillId="0" borderId="0" xfId="0" applyBorder="1" applyAlignment="1">
      <alignment vertical="center"/>
    </xf>
    <xf numFmtId="0" fontId="4" fillId="0" borderId="15" xfId="0" applyFont="1" applyBorder="1" applyAlignment="1">
      <alignment horizontal="center" vertical="center"/>
    </xf>
    <xf numFmtId="3" fontId="0" fillId="0" borderId="16" xfId="0" applyNumberFormat="1" applyBorder="1" applyAlignment="1">
      <alignment horizontal="center" vertical="center"/>
    </xf>
    <xf numFmtId="3" fontId="4" fillId="0" borderId="16" xfId="0" applyNumberFormat="1" applyFont="1" applyBorder="1" applyAlignment="1">
      <alignment horizontal="center" vertical="center"/>
    </xf>
    <xf numFmtId="0" fontId="0" fillId="0" borderId="17" xfId="0" applyBorder="1" applyAlignment="1">
      <alignment horizontal="center" vertical="center"/>
    </xf>
    <xf numFmtId="3" fontId="0" fillId="0" borderId="18" xfId="0" applyNumberFormat="1" applyBorder="1" applyAlignment="1">
      <alignment horizontal="center" vertical="center"/>
    </xf>
    <xf numFmtId="0" fontId="0" fillId="0" borderId="19" xfId="0" applyBorder="1" applyAlignment="1">
      <alignment horizontal="center" vertical="center"/>
    </xf>
    <xf numFmtId="3" fontId="0" fillId="0" borderId="13" xfId="0" applyNumberFormat="1" applyBorder="1" applyAlignment="1">
      <alignment horizontal="center" vertical="center"/>
    </xf>
    <xf numFmtId="0" fontId="10" fillId="0" borderId="0" xfId="0" applyFont="1" applyAlignment="1">
      <alignment horizontal="center" vertical="center"/>
    </xf>
    <xf numFmtId="0" fontId="9" fillId="0" borderId="20" xfId="0"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21" xfId="0" applyFont="1" applyFill="1" applyBorder="1" applyAlignment="1">
      <alignment/>
    </xf>
    <xf numFmtId="171" fontId="0" fillId="0" borderId="20" xfId="0" applyNumberFormat="1" applyFont="1" applyFill="1" applyBorder="1" applyAlignment="1">
      <alignment horizontal="center"/>
    </xf>
    <xf numFmtId="0" fontId="0" fillId="0" borderId="20" xfId="0" applyFont="1" applyFill="1" applyBorder="1" applyAlignment="1">
      <alignment/>
    </xf>
    <xf numFmtId="0" fontId="9" fillId="0" borderId="0" xfId="0" applyFont="1" applyFill="1" applyAlignment="1">
      <alignment/>
    </xf>
    <xf numFmtId="0" fontId="9" fillId="0" borderId="22" xfId="0" applyFont="1" applyFill="1" applyBorder="1" applyAlignment="1">
      <alignment/>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ill="1" applyAlignment="1">
      <alignment/>
    </xf>
    <xf numFmtId="0" fontId="5" fillId="0" borderId="0" xfId="0" applyFont="1" applyFill="1" applyAlignment="1">
      <alignment horizontal="center" vertical="center"/>
    </xf>
    <xf numFmtId="0" fontId="0" fillId="0" borderId="25" xfId="0" applyFont="1" applyFill="1" applyBorder="1" applyAlignment="1">
      <alignment horizontal="center" vertical="center" wrapText="1"/>
    </xf>
    <xf numFmtId="0" fontId="0"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0" xfId="0" applyFont="1" applyFill="1" applyAlignment="1">
      <alignment wrapText="1"/>
    </xf>
    <xf numFmtId="171" fontId="0" fillId="0" borderId="20" xfId="0" applyNumberFormat="1" applyFont="1" applyFill="1" applyBorder="1" applyAlignment="1">
      <alignment horizontal="center"/>
    </xf>
    <xf numFmtId="171" fontId="0" fillId="0" borderId="22" xfId="0" applyNumberFormat="1" applyFont="1" applyFill="1" applyBorder="1" applyAlignment="1">
      <alignment horizontal="center"/>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171" fontId="0" fillId="0" borderId="28" xfId="0" applyNumberFormat="1" applyFont="1" applyFill="1" applyBorder="1" applyAlignment="1">
      <alignment horizontal="center"/>
    </xf>
    <xf numFmtId="171" fontId="0" fillId="0" borderId="29" xfId="0" applyNumberFormat="1" applyFont="1" applyFill="1" applyBorder="1" applyAlignment="1">
      <alignment horizontal="center"/>
    </xf>
    <xf numFmtId="171" fontId="0" fillId="0" borderId="28"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20" xfId="0" applyFont="1" applyFill="1" applyBorder="1" applyAlignment="1">
      <alignment horizontal="center" wrapText="1"/>
    </xf>
    <xf numFmtId="0" fontId="4" fillId="0" borderId="10" xfId="0" applyFont="1" applyFill="1" applyBorder="1" applyAlignment="1">
      <alignment horizontal="center" vertical="center"/>
    </xf>
    <xf numFmtId="0" fontId="10" fillId="0" borderId="11" xfId="0" applyFont="1" applyFill="1" applyBorder="1" applyAlignment="1">
      <alignment horizontal="center" wrapText="1"/>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16" fillId="0" borderId="10" xfId="0" applyFont="1" applyBorder="1" applyAlignment="1">
      <alignment horizontal="center" vertical="center"/>
    </xf>
    <xf numFmtId="0" fontId="0" fillId="33" borderId="10" xfId="0" applyFill="1" applyBorder="1" applyAlignment="1">
      <alignment horizontal="center" vertical="center"/>
    </xf>
    <xf numFmtId="171" fontId="10" fillId="0" borderId="0" xfId="0" applyNumberFormat="1" applyFont="1" applyAlignment="1">
      <alignment horizontal="center" vertical="center"/>
    </xf>
    <xf numFmtId="0" fontId="0" fillId="0" borderId="0" xfId="0" applyAlignment="1">
      <alignment horizontal="center" vertical="center" wrapText="1"/>
    </xf>
    <xf numFmtId="0" fontId="13" fillId="34"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0" fillId="0" borderId="0" xfId="0" applyFont="1" applyAlignment="1">
      <alignment horizontal="center" vertical="center" wrapText="1"/>
    </xf>
    <xf numFmtId="0" fontId="9" fillId="35" borderId="27" xfId="0" applyFont="1" applyFill="1" applyBorder="1" applyAlignment="1">
      <alignment horizontal="center" wrapText="1"/>
    </xf>
    <xf numFmtId="0" fontId="9" fillId="35" borderId="30" xfId="0" applyFont="1" applyFill="1" applyBorder="1" applyAlignment="1">
      <alignment horizontal="center" wrapText="1"/>
    </xf>
    <xf numFmtId="0" fontId="0" fillId="0" borderId="25" xfId="0" applyBorder="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0" xfId="0" applyFont="1" applyFill="1" applyAlignment="1">
      <alignment horizontal="center" wrapText="1"/>
    </xf>
    <xf numFmtId="171" fontId="10" fillId="0" borderId="0" xfId="0" applyNumberFormat="1" applyFont="1" applyFill="1" applyAlignment="1">
      <alignment horizontal="center" wrapText="1"/>
    </xf>
    <xf numFmtId="0" fontId="4" fillId="0" borderId="17" xfId="0" applyFont="1" applyBorder="1" applyAlignment="1">
      <alignment horizontal="center" vertical="center"/>
    </xf>
    <xf numFmtId="0" fontId="0" fillId="0" borderId="29" xfId="0" applyBorder="1" applyAlignment="1">
      <alignment horizontal="center" vertical="center"/>
    </xf>
    <xf numFmtId="0" fontId="0" fillId="0" borderId="0" xfId="0" applyFont="1" applyAlignment="1">
      <alignment horizontal="center" vertical="center"/>
    </xf>
    <xf numFmtId="0" fontId="13" fillId="0"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0" fillId="0" borderId="31" xfId="0" applyBorder="1" applyAlignment="1">
      <alignment horizontal="center" vertical="center"/>
    </xf>
    <xf numFmtId="0" fontId="0" fillId="0" borderId="22" xfId="0" applyFont="1" applyBorder="1" applyAlignment="1">
      <alignment horizontal="center" vertical="center"/>
    </xf>
    <xf numFmtId="0" fontId="11" fillId="34" borderId="0" xfId="0" applyFont="1" applyFill="1" applyAlignment="1">
      <alignment horizontal="center" vertical="center" wrapText="1"/>
    </xf>
    <xf numFmtId="171" fontId="0" fillId="0" borderId="19" xfId="59" applyNumberFormat="1" applyFont="1" applyBorder="1" applyAlignment="1">
      <alignment horizontal="center" vertical="center"/>
    </xf>
    <xf numFmtId="0" fontId="0" fillId="0" borderId="0" xfId="0" applyBorder="1" applyAlignment="1">
      <alignment horizontal="center" vertical="center" wrapText="1"/>
    </xf>
    <xf numFmtId="171" fontId="0" fillId="0" borderId="10" xfId="42" applyNumberFormat="1" applyFont="1" applyBorder="1" applyAlignment="1" quotePrefix="1">
      <alignment horizontal="center" vertical="center" wrapText="1"/>
    </xf>
    <xf numFmtId="0" fontId="0" fillId="0" borderId="31" xfId="0" applyBorder="1" applyAlignment="1">
      <alignment vertical="center"/>
    </xf>
    <xf numFmtId="0" fontId="0" fillId="0" borderId="0" xfId="0" applyAlignment="1">
      <alignment horizontal="center"/>
    </xf>
    <xf numFmtId="0" fontId="0" fillId="0" borderId="31" xfId="0" applyBorder="1" applyAlignment="1">
      <alignment horizontal="right" vertical="center"/>
    </xf>
    <xf numFmtId="0" fontId="11" fillId="0" borderId="11" xfId="0" applyFont="1" applyBorder="1" applyAlignment="1">
      <alignment vertical="center"/>
    </xf>
    <xf numFmtId="0" fontId="4" fillId="0" borderId="10" xfId="0" applyFont="1" applyBorder="1" applyAlignment="1">
      <alignment horizontal="center" vertical="center" wrapText="1"/>
    </xf>
    <xf numFmtId="0" fontId="0" fillId="0" borderId="0" xfId="0" applyFill="1" applyBorder="1" applyAlignment="1">
      <alignment horizontal="center" vertical="center" wrapText="1"/>
    </xf>
    <xf numFmtId="171" fontId="0" fillId="0" borderId="10" xfId="59" applyNumberFormat="1" applyFont="1" applyBorder="1" applyAlignment="1">
      <alignment horizontal="center" vertical="center"/>
    </xf>
    <xf numFmtId="0" fontId="0" fillId="0" borderId="22" xfId="0" applyBorder="1" applyAlignment="1">
      <alignment horizontal="center" vertical="center"/>
    </xf>
    <xf numFmtId="0" fontId="4"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3" fontId="0" fillId="0" borderId="25" xfId="42"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31" xfId="0" applyFont="1" applyBorder="1" applyAlignment="1">
      <alignment vertical="center"/>
    </xf>
    <xf numFmtId="0" fontId="4" fillId="0" borderId="19" xfId="0" applyFont="1" applyBorder="1" applyAlignment="1">
      <alignment horizontal="center" vertical="center"/>
    </xf>
    <xf numFmtId="0" fontId="11" fillId="34" borderId="0" xfId="0" applyFont="1" applyFill="1" applyAlignment="1">
      <alignment horizontal="center" vertical="center"/>
    </xf>
    <xf numFmtId="0" fontId="11" fillId="34" borderId="25" xfId="0"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center" vertical="top"/>
    </xf>
    <xf numFmtId="0" fontId="4" fillId="0" borderId="24" xfId="0" applyFont="1" applyBorder="1" applyAlignment="1">
      <alignment horizontal="center" vertical="center" wrapText="1"/>
    </xf>
    <xf numFmtId="0" fontId="9" fillId="0" borderId="0" xfId="0" applyFont="1" applyAlignment="1">
      <alignment horizontal="left" vertical="top" wrapText="1"/>
    </xf>
    <xf numFmtId="0" fontId="0" fillId="36" borderId="32" xfId="0" applyFont="1" applyFill="1" applyBorder="1" applyAlignment="1" applyProtection="1">
      <alignment horizontal="center" wrapText="1"/>
      <protection locked="0"/>
    </xf>
    <xf numFmtId="0" fontId="0" fillId="36" borderId="33" xfId="0" applyFont="1" applyFill="1" applyBorder="1" applyAlignment="1" applyProtection="1">
      <alignment horizontal="center" wrapText="1"/>
      <protection locked="0"/>
    </xf>
    <xf numFmtId="0" fontId="0" fillId="36" borderId="34" xfId="0" applyFont="1" applyFill="1" applyBorder="1" applyAlignment="1" applyProtection="1">
      <alignment horizontal="center" wrapText="1"/>
      <protection locked="0"/>
    </xf>
    <xf numFmtId="0" fontId="0" fillId="36" borderId="35" xfId="0" applyFont="1" applyFill="1" applyBorder="1" applyAlignment="1" applyProtection="1">
      <alignment horizontal="center" wrapText="1"/>
      <protection locked="0"/>
    </xf>
    <xf numFmtId="0" fontId="0" fillId="36" borderId="36" xfId="0" applyFont="1" applyFill="1" applyBorder="1" applyAlignment="1" applyProtection="1">
      <alignment horizontal="center" wrapText="1"/>
      <protection locked="0"/>
    </xf>
    <xf numFmtId="0" fontId="0" fillId="36" borderId="37" xfId="0" applyFont="1" applyFill="1" applyBorder="1" applyAlignment="1" applyProtection="1">
      <alignment horizontal="center" wrapText="1"/>
      <protection locked="0"/>
    </xf>
    <xf numFmtId="0" fontId="9" fillId="37" borderId="35" xfId="0" applyFont="1" applyFill="1" applyBorder="1" applyAlignment="1" applyProtection="1">
      <alignment horizontal="center" wrapText="1"/>
      <protection locked="0"/>
    </xf>
    <xf numFmtId="0" fontId="9" fillId="37" borderId="36" xfId="0" applyFont="1" applyFill="1" applyBorder="1" applyAlignment="1" applyProtection="1">
      <alignment horizontal="center" wrapText="1"/>
      <protection locked="0"/>
    </xf>
    <xf numFmtId="0" fontId="9" fillId="37" borderId="37" xfId="0" applyFont="1" applyFill="1" applyBorder="1" applyAlignment="1" applyProtection="1">
      <alignment horizontal="center" wrapText="1"/>
      <protection locked="0"/>
    </xf>
    <xf numFmtId="0" fontId="9" fillId="37" borderId="38" xfId="0" applyFont="1" applyFill="1" applyBorder="1" applyAlignment="1" applyProtection="1">
      <alignment horizontal="center" wrapText="1"/>
      <protection locked="0"/>
    </xf>
    <xf numFmtId="0" fontId="9" fillId="37" borderId="39" xfId="0" applyFont="1" applyFill="1" applyBorder="1" applyAlignment="1" applyProtection="1">
      <alignment horizontal="center" wrapText="1"/>
      <protection locked="0"/>
    </xf>
    <xf numFmtId="0" fontId="9" fillId="37" borderId="40" xfId="0" applyFont="1" applyFill="1" applyBorder="1" applyAlignment="1" applyProtection="1">
      <alignment horizontal="center" wrapText="1"/>
      <protection locked="0"/>
    </xf>
    <xf numFmtId="0" fontId="0" fillId="36" borderId="41" xfId="0" applyFont="1" applyFill="1" applyBorder="1" applyAlignment="1" applyProtection="1">
      <alignment horizontal="center" wrapText="1"/>
      <protection locked="0"/>
    </xf>
    <xf numFmtId="0" fontId="0" fillId="36" borderId="42" xfId="0" applyFont="1" applyFill="1" applyBorder="1" applyAlignment="1" applyProtection="1">
      <alignment horizontal="center" wrapText="1"/>
      <protection locked="0"/>
    </xf>
    <xf numFmtId="0" fontId="0" fillId="36" borderId="43" xfId="0" applyFont="1" applyFill="1" applyBorder="1" applyAlignment="1" applyProtection="1">
      <alignment horizontal="center" wrapText="1"/>
      <protection locked="0"/>
    </xf>
    <xf numFmtId="0" fontId="0" fillId="36" borderId="44" xfId="0" applyFont="1" applyFill="1" applyBorder="1" applyAlignment="1" applyProtection="1">
      <alignment horizontal="center" wrapText="1"/>
      <protection locked="0"/>
    </xf>
    <xf numFmtId="0" fontId="9" fillId="37" borderId="43" xfId="0" applyFont="1" applyFill="1" applyBorder="1" applyAlignment="1" applyProtection="1">
      <alignment horizontal="center" wrapText="1"/>
      <protection locked="0"/>
    </xf>
    <xf numFmtId="0" fontId="9" fillId="37" borderId="44" xfId="0" applyFont="1" applyFill="1" applyBorder="1" applyAlignment="1" applyProtection="1">
      <alignment horizontal="center" wrapText="1"/>
      <protection locked="0"/>
    </xf>
    <xf numFmtId="0" fontId="9" fillId="37" borderId="45" xfId="0" applyFont="1" applyFill="1" applyBorder="1" applyAlignment="1" applyProtection="1">
      <alignment horizontal="center" wrapText="1"/>
      <protection locked="0"/>
    </xf>
    <xf numFmtId="0" fontId="9" fillId="37" borderId="46" xfId="0" applyFont="1" applyFill="1" applyBorder="1" applyAlignment="1" applyProtection="1">
      <alignment horizontal="center" wrapText="1"/>
      <protection locked="0"/>
    </xf>
    <xf numFmtId="0" fontId="0" fillId="36" borderId="47" xfId="0"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36" borderId="12"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6" borderId="10" xfId="0" applyFill="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13" fillId="34"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Fill="1" applyAlignment="1">
      <alignment horizontal="left" vertical="center"/>
    </xf>
    <xf numFmtId="171" fontId="0" fillId="0" borderId="23" xfId="0" applyNumberFormat="1" applyFont="1" applyFill="1" applyBorder="1" applyAlignment="1">
      <alignment horizontal="center" vertical="center" wrapText="1"/>
    </xf>
    <xf numFmtId="171" fontId="0" fillId="0" borderId="24" xfId="0" applyNumberFormat="1" applyFont="1" applyFill="1" applyBorder="1" applyAlignment="1">
      <alignment horizontal="center" vertical="center" wrapText="1"/>
    </xf>
    <xf numFmtId="171" fontId="7" fillId="0" borderId="23" xfId="0" applyNumberFormat="1" applyFont="1" applyFill="1" applyBorder="1" applyAlignment="1">
      <alignment horizontal="center" vertical="center" wrapText="1"/>
    </xf>
    <xf numFmtId="171" fontId="7" fillId="0" borderId="24"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31" xfId="0" applyFont="1" applyFill="1" applyBorder="1" applyAlignment="1">
      <alignment horizontal="center" vertical="center"/>
    </xf>
    <xf numFmtId="0" fontId="0" fillId="0" borderId="11" xfId="0" applyFont="1" applyFill="1" applyBorder="1" applyAlignment="1">
      <alignment horizontal="center" wrapText="1"/>
    </xf>
    <xf numFmtId="0" fontId="0" fillId="0" borderId="0" xfId="0" applyFont="1" applyFill="1" applyBorder="1" applyAlignment="1">
      <alignment horizont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48"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51" xfId="0" applyFont="1" applyFill="1" applyBorder="1" applyAlignment="1">
      <alignment horizontal="center" vertical="center"/>
    </xf>
    <xf numFmtId="171" fontId="4" fillId="0" borderId="52" xfId="0" applyNumberFormat="1" applyFont="1" applyBorder="1" applyAlignment="1">
      <alignment horizontal="center" vertical="center"/>
    </xf>
    <xf numFmtId="171" fontId="4" fillId="0" borderId="53" xfId="0" applyNumberFormat="1" applyFont="1" applyBorder="1" applyAlignment="1">
      <alignment horizontal="center" vertical="center"/>
    </xf>
    <xf numFmtId="0" fontId="0" fillId="0" borderId="31" xfId="0" applyBorder="1" applyAlignment="1">
      <alignment horizontal="center" vertical="center"/>
    </xf>
    <xf numFmtId="171" fontId="4" fillId="0" borderId="49" xfId="0" applyNumberFormat="1" applyFont="1" applyBorder="1" applyAlignment="1">
      <alignment horizontal="center" vertical="center"/>
    </xf>
    <xf numFmtId="171" fontId="4" fillId="0" borderId="48" xfId="0" applyNumberFormat="1" applyFont="1" applyBorder="1" applyAlignment="1">
      <alignment horizontal="center" vertical="center"/>
    </xf>
    <xf numFmtId="171" fontId="4" fillId="0" borderId="31" xfId="0" applyNumberFormat="1" applyFont="1" applyBorder="1" applyAlignment="1">
      <alignment horizontal="center" vertical="center"/>
    </xf>
    <xf numFmtId="171" fontId="4" fillId="0" borderId="29" xfId="0" applyNumberFormat="1" applyFont="1" applyBorder="1" applyAlignment="1">
      <alignment horizontal="center" vertical="center"/>
    </xf>
    <xf numFmtId="0" fontId="4" fillId="0" borderId="31" xfId="0" applyFont="1" applyBorder="1" applyAlignment="1">
      <alignment horizontal="center" vertical="center"/>
    </xf>
    <xf numFmtId="0" fontId="6" fillId="0" borderId="54" xfId="0" applyFont="1" applyBorder="1"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171" fontId="11" fillId="0" borderId="0" xfId="0" applyNumberFormat="1" applyFont="1" applyBorder="1" applyAlignment="1">
      <alignment horizontal="center" vertical="center"/>
    </xf>
    <xf numFmtId="0" fontId="17" fillId="0" borderId="17" xfId="0" applyFont="1" applyBorder="1" applyAlignment="1">
      <alignment horizontal="center" vertical="center"/>
    </xf>
    <xf numFmtId="0" fontId="17" fillId="0" borderId="49" xfId="0" applyFont="1" applyBorder="1" applyAlignment="1">
      <alignment horizontal="center" vertical="center"/>
    </xf>
    <xf numFmtId="0" fontId="17" fillId="0" borderId="48" xfId="0" applyFont="1" applyBorder="1" applyAlignment="1">
      <alignment horizontal="center" vertical="center"/>
    </xf>
    <xf numFmtId="0" fontId="4" fillId="0" borderId="11"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28" xfId="0" applyFont="1" applyBorder="1" applyAlignment="1" quotePrefix="1">
      <alignment horizontal="center" vertical="center"/>
    </xf>
    <xf numFmtId="171" fontId="4" fillId="0" borderId="19"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4" fillId="0" borderId="49" xfId="0" applyFont="1" applyBorder="1" applyAlignment="1">
      <alignment horizontal="center" vertical="center"/>
    </xf>
    <xf numFmtId="0" fontId="12" fillId="34" borderId="0" xfId="0" applyFont="1" applyFill="1" applyAlignment="1">
      <alignment horizontal="center" vertical="center"/>
    </xf>
    <xf numFmtId="171" fontId="0" fillId="0" borderId="25" xfId="42" applyNumberFormat="1" applyFont="1" applyFill="1" applyBorder="1" applyAlignment="1">
      <alignment horizontal="center" vertical="center"/>
    </xf>
    <xf numFmtId="171" fontId="0" fillId="0" borderId="24" xfId="42" applyNumberFormat="1" applyFont="1" applyFill="1" applyBorder="1" applyAlignment="1">
      <alignment horizontal="center" vertical="center"/>
    </xf>
    <xf numFmtId="171" fontId="0" fillId="0" borderId="25" xfId="0" applyNumberFormat="1" applyFill="1" applyBorder="1" applyAlignment="1">
      <alignment horizontal="center" vertical="center"/>
    </xf>
    <xf numFmtId="171" fontId="0" fillId="0" borderId="24" xfId="0" applyNumberFormat="1" applyFill="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31" xfId="0"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28" xfId="0" applyFont="1" applyBorder="1" applyAlignment="1" quotePrefix="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
  <sheetViews>
    <sheetView tabSelected="1" zoomScalePageLayoutView="0" workbookViewId="0" topLeftCell="A1">
      <selection activeCell="A1" sqref="A1"/>
    </sheetView>
  </sheetViews>
  <sheetFormatPr defaultColWidth="9.140625" defaultRowHeight="12.75"/>
  <cols>
    <col min="1" max="1" width="3.421875" style="90" customWidth="1"/>
    <col min="2" max="2" width="101.8515625" style="0" customWidth="1"/>
  </cols>
  <sheetData>
    <row r="1" ht="30.75" customHeight="1">
      <c r="B1" s="82" t="s">
        <v>84</v>
      </c>
    </row>
    <row r="2" spans="1:10" s="108" customFormat="1" ht="66" customHeight="1">
      <c r="A2" s="110"/>
      <c r="B2" s="112" t="s">
        <v>102</v>
      </c>
      <c r="C2" s="109"/>
      <c r="D2" s="109"/>
      <c r="E2" s="109"/>
      <c r="F2" s="109"/>
      <c r="G2" s="109"/>
      <c r="H2" s="109"/>
      <c r="I2" s="109"/>
      <c r="J2" s="109"/>
    </row>
    <row r="3" spans="1:10" ht="81" customHeight="1">
      <c r="A3" s="110" t="s">
        <v>85</v>
      </c>
      <c r="B3" s="109" t="s">
        <v>90</v>
      </c>
      <c r="C3" s="109"/>
      <c r="D3" s="109"/>
      <c r="E3" s="109"/>
      <c r="F3" s="109"/>
      <c r="G3" s="109"/>
      <c r="H3" s="109"/>
      <c r="I3" s="109"/>
      <c r="J3" s="109"/>
    </row>
    <row r="4" spans="1:10" ht="56.25" customHeight="1">
      <c r="A4" s="110" t="s">
        <v>86</v>
      </c>
      <c r="B4" s="109" t="s">
        <v>91</v>
      </c>
      <c r="C4" s="109"/>
      <c r="D4" s="109"/>
      <c r="E4" s="109"/>
      <c r="F4" s="109"/>
      <c r="G4" s="109"/>
      <c r="H4" s="109"/>
      <c r="I4" s="109"/>
      <c r="J4" s="109"/>
    </row>
    <row r="5" spans="1:10" ht="56.25" customHeight="1">
      <c r="A5" s="110" t="s">
        <v>87</v>
      </c>
      <c r="B5" s="109" t="s">
        <v>92</v>
      </c>
      <c r="C5" s="109"/>
      <c r="D5" s="109"/>
      <c r="E5" s="109"/>
      <c r="F5" s="109"/>
      <c r="G5" s="109"/>
      <c r="H5" s="109"/>
      <c r="I5" s="109"/>
      <c r="J5" s="109"/>
    </row>
    <row r="6" spans="1:10" ht="102.75" customHeight="1">
      <c r="A6" s="110" t="s">
        <v>88</v>
      </c>
      <c r="B6" s="109" t="s">
        <v>93</v>
      </c>
      <c r="C6" s="109"/>
      <c r="D6" s="109"/>
      <c r="E6" s="109"/>
      <c r="F6" s="109"/>
      <c r="G6" s="109"/>
      <c r="H6" s="109"/>
      <c r="I6" s="109"/>
      <c r="J6" s="109"/>
    </row>
    <row r="7" spans="1:10" ht="31.5" customHeight="1">
      <c r="A7" s="110" t="s">
        <v>89</v>
      </c>
      <c r="B7" s="109" t="s">
        <v>83</v>
      </c>
      <c r="C7" s="109"/>
      <c r="D7" s="109"/>
      <c r="E7" s="109"/>
      <c r="F7" s="109"/>
      <c r="G7" s="109"/>
      <c r="H7" s="109"/>
      <c r="I7" s="109"/>
      <c r="J7" s="109"/>
    </row>
  </sheetData>
  <sheetProtection password="CFF5"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3:H20"/>
  <sheetViews>
    <sheetView zoomScale="90" zoomScaleNormal="90" zoomScalePageLayoutView="0" workbookViewId="0" topLeftCell="A1">
      <selection activeCell="C4" sqref="C4"/>
    </sheetView>
  </sheetViews>
  <sheetFormatPr defaultColWidth="9.140625" defaultRowHeight="12.75"/>
  <cols>
    <col min="1" max="1" width="9.140625" style="63" customWidth="1"/>
    <col min="2" max="4" width="29.00390625" style="63" customWidth="1"/>
    <col min="5" max="5" width="6.8515625" style="63" customWidth="1"/>
    <col min="6" max="6" width="23.28125" style="63" customWidth="1"/>
    <col min="7" max="8" width="13.00390625" style="63" customWidth="1"/>
    <col min="9" max="16384" width="9.140625" style="63" customWidth="1"/>
  </cols>
  <sheetData>
    <row r="3" spans="2:4" ht="17.25" customHeight="1">
      <c r="B3" s="140" t="s">
        <v>16</v>
      </c>
      <c r="C3" s="140"/>
      <c r="D3" s="140"/>
    </row>
    <row r="4" spans="2:4" ht="15.75" customHeight="1">
      <c r="B4" s="71" t="s">
        <v>64</v>
      </c>
      <c r="C4" s="137"/>
      <c r="D4" s="111" t="str">
        <f>IF(C4="Y","High School",IF(C4="N","Elementary/Middle","NA"))</f>
        <v>NA</v>
      </c>
    </row>
    <row r="5" spans="2:4" ht="15.75" customHeight="1">
      <c r="B5" s="71" t="s">
        <v>76</v>
      </c>
      <c r="C5" s="137"/>
      <c r="D5" s="111" t="str">
        <f>IF(C5="Y","Met",IF(C5="N","Not Met","NA"))</f>
        <v>NA</v>
      </c>
    </row>
    <row r="6" spans="2:4" ht="15.75" customHeight="1">
      <c r="B6" s="87"/>
      <c r="C6" s="94"/>
      <c r="D6" s="87"/>
    </row>
    <row r="7" spans="2:8" ht="15.75" customHeight="1">
      <c r="B7" s="85" t="s">
        <v>72</v>
      </c>
      <c r="C7" s="106" t="s">
        <v>94</v>
      </c>
      <c r="D7" s="106" t="s">
        <v>95</v>
      </c>
      <c r="F7"/>
      <c r="G7"/>
      <c r="H7"/>
    </row>
    <row r="8" spans="2:8" ht="15.75" customHeight="1">
      <c r="B8" s="58" t="s">
        <v>73</v>
      </c>
      <c r="C8" s="136"/>
      <c r="D8" s="136"/>
      <c r="F8"/>
      <c r="G8"/>
      <c r="H8"/>
    </row>
    <row r="9" spans="6:8" ht="32.25" customHeight="1">
      <c r="F9"/>
      <c r="G9"/>
      <c r="H9"/>
    </row>
    <row r="10" spans="2:8" ht="31.5" customHeight="1">
      <c r="B10" s="139" t="s">
        <v>42</v>
      </c>
      <c r="C10" s="139"/>
      <c r="D10" s="64" t="s">
        <v>43</v>
      </c>
      <c r="F10"/>
      <c r="G10"/>
      <c r="H10"/>
    </row>
    <row r="11" spans="2:8" ht="24.75" customHeight="1">
      <c r="B11" s="66" t="s">
        <v>26</v>
      </c>
      <c r="C11" s="66" t="str">
        <f>'Achievement Index'!O49</f>
        <v>NA</v>
      </c>
      <c r="D11" s="81" t="str">
        <f>'Achievement Index'!O2</f>
        <v>Not Rated</v>
      </c>
      <c r="E11" s="68">
        <f>IF(D11="Outstanding",3,IF(D11="Satisfactory",2,IF(D11="In Need of Improvement",1,0)))</f>
        <v>0</v>
      </c>
      <c r="F11"/>
      <c r="G11"/>
      <c r="H11"/>
    </row>
    <row r="12" spans="2:8" ht="24.75" customHeight="1">
      <c r="B12" s="66" t="str">
        <f>CONCATENATE('Other Indicators'!M11," Rate")</f>
        <v>Attendance Rate</v>
      </c>
      <c r="C12" s="88" t="str">
        <f>'Other Indicators'!H6</f>
        <v>NA</v>
      </c>
      <c r="D12" s="81" t="str">
        <f>CONCATENATE('Other Indicators'!F7)</f>
        <v>Not Rated</v>
      </c>
      <c r="E12" s="68">
        <f>IF(D12="Outstanding",3,IF(D12="Satisfactory",2,IF(D12="In Need of Improvement",1,0)))</f>
        <v>0</v>
      </c>
      <c r="F12"/>
      <c r="G12"/>
      <c r="H12"/>
    </row>
    <row r="13" spans="2:8" ht="24.75" customHeight="1">
      <c r="B13" s="66" t="s">
        <v>45</v>
      </c>
      <c r="C13" s="66" t="str">
        <f>'Other Indicators'!J27</f>
        <v>NA</v>
      </c>
      <c r="D13" s="81" t="str">
        <f>CONCATENATE('Other Indicators'!I27)</f>
        <v>Not Rated</v>
      </c>
      <c r="E13" s="68">
        <f>IF(D13="Outstanding",3,IF(D13="Satisfactory",2,IF(D13="In Need of Improvement",1,0)))</f>
        <v>0</v>
      </c>
      <c r="F13"/>
      <c r="G13"/>
      <c r="H13"/>
    </row>
    <row r="14" spans="2:8" ht="24.75" customHeight="1">
      <c r="B14" s="66" t="s">
        <v>53</v>
      </c>
      <c r="C14" s="103" t="str">
        <f>D5</f>
        <v>NA</v>
      </c>
      <c r="D14" s="93" t="str">
        <f>IF(C14="Met","Overall Rating can be no lower than Satisfactory",IF(C14="Not Met","No Effect on School Rating","NA"))</f>
        <v>NA</v>
      </c>
      <c r="E14" s="68">
        <f>MIN(E11:E13)</f>
        <v>0</v>
      </c>
      <c r="F14"/>
      <c r="G14"/>
      <c r="H14"/>
    </row>
    <row r="15" spans="2:8" ht="24.75" customHeight="1">
      <c r="B15" s="67" t="s">
        <v>54</v>
      </c>
      <c r="C15" s="138" t="str">
        <f>IF(E15=3,"Outstanding",IF(E15=2,"Satisfactory",IF(E15=1,"In Need of Improvement","Not Rated")))</f>
        <v>Not Rated</v>
      </c>
      <c r="D15" s="138"/>
      <c r="E15" s="68">
        <f>IF(AND(E14=1,C14="Met"),2,E14)</f>
        <v>0</v>
      </c>
      <c r="F15"/>
      <c r="G15"/>
      <c r="H15"/>
    </row>
    <row r="16" ht="12.75">
      <c r="E16" s="68"/>
    </row>
    <row r="17" spans="2:4" ht="12.75">
      <c r="B17" s="141" t="s">
        <v>81</v>
      </c>
      <c r="C17" s="141"/>
      <c r="D17" s="141"/>
    </row>
    <row r="18" spans="2:4" ht="12.75">
      <c r="B18" s="141" t="s">
        <v>96</v>
      </c>
      <c r="C18" s="141"/>
      <c r="D18" s="141"/>
    </row>
    <row r="19" spans="2:4" ht="12.75">
      <c r="B19" s="141" t="s">
        <v>97</v>
      </c>
      <c r="C19" s="141"/>
      <c r="D19" s="141"/>
    </row>
    <row r="20" spans="2:4" ht="12.75">
      <c r="B20" s="141" t="s">
        <v>80</v>
      </c>
      <c r="C20" s="141"/>
      <c r="D20" s="141"/>
    </row>
  </sheetData>
  <sheetProtection password="CFF5" sheet="1" objects="1" scenarios="1"/>
  <protectedRanges>
    <protectedRange sqref="C8:D8" name="Range2"/>
    <protectedRange sqref="C4:C5" name="Range1"/>
  </protectedRanges>
  <mergeCells count="7">
    <mergeCell ref="C15:D15"/>
    <mergeCell ref="B10:C10"/>
    <mergeCell ref="B3:D3"/>
    <mergeCell ref="B20:D20"/>
    <mergeCell ref="B17:D17"/>
    <mergeCell ref="B18:D18"/>
    <mergeCell ref="B19:D19"/>
  </mergeCells>
  <printOptions/>
  <pageMargins left="0.75" right="0.75" top="1" bottom="1" header="0.5" footer="0.5"/>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zoomScale="80" zoomScaleNormal="80" zoomScalePageLayoutView="0" workbookViewId="0" topLeftCell="A1">
      <selection activeCell="C13" sqref="C13"/>
    </sheetView>
  </sheetViews>
  <sheetFormatPr defaultColWidth="9.140625" defaultRowHeight="12.75"/>
  <cols>
    <col min="1" max="1" width="5.421875" style="24" customWidth="1"/>
    <col min="2" max="2" width="31.28125" style="24" customWidth="1"/>
    <col min="3" max="14" width="9.57421875" style="37" customWidth="1"/>
    <col min="15" max="15" width="11.28125" style="24" customWidth="1"/>
    <col min="16" max="16" width="7.140625" style="24" customWidth="1"/>
    <col min="17" max="16384" width="9.140625" style="24" customWidth="1"/>
  </cols>
  <sheetData>
    <row r="1" spans="3:14" s="41" customFormat="1" ht="12.75">
      <c r="C1" s="72"/>
      <c r="D1" s="72"/>
      <c r="E1" s="72"/>
      <c r="F1" s="72"/>
      <c r="G1" s="72"/>
      <c r="H1" s="72"/>
      <c r="I1" s="72"/>
      <c r="J1" s="72"/>
      <c r="K1" s="72"/>
      <c r="L1" s="72"/>
      <c r="M1" s="72"/>
      <c r="N1" s="72"/>
    </row>
    <row r="2" spans="1:15" s="41" customFormat="1" ht="20.25" customHeight="1">
      <c r="A2" s="1"/>
      <c r="C2" s="172" t="str">
        <f>CONCATENATE("Achievement Index Rating: ",O2)</f>
        <v>Achievement Index Rating: Not Rated</v>
      </c>
      <c r="D2" s="173"/>
      <c r="E2" s="173"/>
      <c r="F2" s="173"/>
      <c r="G2" s="173"/>
      <c r="H2" s="173"/>
      <c r="I2" s="173"/>
      <c r="J2" s="173"/>
      <c r="K2" s="173"/>
      <c r="L2" s="173"/>
      <c r="M2" s="173"/>
      <c r="N2" s="174"/>
      <c r="O2" s="80" t="str">
        <f>IF(H13+N13+H33+N33&gt;=80,IF(Improvement!H3="Improved",IF(O49&gt;=H8,"Outstanding","Satisfactory"),IF(O49&gt;=K8,"Outstanding",IF(O49&gt;=H8,"Satisfactory","In Need of Improvement"))),"Not Rated")</f>
        <v>Not Rated</v>
      </c>
    </row>
    <row r="3" spans="3:14" s="41" customFormat="1" ht="22.5" customHeight="1">
      <c r="C3" s="179" t="s">
        <v>55</v>
      </c>
      <c r="D3" s="180"/>
      <c r="E3" s="180"/>
      <c r="F3" s="180"/>
      <c r="G3" s="180"/>
      <c r="H3" s="180"/>
      <c r="I3" s="180"/>
      <c r="J3" s="180"/>
      <c r="K3" s="180"/>
      <c r="L3" s="180"/>
      <c r="M3" s="180"/>
      <c r="N3" s="74"/>
    </row>
    <row r="4" spans="3:14" s="41" customFormat="1" ht="21.75" customHeight="1">
      <c r="C4" s="175" t="str">
        <f>IF(OR(O28="NA",O48="NA"),"= NA",CONCATENATE("               = ( ",FIXED(O28,1)," + ",FIXED(O48,1)," ) / 2 = ",FIXED(O49,1)))</f>
        <v>= NA</v>
      </c>
      <c r="D4" s="176"/>
      <c r="E4" s="176"/>
      <c r="F4" s="176"/>
      <c r="G4" s="176"/>
      <c r="H4" s="176"/>
      <c r="I4" s="176"/>
      <c r="J4" s="176"/>
      <c r="K4" s="176"/>
      <c r="L4" s="176"/>
      <c r="M4" s="176"/>
      <c r="N4" s="177"/>
    </row>
    <row r="5" spans="3:14" s="41" customFormat="1" ht="18.75" customHeight="1">
      <c r="C5" s="164" t="s">
        <v>56</v>
      </c>
      <c r="D5" s="164"/>
      <c r="E5" s="164"/>
      <c r="F5" s="164" t="s">
        <v>22</v>
      </c>
      <c r="G5" s="164"/>
      <c r="H5" s="164"/>
      <c r="I5" s="164" t="s">
        <v>21</v>
      </c>
      <c r="J5" s="164"/>
      <c r="K5" s="164"/>
      <c r="L5" s="164" t="s">
        <v>20</v>
      </c>
      <c r="M5" s="164"/>
      <c r="N5" s="164"/>
    </row>
    <row r="6" spans="3:14" s="41" customFormat="1" ht="19.5" customHeight="1">
      <c r="C6" s="178" t="s">
        <v>57</v>
      </c>
      <c r="D6" s="178"/>
      <c r="E6" s="178"/>
      <c r="F6" s="178" t="str">
        <f>CONCATENATE("Less than ",H8,".0")</f>
        <v>Less than 60.0</v>
      </c>
      <c r="G6" s="178"/>
      <c r="H6" s="178"/>
      <c r="I6" s="178" t="str">
        <f>CONCATENATE(H8,".0 to ",K8)</f>
        <v>60.0 to 89.9</v>
      </c>
      <c r="J6" s="178"/>
      <c r="K6" s="178"/>
      <c r="L6" s="178" t="str">
        <f>CONCATENATE(L8,".0 or Higher")</f>
        <v>90.0 or Higher</v>
      </c>
      <c r="M6" s="178"/>
      <c r="N6" s="178"/>
    </row>
    <row r="7" spans="3:14" s="41" customFormat="1" ht="16.5" customHeight="1">
      <c r="C7" s="65"/>
      <c r="D7" s="168">
        <f>IF(AND(Improvement!H3="Improved",O49&lt;L8),"* - Achievement Rating has been raised due to Improvement","")</f>
      </c>
      <c r="E7" s="168"/>
      <c r="F7" s="168"/>
      <c r="G7" s="168"/>
      <c r="H7" s="168"/>
      <c r="I7" s="168"/>
      <c r="J7" s="168"/>
      <c r="K7" s="168"/>
      <c r="L7" s="168"/>
      <c r="M7" s="168"/>
      <c r="N7" s="65"/>
    </row>
    <row r="8" spans="8:12" ht="12.75">
      <c r="H8" s="76">
        <f>IF('Overall Rating'!$C$4="Y",50,60)</f>
        <v>60</v>
      </c>
      <c r="K8" s="75">
        <f>IF('Overall Rating'!$C$4="Y",79.9,89.9)</f>
        <v>89.9</v>
      </c>
      <c r="L8" s="75">
        <f>IF('Overall Rating'!$C$4="Y",80,90)</f>
        <v>90</v>
      </c>
    </row>
    <row r="9" spans="3:14" s="39" customFormat="1" ht="20.25" customHeight="1">
      <c r="C9" s="154" t="s">
        <v>94</v>
      </c>
      <c r="D9" s="152"/>
      <c r="E9" s="152"/>
      <c r="F9" s="152"/>
      <c r="G9" s="152"/>
      <c r="H9" s="153"/>
      <c r="I9" s="152" t="s">
        <v>95</v>
      </c>
      <c r="J9" s="152"/>
      <c r="K9" s="152"/>
      <c r="L9" s="152"/>
      <c r="M9" s="152"/>
      <c r="N9" s="153"/>
    </row>
    <row r="10" spans="2:15" ht="14.25" customHeight="1">
      <c r="B10" s="165" t="s">
        <v>8</v>
      </c>
      <c r="C10" s="160" t="s">
        <v>10</v>
      </c>
      <c r="D10" s="161"/>
      <c r="E10" s="147" t="s">
        <v>13</v>
      </c>
      <c r="F10" s="148"/>
      <c r="G10" s="149"/>
      <c r="H10" s="169" t="s">
        <v>34</v>
      </c>
      <c r="I10" s="160" t="s">
        <v>10</v>
      </c>
      <c r="J10" s="161"/>
      <c r="K10" s="147" t="s">
        <v>13</v>
      </c>
      <c r="L10" s="148"/>
      <c r="M10" s="149"/>
      <c r="N10" s="169" t="s">
        <v>34</v>
      </c>
      <c r="O10" s="41"/>
    </row>
    <row r="11" spans="2:15" ht="14.25" customHeight="1">
      <c r="B11" s="165"/>
      <c r="C11" s="150" t="s">
        <v>11</v>
      </c>
      <c r="D11" s="155" t="s">
        <v>12</v>
      </c>
      <c r="E11" s="157" t="s">
        <v>36</v>
      </c>
      <c r="F11" s="158"/>
      <c r="G11" s="159"/>
      <c r="H11" s="170"/>
      <c r="I11" s="150" t="s">
        <v>11</v>
      </c>
      <c r="J11" s="155" t="s">
        <v>12</v>
      </c>
      <c r="K11" s="157" t="s">
        <v>36</v>
      </c>
      <c r="L11" s="158"/>
      <c r="M11" s="159"/>
      <c r="N11" s="170"/>
      <c r="O11" s="169" t="s">
        <v>24</v>
      </c>
    </row>
    <row r="12" spans="2:15" ht="20.25" customHeight="1">
      <c r="B12" s="166"/>
      <c r="C12" s="151"/>
      <c r="D12" s="156"/>
      <c r="E12" s="40" t="s">
        <v>37</v>
      </c>
      <c r="F12" s="42" t="s">
        <v>38</v>
      </c>
      <c r="G12" s="43" t="s">
        <v>39</v>
      </c>
      <c r="H12" s="171"/>
      <c r="I12" s="151"/>
      <c r="J12" s="156"/>
      <c r="K12" s="40" t="s">
        <v>37</v>
      </c>
      <c r="L12" s="42" t="s">
        <v>38</v>
      </c>
      <c r="M12" s="43" t="s">
        <v>39</v>
      </c>
      <c r="N12" s="171"/>
      <c r="O12" s="171"/>
    </row>
    <row r="13" spans="2:15" ht="13.5" customHeight="1">
      <c r="B13" s="25" t="s">
        <v>0</v>
      </c>
      <c r="C13" s="113"/>
      <c r="D13" s="114"/>
      <c r="E13" s="113"/>
      <c r="F13" s="115"/>
      <c r="G13" s="114"/>
      <c r="H13" s="47">
        <f>SUM(C13:G13)</f>
        <v>0</v>
      </c>
      <c r="I13" s="113"/>
      <c r="J13" s="114"/>
      <c r="K13" s="125"/>
      <c r="L13" s="115"/>
      <c r="M13" s="126"/>
      <c r="N13" s="52">
        <f>SUM(I13:M13)</f>
        <v>0</v>
      </c>
      <c r="O13" s="51" t="str">
        <f>IF(H13+N13&gt;0,ROUND((133*(C13+I13)+100*(D13+E13+J13+K13))/(H13+N13),1),"NA")</f>
        <v>NA</v>
      </c>
    </row>
    <row r="14" spans="2:15" ht="13.5" customHeight="1">
      <c r="B14" s="27" t="s">
        <v>1</v>
      </c>
      <c r="C14" s="116"/>
      <c r="D14" s="117"/>
      <c r="E14" s="116"/>
      <c r="F14" s="118"/>
      <c r="G14" s="117"/>
      <c r="H14" s="48">
        <f aca="true" t="shared" si="0" ref="H14:H25">SUM(C14:G14)</f>
        <v>0</v>
      </c>
      <c r="I14" s="116"/>
      <c r="J14" s="117"/>
      <c r="K14" s="127"/>
      <c r="L14" s="118"/>
      <c r="M14" s="128"/>
      <c r="N14" s="53">
        <f aca="true" t="shared" si="1" ref="N14:N22">SUM(I14:M14)</f>
        <v>0</v>
      </c>
      <c r="O14" s="51" t="str">
        <f aca="true" t="shared" si="2" ref="O14:O22">IF(H14+N14&gt;0,ROUND((133*(C14+I14)+100*(D14+E14+J14+K14))/(H14+N14),1),"NA")</f>
        <v>NA</v>
      </c>
    </row>
    <row r="15" spans="2:15" ht="13.5" customHeight="1">
      <c r="B15" s="27" t="s">
        <v>2</v>
      </c>
      <c r="C15" s="116"/>
      <c r="D15" s="117"/>
      <c r="E15" s="116"/>
      <c r="F15" s="118"/>
      <c r="G15" s="117"/>
      <c r="H15" s="48">
        <f t="shared" si="0"/>
        <v>0</v>
      </c>
      <c r="I15" s="116"/>
      <c r="J15" s="117"/>
      <c r="K15" s="127"/>
      <c r="L15" s="118"/>
      <c r="M15" s="128"/>
      <c r="N15" s="53">
        <f t="shared" si="1"/>
        <v>0</v>
      </c>
      <c r="O15" s="51" t="str">
        <f t="shared" si="2"/>
        <v>NA</v>
      </c>
    </row>
    <row r="16" spans="2:15" ht="13.5" customHeight="1">
      <c r="B16" s="27" t="s">
        <v>3</v>
      </c>
      <c r="C16" s="116"/>
      <c r="D16" s="117"/>
      <c r="E16" s="116"/>
      <c r="F16" s="118"/>
      <c r="G16" s="117"/>
      <c r="H16" s="48">
        <f t="shared" si="0"/>
        <v>0</v>
      </c>
      <c r="I16" s="116"/>
      <c r="J16" s="117"/>
      <c r="K16" s="127"/>
      <c r="L16" s="118"/>
      <c r="M16" s="128"/>
      <c r="N16" s="53">
        <f t="shared" si="1"/>
        <v>0</v>
      </c>
      <c r="O16" s="49" t="str">
        <f t="shared" si="2"/>
        <v>NA</v>
      </c>
    </row>
    <row r="17" spans="2:15" s="28" customFormat="1" ht="13.5" customHeight="1">
      <c r="B17" s="23" t="s">
        <v>18</v>
      </c>
      <c r="C17" s="116"/>
      <c r="D17" s="117"/>
      <c r="E17" s="116"/>
      <c r="F17" s="118"/>
      <c r="G17" s="117"/>
      <c r="H17" s="48">
        <f t="shared" si="0"/>
        <v>0</v>
      </c>
      <c r="I17" s="116"/>
      <c r="J17" s="117"/>
      <c r="K17" s="127"/>
      <c r="L17" s="118"/>
      <c r="M17" s="128"/>
      <c r="N17" s="53">
        <f t="shared" si="1"/>
        <v>0</v>
      </c>
      <c r="O17" s="49" t="str">
        <f t="shared" si="2"/>
        <v>NA</v>
      </c>
    </row>
    <row r="18" spans="2:15" ht="13.5" customHeight="1">
      <c r="B18" s="27" t="s">
        <v>17</v>
      </c>
      <c r="C18" s="116"/>
      <c r="D18" s="117"/>
      <c r="E18" s="116"/>
      <c r="F18" s="118"/>
      <c r="G18" s="117"/>
      <c r="H18" s="48">
        <f t="shared" si="0"/>
        <v>0</v>
      </c>
      <c r="I18" s="116"/>
      <c r="J18" s="117"/>
      <c r="K18" s="127"/>
      <c r="L18" s="118"/>
      <c r="M18" s="128"/>
      <c r="N18" s="53">
        <f t="shared" si="1"/>
        <v>0</v>
      </c>
      <c r="O18" s="49" t="str">
        <f t="shared" si="2"/>
        <v>NA</v>
      </c>
    </row>
    <row r="19" spans="2:15" ht="13.5" customHeight="1">
      <c r="B19" s="27" t="s">
        <v>4</v>
      </c>
      <c r="C19" s="116"/>
      <c r="D19" s="117"/>
      <c r="E19" s="116"/>
      <c r="F19" s="118"/>
      <c r="G19" s="117"/>
      <c r="H19" s="48">
        <f t="shared" si="0"/>
        <v>0</v>
      </c>
      <c r="I19" s="116"/>
      <c r="J19" s="117"/>
      <c r="K19" s="127"/>
      <c r="L19" s="118"/>
      <c r="M19" s="128"/>
      <c r="N19" s="53">
        <f t="shared" si="1"/>
        <v>0</v>
      </c>
      <c r="O19" s="51" t="str">
        <f t="shared" si="2"/>
        <v>NA</v>
      </c>
    </row>
    <row r="20" spans="2:15" s="28" customFormat="1" ht="13.5" customHeight="1">
      <c r="B20" s="22" t="s">
        <v>5</v>
      </c>
      <c r="C20" s="119"/>
      <c r="D20" s="120"/>
      <c r="E20" s="119"/>
      <c r="F20" s="121"/>
      <c r="G20" s="120"/>
      <c r="H20" s="69">
        <f t="shared" si="0"/>
        <v>0</v>
      </c>
      <c r="I20" s="119"/>
      <c r="J20" s="120"/>
      <c r="K20" s="129"/>
      <c r="L20" s="121"/>
      <c r="M20" s="130"/>
      <c r="N20" s="69">
        <f t="shared" si="1"/>
        <v>0</v>
      </c>
      <c r="O20" s="49" t="str">
        <f t="shared" si="2"/>
        <v>NA</v>
      </c>
    </row>
    <row r="21" spans="2:15" s="28" customFormat="1" ht="13.5" customHeight="1">
      <c r="B21" s="22" t="s">
        <v>77</v>
      </c>
      <c r="C21" s="119"/>
      <c r="D21" s="120"/>
      <c r="E21" s="119"/>
      <c r="F21" s="121"/>
      <c r="G21" s="120"/>
      <c r="H21" s="69">
        <f t="shared" si="0"/>
        <v>0</v>
      </c>
      <c r="I21" s="119"/>
      <c r="J21" s="120"/>
      <c r="K21" s="129"/>
      <c r="L21" s="121"/>
      <c r="M21" s="130"/>
      <c r="N21" s="69">
        <f t="shared" si="1"/>
        <v>0</v>
      </c>
      <c r="O21" s="49" t="str">
        <f t="shared" si="2"/>
        <v>NA</v>
      </c>
    </row>
    <row r="22" spans="2:15" s="28" customFormat="1" ht="13.5" customHeight="1">
      <c r="B22" s="29" t="s">
        <v>6</v>
      </c>
      <c r="C22" s="122"/>
      <c r="D22" s="123"/>
      <c r="E22" s="122"/>
      <c r="F22" s="124"/>
      <c r="G22" s="123"/>
      <c r="H22" s="70">
        <f t="shared" si="0"/>
        <v>0</v>
      </c>
      <c r="I22" s="122"/>
      <c r="J22" s="123"/>
      <c r="K22" s="131"/>
      <c r="L22" s="124"/>
      <c r="M22" s="132"/>
      <c r="N22" s="70">
        <f t="shared" si="1"/>
        <v>0</v>
      </c>
      <c r="O22" s="50" t="str">
        <f t="shared" si="2"/>
        <v>NA</v>
      </c>
    </row>
    <row r="23" spans="2:16" ht="13.5" customHeight="1">
      <c r="B23" s="3" t="s">
        <v>19</v>
      </c>
      <c r="C23" s="32">
        <f>SUM(C13:C19)</f>
        <v>0</v>
      </c>
      <c r="D23" s="30">
        <f aca="true" t="shared" si="3" ref="D23:M23">SUM(D13:D19)</f>
        <v>0</v>
      </c>
      <c r="E23" s="97">
        <f t="shared" si="3"/>
        <v>0</v>
      </c>
      <c r="F23" s="30">
        <f t="shared" si="3"/>
        <v>0</v>
      </c>
      <c r="G23" s="30">
        <f t="shared" si="3"/>
        <v>0</v>
      </c>
      <c r="H23" s="97">
        <f t="shared" si="0"/>
        <v>0</v>
      </c>
      <c r="I23" s="32">
        <f t="shared" si="3"/>
        <v>0</v>
      </c>
      <c r="J23" s="31">
        <f t="shared" si="3"/>
        <v>0</v>
      </c>
      <c r="K23" s="97">
        <f t="shared" si="3"/>
        <v>0</v>
      </c>
      <c r="L23" s="30">
        <f t="shared" si="3"/>
        <v>0</v>
      </c>
      <c r="M23" s="30">
        <f t="shared" si="3"/>
        <v>0</v>
      </c>
      <c r="N23" s="97">
        <f>SUM(I23:M23)</f>
        <v>0</v>
      </c>
      <c r="O23" s="167" t="s">
        <v>25</v>
      </c>
      <c r="P23" s="168"/>
    </row>
    <row r="24" spans="2:16" ht="13.5" customHeight="1">
      <c r="B24" s="3" t="s">
        <v>23</v>
      </c>
      <c r="C24" s="98">
        <v>133</v>
      </c>
      <c r="D24" s="33">
        <v>100</v>
      </c>
      <c r="E24" s="34">
        <v>100</v>
      </c>
      <c r="F24" s="33">
        <v>0</v>
      </c>
      <c r="G24" s="33">
        <v>0</v>
      </c>
      <c r="H24" s="101"/>
      <c r="I24" s="98">
        <v>133</v>
      </c>
      <c r="J24" s="33">
        <v>100</v>
      </c>
      <c r="K24" s="34">
        <v>100</v>
      </c>
      <c r="L24" s="33">
        <v>0</v>
      </c>
      <c r="M24" s="33">
        <v>0</v>
      </c>
      <c r="N24" s="101"/>
      <c r="O24" s="167"/>
      <c r="P24" s="168"/>
    </row>
    <row r="25" spans="2:16" ht="13.5" customHeight="1">
      <c r="B25" s="3" t="s">
        <v>35</v>
      </c>
      <c r="C25" s="99">
        <f>C23*C24</f>
        <v>0</v>
      </c>
      <c r="D25" s="35">
        <f aca="true" t="shared" si="4" ref="D25:K25">D23*D24</f>
        <v>0</v>
      </c>
      <c r="E25" s="36">
        <f t="shared" si="4"/>
        <v>0</v>
      </c>
      <c r="F25" s="35"/>
      <c r="G25" s="35"/>
      <c r="H25" s="102">
        <f t="shared" si="0"/>
        <v>0</v>
      </c>
      <c r="I25" s="100">
        <f t="shared" si="4"/>
        <v>0</v>
      </c>
      <c r="J25" s="35">
        <f t="shared" si="4"/>
        <v>0</v>
      </c>
      <c r="K25" s="36">
        <f t="shared" si="4"/>
        <v>0</v>
      </c>
      <c r="L25" s="35"/>
      <c r="M25" s="35"/>
      <c r="N25" s="102">
        <f>SUM(I25:M25)</f>
        <v>0</v>
      </c>
      <c r="O25" s="167"/>
      <c r="P25" s="168"/>
    </row>
    <row r="26" spans="2:16" ht="13.5" customHeight="1">
      <c r="B26" s="3" t="s">
        <v>14</v>
      </c>
      <c r="C26" s="143" t="str">
        <f>IF(H23&gt;0,CONCATENATE("( ",C25," + ",D25," + ",E25," ) / ",H23," = ",FIXED(O26,1)),O26)</f>
        <v>NA</v>
      </c>
      <c r="D26" s="143"/>
      <c r="E26" s="143"/>
      <c r="F26" s="143"/>
      <c r="G26" s="143"/>
      <c r="H26" s="144"/>
      <c r="I26" s="143" t="str">
        <f>IF(N23&gt;0,CONCATENATE("( ",I25," + ",J25," + ",K25," ) / ",N23," = ",FIXED(O27,1)),O27)</f>
        <v>NA</v>
      </c>
      <c r="J26" s="143"/>
      <c r="K26" s="143"/>
      <c r="L26" s="143"/>
      <c r="M26" s="143"/>
      <c r="N26" s="144"/>
      <c r="O26" s="55" t="str">
        <f>IF(H23&gt;0,ROUND(H25/H23,1),"NA")</f>
        <v>NA</v>
      </c>
      <c r="P26" s="44"/>
    </row>
    <row r="27" spans="2:15" ht="14.25" customHeight="1">
      <c r="B27" s="3" t="s">
        <v>15</v>
      </c>
      <c r="C27" s="145" t="str">
        <f>IF(AND(H23&gt;0,N23&gt;0),CONCATENATE("( ",O26," + ",O27," ) / 2 = ",FIXED(O28,1)),"NA")</f>
        <v>NA</v>
      </c>
      <c r="D27" s="145"/>
      <c r="E27" s="145"/>
      <c r="F27" s="145"/>
      <c r="G27" s="145"/>
      <c r="H27" s="145"/>
      <c r="I27" s="145"/>
      <c r="J27" s="145"/>
      <c r="K27" s="145"/>
      <c r="L27" s="145"/>
      <c r="M27" s="145"/>
      <c r="N27" s="146"/>
      <c r="O27" s="55" t="str">
        <f>IF(N23&gt;0,ROUND(N25/N23,1),"NA")</f>
        <v>NA</v>
      </c>
    </row>
    <row r="28" spans="2:15" ht="13.5" customHeight="1">
      <c r="B28" s="1"/>
      <c r="C28" s="2"/>
      <c r="D28" s="2"/>
      <c r="E28" s="2"/>
      <c r="F28" s="2"/>
      <c r="G28" s="2"/>
      <c r="H28" s="2"/>
      <c r="I28" s="2"/>
      <c r="J28" s="2"/>
      <c r="K28" s="2"/>
      <c r="L28" s="2"/>
      <c r="M28" s="2"/>
      <c r="N28" s="2"/>
      <c r="O28" s="56" t="str">
        <f>IF(AND(H23&gt;0,N23&gt;0),ROUND((O26+O27)/2,1),"NA")</f>
        <v>NA</v>
      </c>
    </row>
    <row r="29" spans="3:14" s="39" customFormat="1" ht="20.25" customHeight="1">
      <c r="C29" s="154" t="s">
        <v>94</v>
      </c>
      <c r="D29" s="152"/>
      <c r="E29" s="152"/>
      <c r="F29" s="152"/>
      <c r="G29" s="152"/>
      <c r="H29" s="153"/>
      <c r="I29" s="152" t="s">
        <v>95</v>
      </c>
      <c r="J29" s="152"/>
      <c r="K29" s="152"/>
      <c r="L29" s="152"/>
      <c r="M29" s="152"/>
      <c r="N29" s="153"/>
    </row>
    <row r="30" spans="2:14" ht="15.75" customHeight="1">
      <c r="B30" s="165" t="s">
        <v>41</v>
      </c>
      <c r="C30" s="160" t="s">
        <v>10</v>
      </c>
      <c r="D30" s="161"/>
      <c r="E30" s="147" t="s">
        <v>13</v>
      </c>
      <c r="F30" s="148"/>
      <c r="G30" s="149"/>
      <c r="H30" s="169" t="s">
        <v>34</v>
      </c>
      <c r="I30" s="160" t="s">
        <v>10</v>
      </c>
      <c r="J30" s="161"/>
      <c r="K30" s="147" t="s">
        <v>13</v>
      </c>
      <c r="L30" s="148"/>
      <c r="M30" s="149"/>
      <c r="N30" s="169" t="s">
        <v>34</v>
      </c>
    </row>
    <row r="31" spans="2:15" ht="15.75" customHeight="1">
      <c r="B31" s="165"/>
      <c r="C31" s="150" t="s">
        <v>11</v>
      </c>
      <c r="D31" s="155" t="s">
        <v>12</v>
      </c>
      <c r="E31" s="157" t="s">
        <v>36</v>
      </c>
      <c r="F31" s="158"/>
      <c r="G31" s="159"/>
      <c r="H31" s="170"/>
      <c r="I31" s="150" t="s">
        <v>11</v>
      </c>
      <c r="J31" s="155" t="s">
        <v>12</v>
      </c>
      <c r="K31" s="157" t="s">
        <v>36</v>
      </c>
      <c r="L31" s="158"/>
      <c r="M31" s="159"/>
      <c r="N31" s="170"/>
      <c r="O31" s="162" t="s">
        <v>24</v>
      </c>
    </row>
    <row r="32" spans="2:15" ht="21" customHeight="1">
      <c r="B32" s="166"/>
      <c r="C32" s="151"/>
      <c r="D32" s="156"/>
      <c r="E32" s="40" t="s">
        <v>37</v>
      </c>
      <c r="F32" s="42" t="s">
        <v>38</v>
      </c>
      <c r="G32" s="43" t="s">
        <v>39</v>
      </c>
      <c r="H32" s="171"/>
      <c r="I32" s="151"/>
      <c r="J32" s="156"/>
      <c r="K32" s="40" t="s">
        <v>37</v>
      </c>
      <c r="L32" s="42" t="s">
        <v>38</v>
      </c>
      <c r="M32" s="43" t="s">
        <v>39</v>
      </c>
      <c r="N32" s="171"/>
      <c r="O32" s="163"/>
    </row>
    <row r="33" spans="2:15" ht="13.5" customHeight="1">
      <c r="B33" s="25" t="s">
        <v>0</v>
      </c>
      <c r="C33" s="113"/>
      <c r="D33" s="114"/>
      <c r="E33" s="113"/>
      <c r="F33" s="115"/>
      <c r="G33" s="114"/>
      <c r="H33" s="47">
        <f>SUM(C33:G33)</f>
        <v>0</v>
      </c>
      <c r="I33" s="113"/>
      <c r="J33" s="114"/>
      <c r="K33" s="125"/>
      <c r="L33" s="115"/>
      <c r="M33" s="126"/>
      <c r="N33" s="52">
        <f>SUM(I33:M33)</f>
        <v>0</v>
      </c>
      <c r="O33" s="26" t="str">
        <f aca="true" t="shared" si="5" ref="O33:O42">IF(H33+N33&gt;0,ROUND((133*(C33+I33)+100*(D33+E33+J33+K33))/(H33+N33),1),"NA")</f>
        <v>NA</v>
      </c>
    </row>
    <row r="34" spans="2:15" ht="13.5" customHeight="1">
      <c r="B34" s="27" t="s">
        <v>1</v>
      </c>
      <c r="C34" s="116"/>
      <c r="D34" s="117"/>
      <c r="E34" s="116"/>
      <c r="F34" s="118"/>
      <c r="G34" s="117"/>
      <c r="H34" s="48">
        <f aca="true" t="shared" si="6" ref="H34:H43">SUM(C34:G34)</f>
        <v>0</v>
      </c>
      <c r="I34" s="116"/>
      <c r="J34" s="117"/>
      <c r="K34" s="127"/>
      <c r="L34" s="118"/>
      <c r="M34" s="128"/>
      <c r="N34" s="53">
        <f aca="true" t="shared" si="7" ref="N34:N43">SUM(I34:M34)</f>
        <v>0</v>
      </c>
      <c r="O34" s="26" t="str">
        <f t="shared" si="5"/>
        <v>NA</v>
      </c>
    </row>
    <row r="35" spans="2:15" ht="13.5" customHeight="1">
      <c r="B35" s="27" t="s">
        <v>2</v>
      </c>
      <c r="C35" s="116"/>
      <c r="D35" s="117"/>
      <c r="E35" s="116"/>
      <c r="F35" s="118"/>
      <c r="G35" s="117"/>
      <c r="H35" s="48">
        <f t="shared" si="6"/>
        <v>0</v>
      </c>
      <c r="I35" s="116"/>
      <c r="J35" s="117"/>
      <c r="K35" s="127"/>
      <c r="L35" s="118"/>
      <c r="M35" s="128"/>
      <c r="N35" s="53">
        <f t="shared" si="7"/>
        <v>0</v>
      </c>
      <c r="O35" s="26" t="str">
        <f t="shared" si="5"/>
        <v>NA</v>
      </c>
    </row>
    <row r="36" spans="2:15" ht="13.5" customHeight="1">
      <c r="B36" s="27" t="s">
        <v>3</v>
      </c>
      <c r="C36" s="116"/>
      <c r="D36" s="117"/>
      <c r="E36" s="116"/>
      <c r="F36" s="118"/>
      <c r="G36" s="117"/>
      <c r="H36" s="48">
        <f t="shared" si="6"/>
        <v>0</v>
      </c>
      <c r="I36" s="116"/>
      <c r="J36" s="117"/>
      <c r="K36" s="127"/>
      <c r="L36" s="118"/>
      <c r="M36" s="128"/>
      <c r="N36" s="53">
        <f t="shared" si="7"/>
        <v>0</v>
      </c>
      <c r="O36" s="26" t="str">
        <f t="shared" si="5"/>
        <v>NA</v>
      </c>
    </row>
    <row r="37" spans="2:15" s="28" customFormat="1" ht="13.5" customHeight="1">
      <c r="B37" s="23" t="s">
        <v>18</v>
      </c>
      <c r="C37" s="116"/>
      <c r="D37" s="117"/>
      <c r="E37" s="116"/>
      <c r="F37" s="118"/>
      <c r="G37" s="117"/>
      <c r="H37" s="48">
        <f t="shared" si="6"/>
        <v>0</v>
      </c>
      <c r="I37" s="116"/>
      <c r="J37" s="117"/>
      <c r="K37" s="127"/>
      <c r="L37" s="118"/>
      <c r="M37" s="128"/>
      <c r="N37" s="53">
        <f t="shared" si="7"/>
        <v>0</v>
      </c>
      <c r="O37" s="45" t="str">
        <f t="shared" si="5"/>
        <v>NA</v>
      </c>
    </row>
    <row r="38" spans="2:15" ht="13.5" customHeight="1">
      <c r="B38" s="27" t="s">
        <v>17</v>
      </c>
      <c r="C38" s="116"/>
      <c r="D38" s="117"/>
      <c r="E38" s="116"/>
      <c r="F38" s="118"/>
      <c r="G38" s="117"/>
      <c r="H38" s="48">
        <f t="shared" si="6"/>
        <v>0</v>
      </c>
      <c r="I38" s="116"/>
      <c r="J38" s="117"/>
      <c r="K38" s="127"/>
      <c r="L38" s="118"/>
      <c r="M38" s="128"/>
      <c r="N38" s="53">
        <f t="shared" si="7"/>
        <v>0</v>
      </c>
      <c r="O38" s="45" t="str">
        <f t="shared" si="5"/>
        <v>NA</v>
      </c>
    </row>
    <row r="39" spans="2:15" ht="13.5" customHeight="1">
      <c r="B39" s="27" t="s">
        <v>4</v>
      </c>
      <c r="C39" s="116"/>
      <c r="D39" s="117"/>
      <c r="E39" s="116"/>
      <c r="F39" s="118"/>
      <c r="G39" s="117"/>
      <c r="H39" s="48">
        <f t="shared" si="6"/>
        <v>0</v>
      </c>
      <c r="I39" s="116"/>
      <c r="J39" s="117"/>
      <c r="K39" s="127"/>
      <c r="L39" s="118"/>
      <c r="M39" s="128"/>
      <c r="N39" s="53">
        <f t="shared" si="7"/>
        <v>0</v>
      </c>
      <c r="O39" s="45" t="str">
        <f t="shared" si="5"/>
        <v>NA</v>
      </c>
    </row>
    <row r="40" spans="2:15" ht="13.5" customHeight="1">
      <c r="B40" s="22" t="s">
        <v>5</v>
      </c>
      <c r="C40" s="119"/>
      <c r="D40" s="120"/>
      <c r="E40" s="119"/>
      <c r="F40" s="121"/>
      <c r="G40" s="120"/>
      <c r="H40" s="69">
        <f t="shared" si="6"/>
        <v>0</v>
      </c>
      <c r="I40" s="119"/>
      <c r="J40" s="120"/>
      <c r="K40" s="129"/>
      <c r="L40" s="121"/>
      <c r="M40" s="130"/>
      <c r="N40" s="69">
        <f t="shared" si="7"/>
        <v>0</v>
      </c>
      <c r="O40" s="45" t="str">
        <f t="shared" si="5"/>
        <v>NA</v>
      </c>
    </row>
    <row r="41" spans="2:15" s="28" customFormat="1" ht="13.5" customHeight="1">
      <c r="B41" s="22" t="s">
        <v>77</v>
      </c>
      <c r="C41" s="119"/>
      <c r="D41" s="120"/>
      <c r="E41" s="119"/>
      <c r="F41" s="121"/>
      <c r="G41" s="120"/>
      <c r="H41" s="69">
        <f t="shared" si="6"/>
        <v>0</v>
      </c>
      <c r="I41" s="119"/>
      <c r="J41" s="120"/>
      <c r="K41" s="129"/>
      <c r="L41" s="121"/>
      <c r="M41" s="130"/>
      <c r="N41" s="69">
        <f t="shared" si="7"/>
        <v>0</v>
      </c>
      <c r="O41" s="45" t="str">
        <f t="shared" si="5"/>
        <v>NA</v>
      </c>
    </row>
    <row r="42" spans="2:15" s="28" customFormat="1" ht="13.5" customHeight="1">
      <c r="B42" s="29" t="s">
        <v>6</v>
      </c>
      <c r="C42" s="122"/>
      <c r="D42" s="123"/>
      <c r="E42" s="122"/>
      <c r="F42" s="124"/>
      <c r="G42" s="123"/>
      <c r="H42" s="70">
        <f t="shared" si="6"/>
        <v>0</v>
      </c>
      <c r="I42" s="122"/>
      <c r="J42" s="123"/>
      <c r="K42" s="131"/>
      <c r="L42" s="124"/>
      <c r="M42" s="132"/>
      <c r="N42" s="70">
        <f t="shared" si="7"/>
        <v>0</v>
      </c>
      <c r="O42" s="46" t="str">
        <f t="shared" si="5"/>
        <v>NA</v>
      </c>
    </row>
    <row r="43" spans="2:16" ht="13.5" customHeight="1">
      <c r="B43" s="3" t="s">
        <v>19</v>
      </c>
      <c r="C43" s="32">
        <f>SUM(C33:C39)</f>
        <v>0</v>
      </c>
      <c r="D43" s="31">
        <f aca="true" t="shared" si="8" ref="D43:M43">SUM(D33:D39)</f>
        <v>0</v>
      </c>
      <c r="E43" s="97">
        <f t="shared" si="8"/>
        <v>0</v>
      </c>
      <c r="F43" s="30">
        <f t="shared" si="8"/>
        <v>0</v>
      </c>
      <c r="G43" s="30">
        <f t="shared" si="8"/>
        <v>0</v>
      </c>
      <c r="H43" s="97">
        <f t="shared" si="6"/>
        <v>0</v>
      </c>
      <c r="I43" s="32">
        <f t="shared" si="8"/>
        <v>0</v>
      </c>
      <c r="J43" s="31">
        <f t="shared" si="8"/>
        <v>0</v>
      </c>
      <c r="K43" s="97">
        <f t="shared" si="8"/>
        <v>0</v>
      </c>
      <c r="L43" s="30">
        <f t="shared" si="8"/>
        <v>0</v>
      </c>
      <c r="M43" s="30">
        <f t="shared" si="8"/>
        <v>0</v>
      </c>
      <c r="N43" s="97">
        <f t="shared" si="7"/>
        <v>0</v>
      </c>
      <c r="O43" s="167" t="s">
        <v>25</v>
      </c>
      <c r="P43" s="168"/>
    </row>
    <row r="44" spans="2:16" ht="13.5" customHeight="1">
      <c r="B44" s="3" t="s">
        <v>23</v>
      </c>
      <c r="C44" s="98">
        <v>133</v>
      </c>
      <c r="D44" s="33">
        <v>100</v>
      </c>
      <c r="E44" s="34">
        <v>100</v>
      </c>
      <c r="F44" s="33">
        <v>0</v>
      </c>
      <c r="G44" s="33">
        <v>0</v>
      </c>
      <c r="H44" s="101"/>
      <c r="I44" s="98">
        <v>133</v>
      </c>
      <c r="J44" s="33">
        <v>100</v>
      </c>
      <c r="K44" s="34">
        <v>100</v>
      </c>
      <c r="L44" s="33">
        <v>0</v>
      </c>
      <c r="M44" s="33">
        <v>0</v>
      </c>
      <c r="N44" s="101"/>
      <c r="O44" s="167"/>
      <c r="P44" s="168"/>
    </row>
    <row r="45" spans="2:16" ht="13.5" customHeight="1">
      <c r="B45" s="3" t="s">
        <v>35</v>
      </c>
      <c r="C45" s="99">
        <f>C43*C44</f>
        <v>0</v>
      </c>
      <c r="D45" s="35">
        <f>D43*D44</f>
        <v>0</v>
      </c>
      <c r="E45" s="36">
        <f>E43*E44</f>
        <v>0</v>
      </c>
      <c r="F45" s="35"/>
      <c r="G45" s="35"/>
      <c r="H45" s="102">
        <f>SUM(C45:G45)</f>
        <v>0</v>
      </c>
      <c r="I45" s="100">
        <f>I43*I44</f>
        <v>0</v>
      </c>
      <c r="J45" s="35">
        <f>J43*J44</f>
        <v>0</v>
      </c>
      <c r="K45" s="36">
        <f>K43*K44</f>
        <v>0</v>
      </c>
      <c r="L45" s="35"/>
      <c r="M45" s="35"/>
      <c r="N45" s="102">
        <f>SUM(I45:M45)</f>
        <v>0</v>
      </c>
      <c r="O45" s="167"/>
      <c r="P45" s="168"/>
    </row>
    <row r="46" spans="2:16" ht="13.5" customHeight="1">
      <c r="B46" s="3" t="s">
        <v>14</v>
      </c>
      <c r="C46" s="143" t="str">
        <f>IF(H43&gt;0,CONCATENATE("( ",C45," + ",D45," + ",E45," ) / ",H43," = ",FIXED(O46,1)),O46)</f>
        <v>NA</v>
      </c>
      <c r="D46" s="143"/>
      <c r="E46" s="143"/>
      <c r="F46" s="143"/>
      <c r="G46" s="143"/>
      <c r="H46" s="144"/>
      <c r="I46" s="143" t="str">
        <f>IF(N43&gt;0,CONCATENATE("( ",I45," + ",J45," + ",K45," ) / ",N43," = ",FIXED(O47,1)),O47)</f>
        <v>NA</v>
      </c>
      <c r="J46" s="143"/>
      <c r="K46" s="143"/>
      <c r="L46" s="143"/>
      <c r="M46" s="143"/>
      <c r="N46" s="144"/>
      <c r="O46" s="55" t="str">
        <f>IF(H43&gt;0,ROUND(H45/H43,1),"NA")</f>
        <v>NA</v>
      </c>
      <c r="P46" s="44"/>
    </row>
    <row r="47" spans="2:15" ht="14.25" customHeight="1">
      <c r="B47" s="54" t="s">
        <v>40</v>
      </c>
      <c r="C47" s="145" t="str">
        <f>IF(AND(H43&gt;0,N43&gt;0),CONCATENATE("( ",O46," + ",O47," ) / 2 = ",FIXED(O48,1)),"NA")</f>
        <v>NA</v>
      </c>
      <c r="D47" s="145"/>
      <c r="E47" s="145"/>
      <c r="F47" s="145"/>
      <c r="G47" s="145"/>
      <c r="H47" s="145"/>
      <c r="I47" s="145"/>
      <c r="J47" s="145"/>
      <c r="K47" s="145"/>
      <c r="L47" s="145"/>
      <c r="M47" s="145"/>
      <c r="N47" s="146"/>
      <c r="O47" s="55" t="str">
        <f>IF(N43&gt;0,ROUND(N45/N43,1),"NA")</f>
        <v>NA</v>
      </c>
    </row>
    <row r="48" spans="3:15" ht="12.75">
      <c r="C48" s="2"/>
      <c r="D48" s="2"/>
      <c r="E48" s="2"/>
      <c r="F48" s="2"/>
      <c r="G48" s="2"/>
      <c r="H48" s="2"/>
      <c r="I48" s="2"/>
      <c r="J48" s="2"/>
      <c r="K48" s="2"/>
      <c r="L48" s="2"/>
      <c r="M48" s="2"/>
      <c r="N48" s="2"/>
      <c r="O48" s="56" t="str">
        <f>IF(AND(H43&gt;0,N43&gt;0),ROUND((O46+O47)/2,1),"NA")</f>
        <v>NA</v>
      </c>
    </row>
    <row r="49" spans="2:15" s="41" customFormat="1" ht="15">
      <c r="B49" s="73"/>
      <c r="C49" s="142" t="s">
        <v>98</v>
      </c>
      <c r="D49" s="142"/>
      <c r="E49" s="142"/>
      <c r="F49" s="142"/>
      <c r="G49" s="142"/>
      <c r="H49" s="142"/>
      <c r="I49" s="142"/>
      <c r="J49" s="142"/>
      <c r="K49" s="142"/>
      <c r="L49" s="142"/>
      <c r="M49" s="142"/>
      <c r="N49" s="142"/>
      <c r="O49" s="57" t="str">
        <f>IF(AND(O28&lt;&gt;"NA",O48&lt;&gt;"NA"),ROUND((O28+O48)/2,1),"NA")</f>
        <v>NA</v>
      </c>
    </row>
    <row r="50" spans="2:4" ht="15.75" customHeight="1">
      <c r="B50" s="38"/>
      <c r="C50" s="38"/>
      <c r="D50" s="38"/>
    </row>
    <row r="51" spans="2:4" ht="12.75">
      <c r="B51" s="38"/>
      <c r="C51" s="38"/>
      <c r="D51" s="38"/>
    </row>
    <row r="52" spans="2:4" ht="12.75">
      <c r="B52" s="38"/>
      <c r="C52" s="38"/>
      <c r="D52" s="38"/>
    </row>
    <row r="53" spans="2:4" ht="12.75">
      <c r="B53" s="38"/>
      <c r="C53" s="38"/>
      <c r="D53" s="38"/>
    </row>
    <row r="54" spans="2:4" ht="12.75">
      <c r="B54" s="38"/>
      <c r="C54" s="38"/>
      <c r="D54" s="38"/>
    </row>
  </sheetData>
  <sheetProtection password="CFF5" sheet="1" objects="1" scenarios="1"/>
  <mergeCells count="53">
    <mergeCell ref="C2:N2"/>
    <mergeCell ref="C4:N4"/>
    <mergeCell ref="C5:E5"/>
    <mergeCell ref="C6:E6"/>
    <mergeCell ref="F5:H5"/>
    <mergeCell ref="I6:K6"/>
    <mergeCell ref="L5:N5"/>
    <mergeCell ref="L6:N6"/>
    <mergeCell ref="C3:M3"/>
    <mergeCell ref="F6:H6"/>
    <mergeCell ref="D7:M7"/>
    <mergeCell ref="O11:O12"/>
    <mergeCell ref="E10:G10"/>
    <mergeCell ref="K10:M10"/>
    <mergeCell ref="J11:J12"/>
    <mergeCell ref="K11:M11"/>
    <mergeCell ref="N10:N12"/>
    <mergeCell ref="I11:I12"/>
    <mergeCell ref="H10:H12"/>
    <mergeCell ref="O23:P25"/>
    <mergeCell ref="I29:N29"/>
    <mergeCell ref="O43:P45"/>
    <mergeCell ref="H30:H32"/>
    <mergeCell ref="K30:M30"/>
    <mergeCell ref="N30:N32"/>
    <mergeCell ref="I31:I32"/>
    <mergeCell ref="J31:J32"/>
    <mergeCell ref="O31:O32"/>
    <mergeCell ref="I5:K5"/>
    <mergeCell ref="B10:B12"/>
    <mergeCell ref="B30:B32"/>
    <mergeCell ref="I10:J10"/>
    <mergeCell ref="C30:D30"/>
    <mergeCell ref="C26:H26"/>
    <mergeCell ref="C10:D10"/>
    <mergeCell ref="D31:D32"/>
    <mergeCell ref="E31:G31"/>
    <mergeCell ref="I9:N9"/>
    <mergeCell ref="I26:N26"/>
    <mergeCell ref="C27:N27"/>
    <mergeCell ref="C9:H9"/>
    <mergeCell ref="C29:H29"/>
    <mergeCell ref="C11:C12"/>
    <mergeCell ref="D11:D12"/>
    <mergeCell ref="E11:G11"/>
    <mergeCell ref="C49:N49"/>
    <mergeCell ref="C46:H46"/>
    <mergeCell ref="I46:N46"/>
    <mergeCell ref="C47:N47"/>
    <mergeCell ref="E30:G30"/>
    <mergeCell ref="C31:C32"/>
    <mergeCell ref="K31:M31"/>
    <mergeCell ref="I30:J30"/>
  </mergeCells>
  <printOptions/>
  <pageMargins left="0.66" right="0.31" top="0.55" bottom="0.58" header="0.5" footer="0.5"/>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dimension ref="B2:I35"/>
  <sheetViews>
    <sheetView zoomScale="90" zoomScaleNormal="90" zoomScalePageLayoutView="0" workbookViewId="0" topLeftCell="A1">
      <selection activeCell="D12" sqref="D12"/>
    </sheetView>
  </sheetViews>
  <sheetFormatPr defaultColWidth="9.140625" defaultRowHeight="12.75"/>
  <cols>
    <col min="1" max="1" width="6.140625" style="4" customWidth="1"/>
    <col min="2" max="2" width="12.28125" style="4" customWidth="1"/>
    <col min="3" max="3" width="9.140625" style="4" customWidth="1"/>
    <col min="4" max="7" width="12.28125" style="4" customWidth="1"/>
    <col min="8" max="16384" width="9.140625" style="4" customWidth="1"/>
  </cols>
  <sheetData>
    <row r="2" spans="2:7" ht="12.75">
      <c r="B2" s="185" t="s">
        <v>58</v>
      </c>
      <c r="C2" s="185"/>
      <c r="D2" s="185"/>
      <c r="E2" s="185"/>
      <c r="F2" s="185"/>
      <c r="G2" s="185"/>
    </row>
    <row r="3" spans="2:8" ht="18">
      <c r="B3" s="195" t="str">
        <f>CONCATENATE("Improvement:   ",H3)</f>
        <v>Improvement:   Not Rated</v>
      </c>
      <c r="C3" s="196"/>
      <c r="D3" s="196"/>
      <c r="E3" s="196"/>
      <c r="F3" s="196"/>
      <c r="G3" s="197"/>
      <c r="H3" s="21" t="str">
        <f>IF(I34&lt;&gt;"NA",IF(H34&gt;=5,"Improved","Not Improved"),"Not Rated")</f>
        <v>Not Rated</v>
      </c>
    </row>
    <row r="4" spans="2:7" ht="15.75" customHeight="1">
      <c r="B4" s="198" t="s">
        <v>99</v>
      </c>
      <c r="C4" s="199"/>
      <c r="D4" s="199"/>
      <c r="E4" s="199"/>
      <c r="F4" s="199"/>
      <c r="G4" s="200"/>
    </row>
    <row r="5" spans="2:7" ht="15.75" customHeight="1">
      <c r="B5" s="201" t="str">
        <f>IF(AND(E32&lt;&gt;"NA",E33&lt;&gt;"NA"),CONCATENATE("        =  ",FIXED(H33,1)," - ",FIXED(H32,1)," = ",FIXED(H34,1)),"  NA")</f>
        <v>  NA</v>
      </c>
      <c r="C5" s="188"/>
      <c r="D5" s="188"/>
      <c r="E5" s="188"/>
      <c r="F5" s="188"/>
      <c r="G5" s="189"/>
    </row>
    <row r="6" spans="2:7" ht="15" customHeight="1">
      <c r="B6" s="202" t="s">
        <v>56</v>
      </c>
      <c r="C6" s="202"/>
      <c r="D6" s="202" t="s">
        <v>60</v>
      </c>
      <c r="E6" s="202"/>
      <c r="F6" s="202" t="s">
        <v>61</v>
      </c>
      <c r="G6" s="202"/>
    </row>
    <row r="7" spans="2:7" ht="18" customHeight="1">
      <c r="B7" s="203" t="s">
        <v>59</v>
      </c>
      <c r="C7" s="203"/>
      <c r="D7" s="203" t="s">
        <v>62</v>
      </c>
      <c r="E7" s="203"/>
      <c r="F7" s="203" t="s">
        <v>63</v>
      </c>
      <c r="G7" s="203"/>
    </row>
    <row r="9" spans="3:7" ht="16.5" thickBot="1">
      <c r="C9" s="12"/>
      <c r="D9" s="191" t="s">
        <v>27</v>
      </c>
      <c r="E9" s="191"/>
      <c r="F9" s="191"/>
      <c r="G9" s="191"/>
    </row>
    <row r="10" spans="3:7" ht="15.75" customHeight="1">
      <c r="C10" s="192" t="s">
        <v>23</v>
      </c>
      <c r="D10" s="181" t="s">
        <v>94</v>
      </c>
      <c r="E10" s="182"/>
      <c r="F10" s="181" t="s">
        <v>95</v>
      </c>
      <c r="G10" s="182"/>
    </row>
    <row r="11" spans="3:7" ht="12.75">
      <c r="C11" s="193"/>
      <c r="D11" s="7" t="s">
        <v>32</v>
      </c>
      <c r="E11" s="8" t="s">
        <v>33</v>
      </c>
      <c r="F11" s="7" t="s">
        <v>32</v>
      </c>
      <c r="G11" s="8" t="s">
        <v>33</v>
      </c>
    </row>
    <row r="12" spans="2:7" ht="12.75">
      <c r="B12" s="11" t="s">
        <v>11</v>
      </c>
      <c r="C12" s="17">
        <v>133</v>
      </c>
      <c r="D12" s="133"/>
      <c r="E12" s="18">
        <f>$C12*D12</f>
        <v>0</v>
      </c>
      <c r="F12" s="133"/>
      <c r="G12" s="18">
        <f>$C12*F12</f>
        <v>0</v>
      </c>
    </row>
    <row r="13" spans="2:7" ht="12.75">
      <c r="B13" s="11" t="s">
        <v>12</v>
      </c>
      <c r="C13" s="6">
        <v>100</v>
      </c>
      <c r="D13" s="134"/>
      <c r="E13" s="15">
        <f>$C13*D13</f>
        <v>0</v>
      </c>
      <c r="F13" s="134"/>
      <c r="G13" s="15">
        <f>$C13*F13</f>
        <v>0</v>
      </c>
    </row>
    <row r="14" spans="2:7" ht="12.75">
      <c r="B14" s="11" t="s">
        <v>29</v>
      </c>
      <c r="C14" s="6">
        <v>67</v>
      </c>
      <c r="D14" s="134"/>
      <c r="E14" s="15">
        <f>$C14*D14</f>
        <v>0</v>
      </c>
      <c r="F14" s="134"/>
      <c r="G14" s="15">
        <f>$C14*F14</f>
        <v>0</v>
      </c>
    </row>
    <row r="15" spans="2:7" ht="12.75">
      <c r="B15" s="11" t="s">
        <v>30</v>
      </c>
      <c r="C15" s="6">
        <v>33</v>
      </c>
      <c r="D15" s="134"/>
      <c r="E15" s="15">
        <f>$C15*D15</f>
        <v>0</v>
      </c>
      <c r="F15" s="134"/>
      <c r="G15" s="15">
        <f>$C15*F15</f>
        <v>0</v>
      </c>
    </row>
    <row r="16" spans="2:7" ht="12.75">
      <c r="B16" s="11" t="s">
        <v>31</v>
      </c>
      <c r="C16" s="19">
        <v>0</v>
      </c>
      <c r="D16" s="135"/>
      <c r="E16" s="20">
        <f>$C16*D16</f>
        <v>0</v>
      </c>
      <c r="F16" s="135"/>
      <c r="G16" s="20">
        <f>$C16*F16</f>
        <v>0</v>
      </c>
    </row>
    <row r="17" spans="3:7" ht="13.5" thickBot="1">
      <c r="C17" s="5" t="s">
        <v>34</v>
      </c>
      <c r="D17" s="14">
        <f>SUM(D12:D16)</f>
        <v>0</v>
      </c>
      <c r="E17" s="16">
        <f>SUM(E12:E16)</f>
        <v>0</v>
      </c>
      <c r="F17" s="9">
        <f>SUM(F12:F16)</f>
        <v>0</v>
      </c>
      <c r="G17" s="16">
        <f>SUM(G12:G16)</f>
        <v>0</v>
      </c>
    </row>
    <row r="18" spans="3:7" ht="18.75" customHeight="1" thickBot="1">
      <c r="C18" s="4" t="s">
        <v>7</v>
      </c>
      <c r="D18" s="183">
        <f>IF(D17&gt;0,CONCATENATE(E17," / ",D17,," = ",FIXED(D19,1)),0)</f>
        <v>0</v>
      </c>
      <c r="E18" s="184"/>
      <c r="F18" s="183">
        <f>IF(F17&gt;0,CONCATENATE(G17," / ",F17,," = ",FIXED(F19,1)),0)</f>
        <v>0</v>
      </c>
      <c r="G18" s="184"/>
    </row>
    <row r="19" spans="4:7" ht="18.75" customHeight="1">
      <c r="D19" s="194">
        <f>IF(D17&gt;0,ROUND(E17/D17,1),0)</f>
        <v>0</v>
      </c>
      <c r="E19" s="194"/>
      <c r="F19" s="194">
        <f>IF(F17&gt;0,ROUND(G17/F17,1),0)</f>
        <v>0</v>
      </c>
      <c r="G19" s="194"/>
    </row>
    <row r="20" spans="2:7" ht="18.75" customHeight="1" thickBot="1">
      <c r="B20" s="12"/>
      <c r="C20" s="12"/>
      <c r="D20" s="191" t="s">
        <v>28</v>
      </c>
      <c r="E20" s="191"/>
      <c r="F20" s="191"/>
      <c r="G20" s="191"/>
    </row>
    <row r="21" spans="3:7" ht="15.75" customHeight="1">
      <c r="C21" s="192" t="s">
        <v>23</v>
      </c>
      <c r="D21" s="181" t="s">
        <v>94</v>
      </c>
      <c r="E21" s="182"/>
      <c r="F21" s="181" t="s">
        <v>95</v>
      </c>
      <c r="G21" s="182"/>
    </row>
    <row r="22" spans="3:7" ht="12.75">
      <c r="C22" s="193"/>
      <c r="D22" s="7" t="s">
        <v>32</v>
      </c>
      <c r="E22" s="8" t="s">
        <v>33</v>
      </c>
      <c r="F22" s="7" t="s">
        <v>32</v>
      </c>
      <c r="G22" s="8" t="s">
        <v>33</v>
      </c>
    </row>
    <row r="23" spans="2:7" ht="12.75">
      <c r="B23" s="11" t="s">
        <v>11</v>
      </c>
      <c r="C23" s="17">
        <v>133</v>
      </c>
      <c r="D23" s="134"/>
      <c r="E23" s="18">
        <f>$C23*D23</f>
        <v>0</v>
      </c>
      <c r="F23" s="134"/>
      <c r="G23" s="18">
        <f>$C23*F23</f>
        <v>0</v>
      </c>
    </row>
    <row r="24" spans="2:7" ht="12.75">
      <c r="B24" s="11" t="s">
        <v>12</v>
      </c>
      <c r="C24" s="6">
        <v>100</v>
      </c>
      <c r="D24" s="134"/>
      <c r="E24" s="15">
        <f>$C24*D24</f>
        <v>0</v>
      </c>
      <c r="F24" s="134"/>
      <c r="G24" s="15">
        <f>$C24*F24</f>
        <v>0</v>
      </c>
    </row>
    <row r="25" spans="2:7" ht="12.75">
      <c r="B25" s="11" t="s">
        <v>29</v>
      </c>
      <c r="C25" s="6">
        <v>67</v>
      </c>
      <c r="D25" s="134"/>
      <c r="E25" s="15">
        <f>$C25*D25</f>
        <v>0</v>
      </c>
      <c r="F25" s="134"/>
      <c r="G25" s="15">
        <f>$C25*F25</f>
        <v>0</v>
      </c>
    </row>
    <row r="26" spans="2:7" ht="12.75">
      <c r="B26" s="11" t="s">
        <v>30</v>
      </c>
      <c r="C26" s="6">
        <v>33</v>
      </c>
      <c r="D26" s="134"/>
      <c r="E26" s="15">
        <f>$C26*D26</f>
        <v>0</v>
      </c>
      <c r="F26" s="134"/>
      <c r="G26" s="15">
        <f>$C26*F26</f>
        <v>0</v>
      </c>
    </row>
    <row r="27" spans="2:7" ht="12.75">
      <c r="B27" s="11" t="s">
        <v>31</v>
      </c>
      <c r="C27" s="19">
        <v>0</v>
      </c>
      <c r="D27" s="135"/>
      <c r="E27" s="20">
        <f>$C27*D27</f>
        <v>0</v>
      </c>
      <c r="F27" s="135"/>
      <c r="G27" s="20">
        <f>$C27*F27</f>
        <v>0</v>
      </c>
    </row>
    <row r="28" spans="3:7" ht="13.5" thickBot="1">
      <c r="C28" s="5" t="s">
        <v>34</v>
      </c>
      <c r="D28" s="10">
        <f>SUM(D23:D27)</f>
        <v>0</v>
      </c>
      <c r="E28" s="16">
        <f>SUM(E23:E27)</f>
        <v>0</v>
      </c>
      <c r="F28" s="10">
        <f>SUM(F23:F27)</f>
        <v>0</v>
      </c>
      <c r="G28" s="16">
        <f>SUM(G23:G27)</f>
        <v>0</v>
      </c>
    </row>
    <row r="29" spans="3:7" ht="18.75" customHeight="1" thickBot="1">
      <c r="C29" s="4" t="s">
        <v>7</v>
      </c>
      <c r="D29" s="183">
        <f>IF(D28&gt;0,CONCATENATE(E28," / ",D28,," = ",FIXED(D30,1)),0)</f>
        <v>0</v>
      </c>
      <c r="E29" s="184"/>
      <c r="F29" s="183">
        <f>IF(F28&gt;0,CONCATENATE(G28," / ",F28,," = ",FIXED(F30,1)),0)</f>
        <v>0</v>
      </c>
      <c r="G29" s="184"/>
    </row>
    <row r="30" spans="4:7" ht="19.5" customHeight="1">
      <c r="D30" s="194">
        <f>IF(D28&gt;0,ROUND(E28/D28,1),0)</f>
        <v>0</v>
      </c>
      <c r="E30" s="194"/>
      <c r="F30" s="194">
        <f>IF(F28&gt;0,ROUND(G28/F28,1),0)</f>
        <v>0</v>
      </c>
      <c r="G30" s="194"/>
    </row>
    <row r="31" spans="4:7" ht="12.75">
      <c r="D31" s="104"/>
      <c r="E31" s="190" t="s">
        <v>82</v>
      </c>
      <c r="F31" s="190"/>
      <c r="G31" s="190"/>
    </row>
    <row r="32" spans="3:9" ht="12.75">
      <c r="C32" s="13"/>
      <c r="D32" s="77" t="str">
        <f>D21</f>
        <v>2008-2009</v>
      </c>
      <c r="E32" s="186" t="str">
        <f>IF(H32&lt;&gt;"NA",CONCATENATE("(  ",FIXED(D19,1),"  +  ",FIXED(D30,1),"  )  /  2  =  ",FIXED(H32,1)),H32)</f>
        <v>NA</v>
      </c>
      <c r="F32" s="186"/>
      <c r="G32" s="187"/>
      <c r="H32" s="21" t="str">
        <f>IF(AND(D17&gt;0,D28&gt;0),ROUND((D19+D30)/2,1),"NA")</f>
        <v>NA</v>
      </c>
      <c r="I32" s="21"/>
    </row>
    <row r="33" spans="3:9" ht="12.75">
      <c r="C33" s="13"/>
      <c r="D33" s="105" t="str">
        <f>F21</f>
        <v>2009-2010</v>
      </c>
      <c r="E33" s="188" t="str">
        <f>IF(H33&lt;&gt;"NA",CONCATENATE("(  ",FIXED(F19,1),"  +  ",FIXED(F30,1),"  )  /  2  =  ",FIXED(H33,1)),H33)</f>
        <v>NA</v>
      </c>
      <c r="F33" s="188"/>
      <c r="G33" s="189"/>
      <c r="H33" s="21" t="str">
        <f>IF(AND(F17&gt;0,F28&gt;0),ROUND((F19+F30)/2,1),"NA")</f>
        <v>NA</v>
      </c>
      <c r="I33" s="21"/>
    </row>
    <row r="34" spans="8:9" ht="12.75">
      <c r="H34" s="21" t="e">
        <f>H33-H32</f>
        <v>#VALUE!</v>
      </c>
      <c r="I34" s="21" t="str">
        <f>IF(OR(H32="NA",H33="NA"),"NA","")</f>
        <v>NA</v>
      </c>
    </row>
    <row r="35" spans="8:9" ht="12.75">
      <c r="H35" s="21"/>
      <c r="I35" s="21"/>
    </row>
  </sheetData>
  <sheetProtection password="CFF5" sheet="1" objects="1" scenarios="1"/>
  <mergeCells count="29">
    <mergeCell ref="B7:C7"/>
    <mergeCell ref="D6:E6"/>
    <mergeCell ref="D7:E7"/>
    <mergeCell ref="D30:E30"/>
    <mergeCell ref="F30:G30"/>
    <mergeCell ref="F21:G21"/>
    <mergeCell ref="D29:E29"/>
    <mergeCell ref="F29:G29"/>
    <mergeCell ref="D10:E10"/>
    <mergeCell ref="C10:C11"/>
    <mergeCell ref="D19:E19"/>
    <mergeCell ref="F19:G19"/>
    <mergeCell ref="D21:E21"/>
    <mergeCell ref="B3:G3"/>
    <mergeCell ref="B4:G4"/>
    <mergeCell ref="B5:G5"/>
    <mergeCell ref="F6:G6"/>
    <mergeCell ref="F7:G7"/>
    <mergeCell ref="B6:C6"/>
    <mergeCell ref="F10:G10"/>
    <mergeCell ref="D18:E18"/>
    <mergeCell ref="F18:G18"/>
    <mergeCell ref="B2:G2"/>
    <mergeCell ref="E32:G32"/>
    <mergeCell ref="E33:G33"/>
    <mergeCell ref="E31:G31"/>
    <mergeCell ref="D9:G9"/>
    <mergeCell ref="D20:G20"/>
    <mergeCell ref="C21:C2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O32"/>
  <sheetViews>
    <sheetView zoomScale="80" zoomScaleNormal="80" zoomScalePageLayoutView="0" workbookViewId="0" topLeftCell="A1">
      <selection activeCell="M4" sqref="M4"/>
    </sheetView>
  </sheetViews>
  <sheetFormatPr defaultColWidth="9.140625" defaultRowHeight="12.75"/>
  <cols>
    <col min="1" max="1" width="4.57421875" style="4" customWidth="1"/>
    <col min="2" max="2" width="9.421875" style="4" customWidth="1"/>
    <col min="3" max="10" width="10.421875" style="4" customWidth="1"/>
    <col min="11" max="11" width="5.57421875" style="79" customWidth="1"/>
    <col min="12" max="12" width="20.00390625" style="4" customWidth="1"/>
    <col min="13" max="13" width="12.00390625" style="4" customWidth="1"/>
    <col min="14" max="14" width="11.421875" style="4" customWidth="1"/>
    <col min="15" max="16384" width="9.140625" style="4" customWidth="1"/>
  </cols>
  <sheetData>
    <row r="1" spans="4:8" ht="15" customHeight="1">
      <c r="D1" s="230" t="s">
        <v>65</v>
      </c>
      <c r="E1" s="230"/>
      <c r="F1" s="230"/>
      <c r="G1" s="230"/>
      <c r="H1" s="230"/>
    </row>
    <row r="2" spans="4:8" ht="15" customHeight="1">
      <c r="D2" s="82"/>
      <c r="E2" s="82"/>
      <c r="F2" s="82"/>
      <c r="G2" s="82"/>
      <c r="H2" s="82"/>
    </row>
    <row r="3" spans="4:14" ht="24" customHeight="1">
      <c r="D3" s="229" t="str">
        <f>CONCATENATE(M11," Rate")</f>
        <v>Attendance Rate</v>
      </c>
      <c r="E3" s="229"/>
      <c r="F3" s="229"/>
      <c r="G3" s="229"/>
      <c r="L3" s="85" t="s">
        <v>70</v>
      </c>
      <c r="M3" s="106" t="s">
        <v>100</v>
      </c>
      <c r="N3" s="106" t="s">
        <v>94</v>
      </c>
    </row>
    <row r="4" spans="4:15" ht="18.75" customHeight="1">
      <c r="D4" s="238" t="str">
        <f>M11</f>
        <v>Attendance</v>
      </c>
      <c r="E4" s="238"/>
      <c r="F4" s="215" t="s">
        <v>51</v>
      </c>
      <c r="G4" s="215"/>
      <c r="L4" s="58" t="s">
        <v>66</v>
      </c>
      <c r="M4" s="136"/>
      <c r="N4" s="136"/>
      <c r="O4" s="208" t="s">
        <v>79</v>
      </c>
    </row>
    <row r="5" spans="4:15" ht="18.75" customHeight="1">
      <c r="D5" s="203" t="str">
        <f>IF(M11="Graduation","2007-2008","2008-2009")</f>
        <v>2008-2009</v>
      </c>
      <c r="E5" s="203"/>
      <c r="F5" s="216">
        <f>IF(M11="Attendance",M9,FIXED(M6,1))</f>
        <v>0</v>
      </c>
      <c r="G5" s="217"/>
      <c r="L5" s="58" t="s">
        <v>67</v>
      </c>
      <c r="M5" s="136"/>
      <c r="N5" s="136"/>
      <c r="O5" s="209"/>
    </row>
    <row r="6" spans="4:15" ht="18.75" customHeight="1">
      <c r="D6" s="203" t="str">
        <f>IF(M11="Graduation","2008-2009","2009-2010")</f>
        <v>2009-2010</v>
      </c>
      <c r="E6" s="203"/>
      <c r="F6" s="218">
        <f>IF(M11="Attendance",N9,FIXED(N6,1))</f>
        <v>0</v>
      </c>
      <c r="G6" s="219"/>
      <c r="H6" s="21" t="str">
        <f>IF(AND(F5&gt;0,F6&gt;0),ROUND((F5+F6)/2,1),"NA")</f>
        <v>NA</v>
      </c>
      <c r="L6" s="84" t="s">
        <v>52</v>
      </c>
      <c r="M6" s="86">
        <f>IF(M4+M5&gt;0,ROUND(100*M4/(M4+M5),1),"")</f>
      </c>
      <c r="N6" s="95">
        <f>IF(N4+N5&gt;0,ROUND(100*N4/(N4+N5),1),"")</f>
      </c>
      <c r="O6" s="96">
        <f>M4+N4+M5+N5</f>
        <v>0</v>
      </c>
    </row>
    <row r="7" spans="6:12" ht="15" customHeight="1">
      <c r="F7" s="92" t="str">
        <f>IF(H6="NA","Not Rated",IF(H6&gt;=I13,"Outstanding",IF(H6&gt;=G13,"Satisfactory","In Need of Improvement")))</f>
        <v>Not Rated</v>
      </c>
      <c r="L7" s="79"/>
    </row>
    <row r="8" spans="2:14" ht="18">
      <c r="B8" s="195" t="str">
        <f>CONCATENATE(M11,": ",F7)</f>
        <v>Attendance: Not Rated</v>
      </c>
      <c r="C8" s="196"/>
      <c r="D8" s="196"/>
      <c r="E8" s="196"/>
      <c r="F8" s="196"/>
      <c r="G8" s="196"/>
      <c r="H8" s="196"/>
      <c r="I8" s="196"/>
      <c r="J8" s="197"/>
      <c r="L8" s="85" t="s">
        <v>71</v>
      </c>
      <c r="M8" s="106" t="s">
        <v>94</v>
      </c>
      <c r="N8" s="106" t="s">
        <v>95</v>
      </c>
    </row>
    <row r="9" spans="2:14" ht="18" customHeight="1">
      <c r="B9" s="225" t="str">
        <f>CONCATENATE("Two-year Average ",M11)</f>
        <v>Two-year Average Attendance</v>
      </c>
      <c r="C9" s="226"/>
      <c r="D9" s="226"/>
      <c r="E9" s="223" t="str">
        <f>IF(M11="Graduation",CONCATENATE("= (",M11," Rate 2007-08 + ",M11," Rate 2008-09)/2"),CONCATENATE("= (",M11," Rate 2008-09 + ",M11," Rate 2009-10)/2"))</f>
        <v>= (Attendance Rate 2008-09 + Attendance Rate 2009-10)/2</v>
      </c>
      <c r="F9" s="223"/>
      <c r="G9" s="223"/>
      <c r="H9" s="223"/>
      <c r="I9" s="223"/>
      <c r="J9" s="224"/>
      <c r="L9" s="58" t="s">
        <v>44</v>
      </c>
      <c r="M9" s="136"/>
      <c r="N9" s="136"/>
    </row>
    <row r="10" spans="2:14" ht="15" customHeight="1">
      <c r="B10" s="19"/>
      <c r="C10" s="83"/>
      <c r="D10" s="91"/>
      <c r="E10" s="227" t="str">
        <f>IF(H6&lt;&gt;"NA",CONCATENATE("= ( ",FIXED(F5,1)," + ",FIXED(F6,1)," ) / 2 = ",FIXED(H6,1)),"= NA")</f>
        <v>= NA</v>
      </c>
      <c r="F10" s="227"/>
      <c r="G10" s="227"/>
      <c r="H10" s="89"/>
      <c r="I10" s="89"/>
      <c r="J10" s="78"/>
      <c r="L10"/>
      <c r="M10"/>
      <c r="N10"/>
    </row>
    <row r="11" spans="2:14" ht="15" customHeight="1">
      <c r="B11" s="210" t="s">
        <v>56</v>
      </c>
      <c r="C11" s="214"/>
      <c r="D11" s="210" t="s">
        <v>22</v>
      </c>
      <c r="E11" s="214"/>
      <c r="F11" s="211"/>
      <c r="G11" s="210" t="s">
        <v>21</v>
      </c>
      <c r="H11" s="211"/>
      <c r="I11" s="210" t="s">
        <v>20</v>
      </c>
      <c r="J11" s="211"/>
      <c r="L11" s="107" t="s">
        <v>74</v>
      </c>
      <c r="M11" s="206" t="str">
        <f>IF(AND('Overall Rating'!C4="Y",O6&gt;=20),"Graduation","Attendance")</f>
        <v>Attendance</v>
      </c>
      <c r="N11" s="207"/>
    </row>
    <row r="12" spans="2:14" ht="18.75" customHeight="1">
      <c r="B12" s="212" t="str">
        <f>CONCATENATE(M11," Rate")</f>
        <v>Attendance Rate</v>
      </c>
      <c r="C12" s="185"/>
      <c r="D12" s="212" t="str">
        <f>CONCATENATE("Less than ",G13)</f>
        <v>Less than 89</v>
      </c>
      <c r="E12" s="185"/>
      <c r="F12" s="213"/>
      <c r="G12" s="212" t="str">
        <f>CONCATENATE(G13," to ",H13)</f>
        <v>89 to 91.9</v>
      </c>
      <c r="H12" s="213"/>
      <c r="I12" s="212" t="str">
        <f>CONCATENATE(I13," or Higher")</f>
        <v>92 or Higher</v>
      </c>
      <c r="J12" s="213"/>
      <c r="L12" s="204" t="s">
        <v>78</v>
      </c>
      <c r="M12" s="204"/>
      <c r="N12" s="204"/>
    </row>
    <row r="13" spans="7:14" ht="18.75" customHeight="1">
      <c r="G13" s="21">
        <f>IF(M11="Graduation",60,89)</f>
        <v>89</v>
      </c>
      <c r="H13" s="21" t="str">
        <f>IF(M11="Graduation","68.0","91.9")</f>
        <v>91.9</v>
      </c>
      <c r="I13" s="21">
        <f>IF(M11="Graduation",68.1,92)</f>
        <v>92</v>
      </c>
      <c r="L13" s="205"/>
      <c r="M13" s="205"/>
      <c r="N13" s="205"/>
    </row>
    <row r="14" spans="2:14" ht="24" customHeight="1">
      <c r="B14" s="229" t="s">
        <v>45</v>
      </c>
      <c r="C14" s="229"/>
      <c r="D14" s="229"/>
      <c r="E14" s="229"/>
      <c r="F14" s="229"/>
      <c r="G14" s="229"/>
      <c r="H14" s="229"/>
      <c r="I14" s="229"/>
      <c r="J14" s="229"/>
      <c r="L14"/>
      <c r="M14"/>
      <c r="N14"/>
    </row>
    <row r="15" spans="2:10" ht="15" customHeight="1">
      <c r="B15" s="228" t="s">
        <v>101</v>
      </c>
      <c r="C15" s="228"/>
      <c r="D15" s="228"/>
      <c r="E15" s="228"/>
      <c r="F15" s="228"/>
      <c r="G15" s="228"/>
      <c r="H15" s="228"/>
      <c r="I15" s="228"/>
      <c r="J15" s="228"/>
    </row>
    <row r="16" spans="2:10" ht="15" customHeight="1">
      <c r="B16" s="202" t="s">
        <v>46</v>
      </c>
      <c r="C16" s="202" t="s">
        <v>8</v>
      </c>
      <c r="D16" s="202"/>
      <c r="E16" s="202" t="s">
        <v>9</v>
      </c>
      <c r="F16" s="202"/>
      <c r="G16" s="202" t="s">
        <v>47</v>
      </c>
      <c r="H16" s="202"/>
      <c r="I16" s="202" t="s">
        <v>48</v>
      </c>
      <c r="J16" s="202"/>
    </row>
    <row r="17" spans="2:10" ht="15" customHeight="1">
      <c r="B17" s="202"/>
      <c r="C17" s="60" t="s">
        <v>49</v>
      </c>
      <c r="D17" s="60" t="s">
        <v>50</v>
      </c>
      <c r="E17" s="60" t="s">
        <v>49</v>
      </c>
      <c r="F17" s="60" t="s">
        <v>50</v>
      </c>
      <c r="G17" s="60" t="s">
        <v>49</v>
      </c>
      <c r="H17" s="60" t="s">
        <v>50</v>
      </c>
      <c r="I17" s="60" t="s">
        <v>49</v>
      </c>
      <c r="J17" s="60" t="s">
        <v>50</v>
      </c>
    </row>
    <row r="18" spans="2:10" ht="15" customHeight="1">
      <c r="B18" s="59">
        <v>3</v>
      </c>
      <c r="C18" s="136"/>
      <c r="D18" s="136"/>
      <c r="E18" s="136"/>
      <c r="F18" s="136"/>
      <c r="G18" s="61"/>
      <c r="H18" s="61"/>
      <c r="I18" s="61"/>
      <c r="J18" s="61"/>
    </row>
    <row r="19" spans="2:10" ht="15.75" customHeight="1">
      <c r="B19" s="59">
        <v>4</v>
      </c>
      <c r="C19" s="136"/>
      <c r="D19" s="136"/>
      <c r="E19" s="136"/>
      <c r="F19" s="136"/>
      <c r="G19" s="136"/>
      <c r="H19" s="136"/>
      <c r="I19" s="61"/>
      <c r="J19" s="61"/>
    </row>
    <row r="20" spans="2:10" ht="15.75" customHeight="1">
      <c r="B20" s="59">
        <v>5</v>
      </c>
      <c r="C20" s="136"/>
      <c r="D20" s="136"/>
      <c r="E20" s="136"/>
      <c r="F20" s="136"/>
      <c r="G20" s="61"/>
      <c r="H20" s="61"/>
      <c r="I20" s="136"/>
      <c r="J20" s="136"/>
    </row>
    <row r="21" spans="2:10" ht="15.75" customHeight="1">
      <c r="B21" s="59">
        <v>6</v>
      </c>
      <c r="C21" s="136"/>
      <c r="D21" s="136"/>
      <c r="E21" s="136"/>
      <c r="F21" s="136"/>
      <c r="G21" s="61"/>
      <c r="H21" s="61"/>
      <c r="I21" s="61"/>
      <c r="J21" s="61"/>
    </row>
    <row r="22" spans="2:10" ht="15.75" customHeight="1">
      <c r="B22" s="59">
        <v>7</v>
      </c>
      <c r="C22" s="136"/>
      <c r="D22" s="136"/>
      <c r="E22" s="136"/>
      <c r="F22" s="136"/>
      <c r="G22" s="136"/>
      <c r="H22" s="136"/>
      <c r="I22" s="61"/>
      <c r="J22" s="61"/>
    </row>
    <row r="23" spans="2:10" ht="15.75" customHeight="1">
      <c r="B23" s="59">
        <v>8</v>
      </c>
      <c r="C23" s="136"/>
      <c r="D23" s="136"/>
      <c r="E23" s="136"/>
      <c r="F23" s="136"/>
      <c r="G23" s="61"/>
      <c r="H23" s="61"/>
      <c r="I23" s="136"/>
      <c r="J23" s="136"/>
    </row>
    <row r="24" spans="2:10" ht="15.75" customHeight="1">
      <c r="B24" s="59">
        <v>10</v>
      </c>
      <c r="C24" s="136"/>
      <c r="D24" s="136"/>
      <c r="E24" s="136"/>
      <c r="F24" s="136"/>
      <c r="G24" s="136"/>
      <c r="H24" s="136"/>
      <c r="I24" s="136"/>
      <c r="J24" s="136"/>
    </row>
    <row r="25" spans="2:10" ht="15.75" customHeight="1">
      <c r="B25" s="59" t="s">
        <v>34</v>
      </c>
      <c r="C25" s="59">
        <f aca="true" t="shared" si="0" ref="C25:J25">SUM(C18:C24)</f>
        <v>0</v>
      </c>
      <c r="D25" s="59">
        <f t="shared" si="0"/>
        <v>0</v>
      </c>
      <c r="E25" s="59">
        <f t="shared" si="0"/>
        <v>0</v>
      </c>
      <c r="F25" s="59">
        <f t="shared" si="0"/>
        <v>0</v>
      </c>
      <c r="G25" s="59">
        <f t="shared" si="0"/>
        <v>0</v>
      </c>
      <c r="H25" s="59">
        <f t="shared" si="0"/>
        <v>0</v>
      </c>
      <c r="I25" s="59">
        <f t="shared" si="0"/>
        <v>0</v>
      </c>
      <c r="J25" s="59">
        <f t="shared" si="0"/>
        <v>0</v>
      </c>
    </row>
    <row r="26" spans="9:10" ht="15" customHeight="1">
      <c r="I26" s="21">
        <f>SUM(C18:C24)+SUM(E18:E24)+G19+G22+G24+I20+I23+I24</f>
        <v>0</v>
      </c>
      <c r="J26" s="21">
        <f>SUM(D18:D24)+SUM(F18:F24)+H19+H22+H24+J20+J23+J24</f>
        <v>0</v>
      </c>
    </row>
    <row r="27" spans="9:10" ht="15" customHeight="1">
      <c r="I27" s="21" t="str">
        <f>IF(I26+J26&gt;0,IF(J27&gt;94.5,"Outstanding","In Need of Improvement"),"Not Rated")</f>
        <v>Not Rated</v>
      </c>
      <c r="J27" s="62" t="str">
        <f>IF(I26+J26&gt;0,ROUND(100*I26/(I26+J26),1),"NA")</f>
        <v>NA</v>
      </c>
    </row>
    <row r="28" spans="2:10" ht="15" customHeight="1">
      <c r="B28" s="195" t="str">
        <f>CONCATENATE("Participation: ",I27)</f>
        <v>Participation: Not Rated</v>
      </c>
      <c r="C28" s="196"/>
      <c r="D28" s="196"/>
      <c r="E28" s="196"/>
      <c r="F28" s="196"/>
      <c r="G28" s="196"/>
      <c r="H28" s="196"/>
      <c r="I28" s="196"/>
      <c r="J28" s="197"/>
    </row>
    <row r="29" spans="2:10" ht="12.75">
      <c r="B29" s="232" t="s">
        <v>69</v>
      </c>
      <c r="C29" s="233"/>
      <c r="D29" s="233"/>
      <c r="E29" s="233"/>
      <c r="F29" s="233"/>
      <c r="G29" s="233"/>
      <c r="H29" s="233"/>
      <c r="I29" s="233"/>
      <c r="J29" s="234"/>
    </row>
    <row r="30" spans="2:10" ht="17.25" customHeight="1">
      <c r="B30" s="235" t="str">
        <f>IF(I26+J26&gt;0,CONCATENATE("= ",I26," / (",I26," + ",J26,")"," = ",FIXED(J27,1)),"= NA")</f>
        <v>= NA</v>
      </c>
      <c r="C30" s="236"/>
      <c r="D30" s="236"/>
      <c r="E30" s="236"/>
      <c r="F30" s="236"/>
      <c r="G30" s="236"/>
      <c r="H30" s="236"/>
      <c r="I30" s="236"/>
      <c r="J30" s="237"/>
    </row>
    <row r="31" spans="2:10" ht="17.25" customHeight="1">
      <c r="B31" s="231" t="s">
        <v>56</v>
      </c>
      <c r="C31" s="206"/>
      <c r="D31" s="207"/>
      <c r="E31" s="231" t="s">
        <v>22</v>
      </c>
      <c r="F31" s="206"/>
      <c r="G31" s="207"/>
      <c r="H31" s="231" t="s">
        <v>20</v>
      </c>
      <c r="I31" s="206"/>
      <c r="J31" s="207"/>
    </row>
    <row r="32" spans="2:10" ht="18" customHeight="1">
      <c r="B32" s="220" t="s">
        <v>45</v>
      </c>
      <c r="C32" s="221"/>
      <c r="D32" s="222"/>
      <c r="E32" s="220" t="s">
        <v>68</v>
      </c>
      <c r="F32" s="221"/>
      <c r="G32" s="222"/>
      <c r="H32" s="220" t="s">
        <v>75</v>
      </c>
      <c r="I32" s="221"/>
      <c r="J32" s="222"/>
    </row>
    <row r="33" ht="18" customHeight="1"/>
    <row r="34" ht="15" customHeight="1"/>
    <row r="35" ht="15" customHeight="1"/>
    <row r="36" ht="15" customHeight="1"/>
  </sheetData>
  <sheetProtection password="CFF5" sheet="1" objects="1" scenarios="1"/>
  <protectedRanges>
    <protectedRange sqref="M9:N9" name="Range8"/>
    <protectedRange sqref="M4:N5" name="Range7"/>
    <protectedRange sqref="I20:J20" name="Range6"/>
    <protectedRange sqref="I23:J23" name="Range5"/>
    <protectedRange sqref="G24:J24" name="Range4"/>
    <protectedRange sqref="G22:H22" name="Range3"/>
    <protectedRange sqref="G19:H19" name="Range2"/>
    <protectedRange sqref="C18:F24" name="Range1"/>
  </protectedRanges>
  <mergeCells count="39">
    <mergeCell ref="D3:G3"/>
    <mergeCell ref="D1:H1"/>
    <mergeCell ref="B8:J8"/>
    <mergeCell ref="H31:J31"/>
    <mergeCell ref="E31:G31"/>
    <mergeCell ref="B31:D31"/>
    <mergeCell ref="B29:J29"/>
    <mergeCell ref="B30:J30"/>
    <mergeCell ref="B28:J28"/>
    <mergeCell ref="D4:E4"/>
    <mergeCell ref="H32:J32"/>
    <mergeCell ref="E32:G32"/>
    <mergeCell ref="B32:D32"/>
    <mergeCell ref="E9:J9"/>
    <mergeCell ref="B9:D9"/>
    <mergeCell ref="G16:H16"/>
    <mergeCell ref="E10:G10"/>
    <mergeCell ref="I16:J16"/>
    <mergeCell ref="B15:J15"/>
    <mergeCell ref="B14:J14"/>
    <mergeCell ref="D5:E5"/>
    <mergeCell ref="D6:E6"/>
    <mergeCell ref="F4:G4"/>
    <mergeCell ref="F5:G5"/>
    <mergeCell ref="F6:G6"/>
    <mergeCell ref="B11:C11"/>
    <mergeCell ref="B16:B17"/>
    <mergeCell ref="C16:D16"/>
    <mergeCell ref="E16:F16"/>
    <mergeCell ref="B12:C12"/>
    <mergeCell ref="D11:F11"/>
    <mergeCell ref="D12:F12"/>
    <mergeCell ref="L12:N13"/>
    <mergeCell ref="M11:N11"/>
    <mergeCell ref="O4:O5"/>
    <mergeCell ref="G11:H11"/>
    <mergeCell ref="G12:H12"/>
    <mergeCell ref="I11:J11"/>
    <mergeCell ref="I12:J12"/>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2009-09-22T17:00:35Z</cp:lastPrinted>
  <dcterms:created xsi:type="dcterms:W3CDTF">2009-03-10T21:57:53Z</dcterms:created>
  <dcterms:modified xsi:type="dcterms:W3CDTF">2010-09-09T19:04:33Z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419134780</vt:i4>
  </property>
  <property fmtid="{D5CDD505-2E9C-101B-9397-08002B2CF9AE}" pid="3" name="_NewReviewCycle">
    <vt:lpwstr/>
  </property>
  <property fmtid="{D5CDD505-2E9C-101B-9397-08002B2CF9AE}" pid="4" name="_EmailSubject">
    <vt:lpwstr>RC Manual and Calculator for 2009-10</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ReviewingToolsShownOnce">
    <vt:lpwstr/>
  </property>
  <property fmtid="{D5CDD505-2E9C-101B-9397-08002B2CF9AE}" pid="8" name="Priority">
    <vt:lpwstr>Legacy</vt:lpwstr>
  </property>
  <property fmtid="{D5CDD505-2E9C-101B-9397-08002B2CF9AE}" pid="9" name="display_urn:schemas-microsoft-com:office:office#Editor">
    <vt:lpwstr>Cindy Barrick</vt:lpwstr>
  </property>
  <property fmtid="{D5CDD505-2E9C-101B-9397-08002B2CF9AE}" pid="10" name="display_urn:schemas-microsoft-com:office:office#Author">
    <vt:lpwstr>Cindy Barrick</vt:lpwstr>
  </property>
</Properties>
</file>