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How to Use" sheetId="1" r:id="rId1"/>
    <sheet name="Overall Rating" sheetId="2" r:id="rId2"/>
    <sheet name="Achievement Index" sheetId="3" r:id="rId3"/>
    <sheet name="Improvement" sheetId="4" r:id="rId4"/>
    <sheet name="Other Indicators" sheetId="5" r:id="rId5"/>
  </sheets>
  <definedNames>
    <definedName name="_xlfn.BAHTTEXT" hidden="1">#NAME?</definedName>
  </definedNames>
  <calcPr fullCalcOnLoad="1"/>
</workbook>
</file>

<file path=xl/sharedStrings.xml><?xml version="1.0" encoding="utf-8"?>
<sst xmlns="http://schemas.openxmlformats.org/spreadsheetml/2006/main" count="193" uniqueCount="103">
  <si>
    <t>All Students</t>
  </si>
  <si>
    <t>Economically Disadvantaged</t>
  </si>
  <si>
    <t>Limited English Proficient</t>
  </si>
  <si>
    <t>Students with Disabilities</t>
  </si>
  <si>
    <t>Hispanic</t>
  </si>
  <si>
    <t>Asian/Pacific Islander</t>
  </si>
  <si>
    <t>Multi-Racial/Multi-Ethnic</t>
  </si>
  <si>
    <t>Index</t>
  </si>
  <si>
    <t>2007-08</t>
  </si>
  <si>
    <t>Reading</t>
  </si>
  <si>
    <t>Math</t>
  </si>
  <si>
    <t>Meets or Exceeds</t>
  </si>
  <si>
    <t>Exceeds</t>
  </si>
  <si>
    <t>Meets</t>
  </si>
  <si>
    <t>Does Not Meet</t>
  </si>
  <si>
    <t>Yearly Index</t>
  </si>
  <si>
    <t>Reading Index</t>
  </si>
  <si>
    <t>School Type</t>
  </si>
  <si>
    <t>Black (not of Hispanic origin)</t>
  </si>
  <si>
    <t>American Indian/Alaskan Native</t>
  </si>
  <si>
    <r>
      <t xml:space="preserve">Totals </t>
    </r>
    <r>
      <rPr>
        <sz val="8"/>
        <rFont val="Arial"/>
        <family val="2"/>
      </rPr>
      <t>(excludes Asian/PI, White, Multi)</t>
    </r>
  </si>
  <si>
    <t>Outstanding</t>
  </si>
  <si>
    <t>Satisfactory</t>
  </si>
  <si>
    <t>In Need of Improvement</t>
  </si>
  <si>
    <t>Weight</t>
  </si>
  <si>
    <t>Subgroup Index*</t>
  </si>
  <si>
    <t>* - Included for comparative purposes</t>
  </si>
  <si>
    <t>2008-09</t>
  </si>
  <si>
    <t>Achievement Index</t>
  </si>
  <si>
    <t>Reading Knowledge and Skills</t>
  </si>
  <si>
    <t>Math Knowledge and Skills</t>
  </si>
  <si>
    <t>Nearly Meets</t>
  </si>
  <si>
    <t>Low</t>
  </si>
  <si>
    <t>Very Low</t>
  </si>
  <si>
    <t>Counts</t>
  </si>
  <si>
    <t>Weighted</t>
  </si>
  <si>
    <t>Totals</t>
  </si>
  <si>
    <t>Weighted Counts</t>
  </si>
  <si>
    <t>Meets Growth Target</t>
  </si>
  <si>
    <t>Yes</t>
  </si>
  <si>
    <t>No</t>
  </si>
  <si>
    <t>NA</t>
  </si>
  <si>
    <t>Math Index</t>
  </si>
  <si>
    <t xml:space="preserve">Math  </t>
  </si>
  <si>
    <t>Summary Data</t>
  </si>
  <si>
    <t>Rating/Comments</t>
  </si>
  <si>
    <t>Attendance Rate</t>
  </si>
  <si>
    <t>Participation Rate</t>
  </si>
  <si>
    <t>Grade</t>
  </si>
  <si>
    <t>Writing</t>
  </si>
  <si>
    <t>Science</t>
  </si>
  <si>
    <t xml:space="preserve">Partic </t>
  </si>
  <si>
    <t>Non-Partic</t>
  </si>
  <si>
    <t>2008-09 Participation Rate in Statewide Assessments</t>
  </si>
  <si>
    <t>School</t>
  </si>
  <si>
    <t>Graduation Rate</t>
  </si>
  <si>
    <t>AYP Status  ( Met / Not Met )</t>
  </si>
  <si>
    <t>Overall Rating</t>
  </si>
  <si>
    <t>School Achievement Index = ( Reading Index + Math Index ) / 2</t>
  </si>
  <si>
    <t>Rating</t>
  </si>
  <si>
    <t>Index Score</t>
  </si>
  <si>
    <t>Improvement Data (High Schools only)</t>
  </si>
  <si>
    <t>Improvement Index</t>
  </si>
  <si>
    <t>Not Improved</t>
  </si>
  <si>
    <t>Improved</t>
  </si>
  <si>
    <t>Less than 5.0</t>
  </si>
  <si>
    <t>5.0 or Higher</t>
  </si>
  <si>
    <t>Includes grade 12? (Y/N)</t>
  </si>
  <si>
    <t>Additional Indicators</t>
  </si>
  <si>
    <t>2006-07</t>
  </si>
  <si>
    <t>Graduates</t>
  </si>
  <si>
    <t>Dropouts</t>
  </si>
  <si>
    <t>Less than 94.5</t>
  </si>
  <si>
    <t>Participation in Statewide Assessments = Participants / (Participants + Non-Participants)</t>
  </si>
  <si>
    <t>Graduation Data</t>
  </si>
  <si>
    <t>Attendance Data</t>
  </si>
  <si>
    <t>Enrollment Data</t>
  </si>
  <si>
    <t xml:space="preserve">Enrollment  </t>
  </si>
  <si>
    <t>School is rated on:</t>
  </si>
  <si>
    <t>94.5 or Higher</t>
  </si>
  <si>
    <t xml:space="preserve"> Improvement Index =  Index 2008-09 - Index 2007-08</t>
  </si>
  <si>
    <t>Met AYP? (Y/N)</t>
  </si>
  <si>
    <t>White (not of Hispanic origin)</t>
  </si>
  <si>
    <t>* - High Schools with a combined total of fewer than 20 graduates and dropouts are rated on attendance.</t>
  </si>
  <si>
    <t>Total Grads + dropouts</t>
  </si>
  <si>
    <t xml:space="preserve">   -- The school has only one year of data.</t>
  </si>
  <si>
    <t>Notes: Situations where schools are not rated include:</t>
  </si>
  <si>
    <t>Performance Index</t>
  </si>
  <si>
    <t xml:space="preserve">   -- Combined enrollment for 2007-08 and 2008-09 is less than 50.</t>
  </si>
  <si>
    <t xml:space="preserve">   -- Fewer than 80 reading and math tests were taken in 2007-08 and 2008-09 combined.</t>
  </si>
  <si>
    <r>
      <t xml:space="preserve">Finally, click again on the tab of the second worksheet, </t>
    </r>
    <r>
      <rPr>
        <b/>
        <sz val="10"/>
        <rFont val="Arial"/>
        <family val="2"/>
      </rPr>
      <t>Overall Rating</t>
    </r>
    <r>
      <rPr>
        <sz val="10"/>
        <rFont val="Arial"/>
        <family val="2"/>
      </rPr>
      <t>.  Your school's ratings will now appear in the section labeled Summary Data -- Rating/Comments.</t>
    </r>
  </si>
  <si>
    <t>How to Use the Report Card Calculator</t>
  </si>
  <si>
    <t>1.</t>
  </si>
  <si>
    <t>2.</t>
  </si>
  <si>
    <t>3.</t>
  </si>
  <si>
    <t>4.</t>
  </si>
  <si>
    <t>5.</t>
  </si>
  <si>
    <r>
      <t xml:space="preserve">If your school includes grade 12, click on the tab of the fourth worksheet, </t>
    </r>
    <r>
      <rPr>
        <b/>
        <sz val="10"/>
        <rFont val="Arial"/>
        <family val="2"/>
      </rPr>
      <t>Improvement</t>
    </r>
    <r>
      <rPr>
        <sz val="10"/>
        <rFont val="Arial"/>
        <family val="0"/>
      </rPr>
      <t>.  You must input data in the yellow cells.  Your school's actual data for the 2008-09 Report Card can be found on the school's Report Card Detail Sheet.  You may enter hypothetical data to see your school's rating under a variety of scenarios.  A rating of Improved raises the school's overall rating by one category.</t>
    </r>
  </si>
  <si>
    <r>
      <t xml:space="preserve">Now, click on the tab of the fifth worksheet, </t>
    </r>
    <r>
      <rPr>
        <b/>
        <sz val="10"/>
        <rFont val="Arial"/>
        <family val="2"/>
      </rPr>
      <t>Other Indicators</t>
    </r>
    <r>
      <rPr>
        <sz val="10"/>
        <rFont val="Arial"/>
        <family val="2"/>
      </rPr>
      <t xml:space="preserve">.   You must input data in the yellow cells.  
  1. If your school does not include grade 12, complete only the Attendance Data and Participation Rate sections. 
  2. If your school includes grade 12 and had more than 20 graduates and dropouts in 2007-08 and 2008-09 combined, complete the Graduation Data and Participation Rate sections.  
  3. If your school includes grade 12 but had fewer than 20 graduates and dropouts in 2007-08 and 2008-09 combined, complete the Attendance Data and Participation Rate sections.  
Your school's actual data for the 2008-09 Report Card can be found on the school's Report Card Detail Sheet.  You may enter hypothetical data to see your school's rating under a variety of scenarios.   </t>
    </r>
  </si>
  <si>
    <r>
      <t xml:space="preserve">Next, click on the tab of the third worksheet, </t>
    </r>
    <r>
      <rPr>
        <b/>
        <sz val="10"/>
        <rFont val="Arial"/>
        <family val="2"/>
      </rPr>
      <t>Achievement Index</t>
    </r>
    <r>
      <rPr>
        <sz val="10"/>
        <rFont val="Arial"/>
        <family val="2"/>
      </rPr>
      <t xml:space="preserve">.  You must input data in the yellow cells.  Your school's actual data for the 2008-09 Report Card can be found on the school's Report Card Detail Sheet.  You may enter hypothetical data to see your school's rating under a variety of scenarios.  As the note at the bottom of the worksheet explains, your school is not rated if the number of tests from 2007-08 and 2008-09 combined is less than 80.     </t>
    </r>
  </si>
  <si>
    <r>
      <t xml:space="preserve">Begin by clicking on the tab of the second worksheet in this file, </t>
    </r>
    <r>
      <rPr>
        <b/>
        <sz val="10"/>
        <rFont val="Arial"/>
        <family val="2"/>
      </rPr>
      <t>Overall Rating</t>
    </r>
    <r>
      <rPr>
        <sz val="10"/>
        <rFont val="Arial"/>
        <family val="2"/>
      </rPr>
      <t xml:space="preserve">.  You must input data in the yellow cells.  
  1. Enter Y (yes) or N (no) to indicate if your school includes grade 12.  
  2. Enter a Y (yes) or N (no) to indicate if your school Met AYP for 2008-09.  
  3. Enter your school's 2007-08 total enrollment and your school's 2008-09 total enrollment.  
As the note at the bottom of the worksheet explains, your school is not rated if the combined 2007-08 and 2008-09 enrollment is less than 50 students.     </t>
    </r>
  </si>
  <si>
    <r>
      <t xml:space="preserve">The </t>
    </r>
    <r>
      <rPr>
        <b/>
        <i/>
        <sz val="10"/>
        <rFont val="Arial"/>
        <family val="2"/>
      </rPr>
      <t>Achievement Index Calculator</t>
    </r>
    <r>
      <rPr>
        <i/>
        <sz val="10"/>
        <rFont val="Arial"/>
        <family val="2"/>
      </rPr>
      <t xml:space="preserve"> is designed to allow district and school personnel to input data and then view the School Report Card rating that results from those entries.  You can duplicate the calculations used to generate your school's 2008-2009 Report Card rating, or you can project ratings under a variety of scenarios.  
</t>
    </r>
    <r>
      <rPr>
        <sz val="10"/>
        <rFont val="Arial"/>
        <family val="2"/>
      </rPr>
      <t>Note: Only those cells highlighted in yellow may be edited.</t>
    </r>
  </si>
  <si>
    <t>* -- Schools with fewer than 80 reading in math tests in 2007-08 and 2008-09 combined will not be rated.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</si>
</sst>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
    <numFmt numFmtId="169" formatCode="0.0000"/>
    <numFmt numFmtId="170" formatCode="0.000"/>
    <numFmt numFmtId="171" formatCode="0.0"/>
    <numFmt numFmtId="172" formatCode="0.000000"/>
    <numFmt numFmtId="173" formatCode="_(* #,##0.0_);_(* \(#,##0.0\);_(* &quot;-&quot;??_);_(@_)"/>
    <numFmt numFmtId="174" formatCode="_(* #,##0_);_(* \(#,##0\);_(* &quot;-&quot;??_);_(@_)"/>
    <numFmt numFmtId="175" formatCode="0.0%"/>
  </numFmts>
  <fonts count="21">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2"/>
      <name val="Arial"/>
      <family val="0"/>
    </font>
    <font>
      <b/>
      <sz val="12"/>
      <name val="Arial"/>
      <family val="2"/>
    </font>
    <font>
      <b/>
      <sz val="11"/>
      <name val="Arial"/>
      <family val="2"/>
    </font>
    <font>
      <sz val="9"/>
      <name val="Arial"/>
      <family val="0"/>
    </font>
    <font>
      <i/>
      <sz val="10"/>
      <name val="Arial"/>
      <family val="2"/>
    </font>
    <font>
      <sz val="10"/>
      <color indexed="9"/>
      <name val="Arial"/>
      <family val="0"/>
    </font>
    <font>
      <b/>
      <sz val="10"/>
      <color indexed="9"/>
      <name val="Arial"/>
      <family val="2"/>
    </font>
    <font>
      <b/>
      <sz val="11"/>
      <color indexed="9"/>
      <name val="Arial"/>
      <family val="2"/>
    </font>
    <font>
      <b/>
      <sz val="12"/>
      <color indexed="9"/>
      <name val="Arial"/>
      <family val="0"/>
    </font>
    <font>
      <b/>
      <sz val="18"/>
      <name val="Arial"/>
      <family val="2"/>
    </font>
    <font>
      <b/>
      <sz val="20"/>
      <name val="Arial"/>
      <family val="2"/>
    </font>
    <font>
      <b/>
      <sz val="8"/>
      <name val="Arial"/>
      <family val="2"/>
    </font>
    <font>
      <b/>
      <sz val="14"/>
      <name val="Arial"/>
      <family val="2"/>
    </font>
    <font>
      <b/>
      <sz val="16"/>
      <name val="Arial"/>
      <family val="2"/>
    </font>
    <font>
      <b/>
      <i/>
      <sz val="14"/>
      <name val="Arial"/>
      <family val="2"/>
    </font>
    <font>
      <b/>
      <i/>
      <sz val="10"/>
      <name val="Arial"/>
      <family val="2"/>
    </font>
  </fonts>
  <fills count="7">
    <fill>
      <patternFill/>
    </fill>
    <fill>
      <patternFill patternType="gray125"/>
    </fill>
    <fill>
      <patternFill patternType="solid">
        <fgColor indexed="22"/>
        <bgColor indexed="64"/>
      </patternFill>
    </fill>
    <fill>
      <patternFill patternType="solid">
        <fgColor indexed="8"/>
        <bgColor indexed="64"/>
      </patternFill>
    </fill>
    <fill>
      <patternFill patternType="gray125">
        <fgColor indexed="22"/>
      </patternFill>
    </fill>
    <fill>
      <patternFill patternType="solid">
        <fgColor indexed="26"/>
        <bgColor indexed="64"/>
      </patternFill>
    </fill>
    <fill>
      <patternFill patternType="gray125">
        <fgColor indexed="22"/>
        <bgColor indexed="26"/>
      </patternFill>
    </fill>
  </fills>
  <borders count="46">
    <border>
      <left/>
      <right/>
      <top/>
      <bottom/>
      <diagonal/>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color indexed="22"/>
      </bottom>
    </border>
    <border>
      <left style="thin"/>
      <right style="thin"/>
      <top style="thin">
        <color indexed="22"/>
      </top>
      <bottom style="thin">
        <color indexed="22"/>
      </bottom>
    </border>
    <border>
      <left>
        <color indexed="63"/>
      </left>
      <right style="thin"/>
      <top>
        <color indexed="63"/>
      </top>
      <bottom>
        <color indexed="63"/>
      </bottom>
    </border>
    <border>
      <left>
        <color indexed="63"/>
      </left>
      <right style="thin"/>
      <top>
        <color indexed="63"/>
      </top>
      <bottom style="thin"/>
    </border>
    <border>
      <left style="thin"/>
      <right style="thin"/>
      <top style="thin">
        <color indexed="22"/>
      </top>
      <bottom style="thin"/>
    </border>
    <border>
      <left>
        <color indexed="63"/>
      </left>
      <right>
        <color indexed="63"/>
      </right>
      <top>
        <color indexed="63"/>
      </top>
      <bottom style="thin"/>
    </border>
    <border>
      <left style="thin"/>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top style="thin">
        <color indexed="22"/>
      </top>
      <bottom style="thin"/>
    </border>
    <border>
      <left style="thin">
        <color indexed="22"/>
      </left>
      <right style="thin">
        <color indexed="22"/>
      </right>
      <top style="thin">
        <color indexed="22"/>
      </top>
      <bottom style="thin"/>
    </border>
    <border>
      <left>
        <color indexed="63"/>
      </left>
      <right style="thin">
        <color indexed="22"/>
      </right>
      <top style="thin"/>
      <bottom style="thin">
        <color indexed="22"/>
      </bottom>
    </border>
    <border>
      <left style="thin">
        <color indexed="22"/>
      </left>
      <right>
        <color indexed="63"/>
      </right>
      <top style="thin"/>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border>
    <border>
      <left style="thin">
        <color indexed="22"/>
      </left>
      <right>
        <color indexed="63"/>
      </right>
      <top style="thin">
        <color indexed="22"/>
      </top>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40">
    <xf numFmtId="0" fontId="0" fillId="0" borderId="0" xfId="0"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0" fillId="0" borderId="0" xfId="0" applyAlignment="1">
      <alignment horizontal="right" vertical="center"/>
    </xf>
    <xf numFmtId="0" fontId="6" fillId="0" borderId="0" xfId="0" applyFont="1" applyAlignment="1">
      <alignment vertical="center"/>
    </xf>
    <xf numFmtId="0" fontId="0" fillId="0" borderId="0" xfId="0" applyBorder="1" applyAlignment="1">
      <alignment vertical="center"/>
    </xf>
    <xf numFmtId="0" fontId="4" fillId="0" borderId="6" xfId="0" applyFont="1" applyBorder="1" applyAlignment="1">
      <alignment horizontal="center" vertical="center"/>
    </xf>
    <xf numFmtId="3" fontId="0" fillId="0" borderId="7" xfId="0" applyNumberFormat="1" applyBorder="1" applyAlignment="1">
      <alignment horizontal="center" vertical="center"/>
    </xf>
    <xf numFmtId="3" fontId="4" fillId="0" borderId="7" xfId="0" applyNumberFormat="1" applyFont="1" applyBorder="1" applyAlignment="1">
      <alignment horizontal="center" vertical="center"/>
    </xf>
    <xf numFmtId="0" fontId="0" fillId="0" borderId="8" xfId="0" applyBorder="1" applyAlignment="1">
      <alignment horizontal="center" vertical="center"/>
    </xf>
    <xf numFmtId="3" fontId="0" fillId="0" borderId="9" xfId="0" applyNumberFormat="1" applyBorder="1" applyAlignment="1">
      <alignment horizontal="center" vertical="center"/>
    </xf>
    <xf numFmtId="0" fontId="0" fillId="0" borderId="10" xfId="0" applyBorder="1" applyAlignment="1">
      <alignment horizontal="center" vertical="center"/>
    </xf>
    <xf numFmtId="3" fontId="0" fillId="0" borderId="4" xfId="0" applyNumberFormat="1" applyBorder="1" applyAlignment="1">
      <alignment horizontal="center" vertical="center"/>
    </xf>
    <xf numFmtId="0" fontId="10" fillId="0" borderId="0" xfId="0" applyFont="1" applyAlignment="1">
      <alignment horizontal="center" vertical="center"/>
    </xf>
    <xf numFmtId="0" fontId="9" fillId="0" borderId="11" xfId="0" applyFont="1" applyFill="1" applyBorder="1" applyAlignment="1">
      <alignment/>
    </xf>
    <xf numFmtId="0" fontId="0" fillId="0" borderId="11" xfId="0" applyFont="1" applyFill="1" applyBorder="1" applyAlignment="1">
      <alignment/>
    </xf>
    <xf numFmtId="0" fontId="0" fillId="0" borderId="0" xfId="0" applyFont="1" applyFill="1" applyAlignment="1">
      <alignment/>
    </xf>
    <xf numFmtId="0" fontId="0" fillId="0" borderId="12" xfId="0" applyFont="1" applyFill="1" applyBorder="1" applyAlignment="1">
      <alignment/>
    </xf>
    <xf numFmtId="171" fontId="0" fillId="0" borderId="11" xfId="0" applyNumberFormat="1" applyFont="1" applyFill="1" applyBorder="1" applyAlignment="1">
      <alignment horizontal="center"/>
    </xf>
    <xf numFmtId="0" fontId="0" fillId="0" borderId="11" xfId="0" applyFont="1" applyFill="1" applyBorder="1" applyAlignment="1">
      <alignment/>
    </xf>
    <xf numFmtId="0" fontId="9" fillId="0" borderId="0" xfId="0" applyFont="1" applyFill="1" applyAlignment="1">
      <alignment/>
    </xf>
    <xf numFmtId="0" fontId="9" fillId="0" borderId="13" xfId="0" applyFont="1" applyFill="1" applyBorder="1" applyAlignment="1">
      <alignment/>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3" fontId="0" fillId="0" borderId="14" xfId="0" applyNumberFormat="1" applyFont="1" applyFill="1" applyBorder="1" applyAlignment="1">
      <alignment horizontal="center" vertical="center" wrapText="1"/>
    </xf>
    <xf numFmtId="3" fontId="0" fillId="0" borderId="15" xfId="0" applyNumberFormat="1" applyFont="1" applyFill="1" applyBorder="1" applyAlignment="1">
      <alignment horizontal="center" vertical="center" wrapText="1"/>
    </xf>
    <xf numFmtId="0" fontId="0" fillId="0" borderId="0" xfId="0" applyFont="1" applyFill="1" applyAlignment="1">
      <alignment horizontal="center" wrapText="1"/>
    </xf>
    <xf numFmtId="0" fontId="0" fillId="0" borderId="0" xfId="0" applyFill="1" applyAlignment="1">
      <alignment/>
    </xf>
    <xf numFmtId="0" fontId="5" fillId="0" borderId="0" xfId="0" applyFont="1" applyFill="1" applyAlignment="1">
      <alignment horizontal="center" vertical="center"/>
    </xf>
    <xf numFmtId="0" fontId="0" fillId="0" borderId="16" xfId="0" applyFont="1" applyFill="1" applyBorder="1" applyAlignment="1">
      <alignment horizontal="center" vertical="center" wrapText="1"/>
    </xf>
    <xf numFmtId="0" fontId="0" fillId="0" borderId="0" xfId="0" applyFont="1" applyFill="1" applyAlignment="1">
      <alignment horizontal="center" vertic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0" fillId="0" borderId="0" xfId="0" applyFont="1" applyFill="1" applyAlignment="1">
      <alignment wrapText="1"/>
    </xf>
    <xf numFmtId="171" fontId="0" fillId="0" borderId="11" xfId="0" applyNumberFormat="1" applyFont="1" applyFill="1" applyBorder="1" applyAlignment="1">
      <alignment horizontal="center"/>
    </xf>
    <xf numFmtId="171" fontId="0" fillId="0" borderId="13" xfId="0" applyNumberFormat="1" applyFont="1" applyFill="1" applyBorder="1" applyAlignment="1">
      <alignment horizontal="center"/>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171" fontId="0" fillId="0" borderId="19" xfId="0" applyNumberFormat="1" applyFont="1" applyFill="1" applyBorder="1" applyAlignment="1">
      <alignment horizontal="center"/>
    </xf>
    <xf numFmtId="171" fontId="0" fillId="0" borderId="20" xfId="0" applyNumberFormat="1" applyFont="1" applyFill="1" applyBorder="1" applyAlignment="1">
      <alignment horizontal="center"/>
    </xf>
    <xf numFmtId="171" fontId="0" fillId="0" borderId="19" xfId="0" applyNumberFormat="1" applyFont="1" applyFill="1" applyBorder="1" applyAlignment="1">
      <alignment horizontal="center"/>
    </xf>
    <xf numFmtId="0" fontId="0" fillId="0" borderId="12" xfId="0" applyFont="1" applyFill="1" applyBorder="1" applyAlignment="1">
      <alignment horizontal="center" wrapText="1"/>
    </xf>
    <xf numFmtId="0" fontId="0" fillId="0" borderId="11" xfId="0" applyFont="1" applyFill="1" applyBorder="1" applyAlignment="1">
      <alignment horizontal="center" wrapText="1"/>
    </xf>
    <xf numFmtId="0" fontId="4" fillId="0" borderId="1" xfId="0" applyFont="1" applyFill="1" applyBorder="1" applyAlignment="1">
      <alignment horizontal="center" vertical="center"/>
    </xf>
    <xf numFmtId="0" fontId="10" fillId="0" borderId="2" xfId="0" applyFont="1" applyFill="1" applyBorder="1" applyAlignment="1">
      <alignment horizontal="center" wrapText="1"/>
    </xf>
    <xf numFmtId="0" fontId="10" fillId="0" borderId="0" xfId="0" applyFont="1" applyFill="1" applyAlignment="1">
      <alignment horizontal="center"/>
    </xf>
    <xf numFmtId="0" fontId="10" fillId="0" borderId="0" xfId="0" applyFont="1" applyFill="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xf>
    <xf numFmtId="0" fontId="16" fillId="0" borderId="1" xfId="0" applyFont="1" applyBorder="1" applyAlignment="1">
      <alignment horizontal="center" vertical="center"/>
    </xf>
    <xf numFmtId="0" fontId="0" fillId="2" borderId="1" xfId="0" applyFill="1" applyBorder="1" applyAlignment="1">
      <alignment horizontal="center" vertical="center"/>
    </xf>
    <xf numFmtId="171" fontId="10" fillId="0" borderId="0" xfId="0" applyNumberFormat="1" applyFont="1" applyAlignment="1">
      <alignment horizontal="center" vertical="center"/>
    </xf>
    <xf numFmtId="0" fontId="0" fillId="0" borderId="0" xfId="0" applyAlignment="1">
      <alignment horizontal="center" vertical="center" wrapText="1"/>
    </xf>
    <xf numFmtId="0" fontId="13" fillId="3"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10" fillId="0" borderId="0" xfId="0" applyFont="1" applyAlignment="1">
      <alignment horizontal="center" vertical="center" wrapText="1"/>
    </xf>
    <xf numFmtId="0" fontId="9" fillId="4" borderId="18" xfId="0" applyFont="1" applyFill="1" applyBorder="1" applyAlignment="1">
      <alignment horizontal="center" wrapText="1"/>
    </xf>
    <xf numFmtId="0" fontId="9" fillId="4" borderId="21" xfId="0" applyFont="1" applyFill="1" applyBorder="1" applyAlignment="1">
      <alignment horizontal="center" wrapText="1"/>
    </xf>
    <xf numFmtId="0" fontId="0" fillId="0" borderId="16" xfId="0" applyBorder="1" applyAlignment="1">
      <alignment horizontal="center" vertical="center" wrapText="1"/>
    </xf>
    <xf numFmtId="0" fontId="0" fillId="0" borderId="0" xfId="0" applyFont="1" applyFill="1" applyAlignment="1">
      <alignment horizontal="center" vertical="center" wrapText="1"/>
    </xf>
    <xf numFmtId="0" fontId="7"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10" fillId="0" borderId="0" xfId="0" applyFont="1" applyFill="1" applyAlignment="1">
      <alignment horizontal="center" wrapText="1"/>
    </xf>
    <xf numFmtId="171" fontId="10" fillId="0" borderId="0" xfId="0" applyNumberFormat="1" applyFont="1" applyFill="1" applyAlignment="1">
      <alignment horizontal="center" wrapText="1"/>
    </xf>
    <xf numFmtId="0" fontId="4" fillId="0" borderId="8" xfId="0" applyFont="1" applyBorder="1" applyAlignment="1">
      <alignment horizontal="center" vertical="center"/>
    </xf>
    <xf numFmtId="0" fontId="0" fillId="0" borderId="20" xfId="0" applyBorder="1" applyAlignment="1">
      <alignment horizontal="center" vertical="center"/>
    </xf>
    <xf numFmtId="0" fontId="0" fillId="0" borderId="0" xfId="0" applyFont="1" applyAlignment="1">
      <alignment horizontal="center" vertical="center"/>
    </xf>
    <xf numFmtId="0" fontId="13" fillId="0" borderId="0"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0" xfId="0" applyFont="1" applyAlignment="1">
      <alignment horizontal="center" vertical="center"/>
    </xf>
    <xf numFmtId="0" fontId="0" fillId="0" borderId="22" xfId="0" applyBorder="1" applyAlignment="1">
      <alignment horizontal="center" vertical="center"/>
    </xf>
    <xf numFmtId="0" fontId="0" fillId="0" borderId="13" xfId="0" applyFont="1" applyBorder="1" applyAlignment="1">
      <alignment horizontal="center" vertical="center"/>
    </xf>
    <xf numFmtId="0" fontId="11" fillId="3" borderId="0" xfId="0" applyFont="1" applyFill="1" applyAlignment="1">
      <alignment horizontal="center" vertical="center" wrapText="1"/>
    </xf>
    <xf numFmtId="171" fontId="0" fillId="0" borderId="10" xfId="21" applyNumberFormat="1" applyBorder="1" applyAlignment="1">
      <alignment horizontal="center" vertical="center"/>
    </xf>
    <xf numFmtId="0" fontId="0" fillId="0" borderId="0" xfId="0" applyBorder="1" applyAlignment="1">
      <alignment horizontal="center" vertical="center" wrapText="1"/>
    </xf>
    <xf numFmtId="171" fontId="0" fillId="0" borderId="1" xfId="15" applyNumberFormat="1" applyBorder="1" applyAlignment="1" quotePrefix="1">
      <alignment horizontal="center" vertical="center" wrapText="1"/>
    </xf>
    <xf numFmtId="0" fontId="0" fillId="0" borderId="22" xfId="0" applyBorder="1" applyAlignment="1">
      <alignment vertical="center"/>
    </xf>
    <xf numFmtId="0" fontId="0" fillId="0" borderId="0" xfId="0" applyAlignment="1">
      <alignment horizontal="center"/>
    </xf>
    <xf numFmtId="0" fontId="0" fillId="0" borderId="22" xfId="0" applyBorder="1" applyAlignment="1">
      <alignment horizontal="right" vertical="center"/>
    </xf>
    <xf numFmtId="0" fontId="11" fillId="0" borderId="2" xfId="0" applyFont="1" applyBorder="1" applyAlignment="1">
      <alignment vertical="center"/>
    </xf>
    <xf numFmtId="0" fontId="4" fillId="0" borderId="1" xfId="0" applyFont="1" applyBorder="1" applyAlignment="1">
      <alignment horizontal="center" vertical="center" wrapText="1"/>
    </xf>
    <xf numFmtId="0" fontId="0" fillId="0" borderId="0" xfId="0" applyFill="1" applyBorder="1" applyAlignment="1">
      <alignment horizontal="center" vertical="center" wrapText="1"/>
    </xf>
    <xf numFmtId="171" fontId="0" fillId="0" borderId="1" xfId="21" applyNumberFormat="1" applyBorder="1" applyAlignment="1">
      <alignment horizontal="center" vertical="center"/>
    </xf>
    <xf numFmtId="0" fontId="0" fillId="0" borderId="13" xfId="0" applyBorder="1" applyAlignment="1">
      <alignment horizontal="center" vertical="center"/>
    </xf>
    <xf numFmtId="0" fontId="4" fillId="0" borderId="1" xfId="0" applyFont="1" applyFill="1" applyBorder="1" applyAlignment="1">
      <alignment horizontal="center" vertical="center" wrapText="1"/>
    </xf>
    <xf numFmtId="0" fontId="0" fillId="0" borderId="16" xfId="0" applyFont="1" applyFill="1" applyBorder="1" applyAlignment="1">
      <alignment horizontal="center" vertical="center" wrapText="1"/>
    </xf>
    <xf numFmtId="3" fontId="0" fillId="0" borderId="16" xfId="15"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4" fillId="0" borderId="22" xfId="0" applyFont="1" applyBorder="1" applyAlignment="1">
      <alignment vertical="center"/>
    </xf>
    <xf numFmtId="0" fontId="4" fillId="0" borderId="10" xfId="0" applyFont="1" applyBorder="1" applyAlignment="1">
      <alignment horizontal="center" vertical="center"/>
    </xf>
    <xf numFmtId="0" fontId="11" fillId="3" borderId="0" xfId="0" applyFont="1" applyFill="1" applyAlignment="1">
      <alignment horizontal="center" vertical="center"/>
    </xf>
    <xf numFmtId="0" fontId="11" fillId="3" borderId="16" xfId="0" applyFont="1" applyFill="1" applyBorder="1" applyAlignment="1">
      <alignment horizontal="center" vertical="center"/>
    </xf>
    <xf numFmtId="0" fontId="0" fillId="0" borderId="0" xfId="0" applyAlignment="1">
      <alignment vertical="top"/>
    </xf>
    <xf numFmtId="0" fontId="0" fillId="0" borderId="0" xfId="0" applyAlignment="1">
      <alignment vertical="top" wrapText="1"/>
    </xf>
    <xf numFmtId="0" fontId="0" fillId="0" borderId="0" xfId="0" applyAlignment="1" quotePrefix="1">
      <alignment horizontal="center" vertical="top"/>
    </xf>
    <xf numFmtId="0" fontId="4" fillId="0" borderId="15" xfId="0" applyFont="1" applyBorder="1" applyAlignment="1">
      <alignment horizontal="center" vertical="center" wrapText="1"/>
    </xf>
    <xf numFmtId="0" fontId="9" fillId="0" borderId="0" xfId="0" applyFont="1" applyAlignment="1">
      <alignment horizontal="left" vertical="top" wrapText="1"/>
    </xf>
    <xf numFmtId="0" fontId="0" fillId="5" borderId="23" xfId="0" applyFont="1" applyFill="1" applyBorder="1" applyAlignment="1" applyProtection="1">
      <alignment horizontal="center" wrapText="1"/>
      <protection locked="0"/>
    </xf>
    <xf numFmtId="0" fontId="0" fillId="5" borderId="24" xfId="0" applyFont="1" applyFill="1" applyBorder="1" applyAlignment="1" applyProtection="1">
      <alignment horizontal="center" wrapText="1"/>
      <protection locked="0"/>
    </xf>
    <xf numFmtId="0" fontId="0" fillId="5" borderId="25" xfId="0" applyFont="1" applyFill="1" applyBorder="1" applyAlignment="1" applyProtection="1">
      <alignment horizontal="center" wrapText="1"/>
      <protection locked="0"/>
    </xf>
    <xf numFmtId="0" fontId="0" fillId="5" borderId="26" xfId="0" applyFont="1" applyFill="1" applyBorder="1" applyAlignment="1" applyProtection="1">
      <alignment horizontal="center" wrapText="1"/>
      <protection locked="0"/>
    </xf>
    <xf numFmtId="0" fontId="0" fillId="5" borderId="27" xfId="0" applyFont="1" applyFill="1" applyBorder="1" applyAlignment="1" applyProtection="1">
      <alignment horizontal="center" wrapText="1"/>
      <protection locked="0"/>
    </xf>
    <xf numFmtId="0" fontId="0" fillId="5" borderId="28" xfId="0" applyFont="1" applyFill="1" applyBorder="1" applyAlignment="1" applyProtection="1">
      <alignment horizontal="center" wrapText="1"/>
      <protection locked="0"/>
    </xf>
    <xf numFmtId="0" fontId="9" fillId="6" borderId="26" xfId="0" applyFont="1" applyFill="1" applyBorder="1" applyAlignment="1" applyProtection="1">
      <alignment horizontal="center" wrapText="1"/>
      <protection locked="0"/>
    </xf>
    <xf numFmtId="0" fontId="9" fillId="6" borderId="27" xfId="0" applyFont="1" applyFill="1" applyBorder="1" applyAlignment="1" applyProtection="1">
      <alignment horizontal="center" wrapText="1"/>
      <protection locked="0"/>
    </xf>
    <xf numFmtId="0" fontId="9" fillId="6" borderId="28" xfId="0" applyFont="1" applyFill="1" applyBorder="1" applyAlignment="1" applyProtection="1">
      <alignment horizontal="center" wrapText="1"/>
      <protection locked="0"/>
    </xf>
    <xf numFmtId="0" fontId="9" fillId="6" borderId="29" xfId="0" applyFont="1" applyFill="1" applyBorder="1" applyAlignment="1" applyProtection="1">
      <alignment horizontal="center" wrapText="1"/>
      <protection locked="0"/>
    </xf>
    <xf numFmtId="0" fontId="9" fillId="6" borderId="30" xfId="0" applyFont="1" applyFill="1" applyBorder="1" applyAlignment="1" applyProtection="1">
      <alignment horizontal="center" wrapText="1"/>
      <protection locked="0"/>
    </xf>
    <xf numFmtId="0" fontId="9" fillId="6" borderId="31" xfId="0" applyFont="1" applyFill="1" applyBorder="1" applyAlignment="1" applyProtection="1">
      <alignment horizontal="center" wrapText="1"/>
      <protection locked="0"/>
    </xf>
    <xf numFmtId="0" fontId="0" fillId="5" borderId="32" xfId="0" applyFont="1" applyFill="1" applyBorder="1" applyAlignment="1" applyProtection="1">
      <alignment horizontal="center" wrapText="1"/>
      <protection locked="0"/>
    </xf>
    <xf numFmtId="0" fontId="0" fillId="5" borderId="33" xfId="0" applyFont="1" applyFill="1" applyBorder="1" applyAlignment="1" applyProtection="1">
      <alignment horizontal="center" wrapText="1"/>
      <protection locked="0"/>
    </xf>
    <xf numFmtId="0" fontId="0" fillId="5" borderId="34" xfId="0" applyFont="1" applyFill="1" applyBorder="1" applyAlignment="1" applyProtection="1">
      <alignment horizontal="center" wrapText="1"/>
      <protection locked="0"/>
    </xf>
    <xf numFmtId="0" fontId="0" fillId="5" borderId="35" xfId="0" applyFont="1" applyFill="1" applyBorder="1" applyAlignment="1" applyProtection="1">
      <alignment horizontal="center" wrapText="1"/>
      <protection locked="0"/>
    </xf>
    <xf numFmtId="0" fontId="9" fillId="6" borderId="34" xfId="0" applyFont="1" applyFill="1" applyBorder="1" applyAlignment="1" applyProtection="1">
      <alignment horizontal="center" wrapText="1"/>
      <protection locked="0"/>
    </xf>
    <xf numFmtId="0" fontId="9" fillId="6" borderId="35" xfId="0" applyFont="1" applyFill="1" applyBorder="1" applyAlignment="1" applyProtection="1">
      <alignment horizontal="center" wrapText="1"/>
      <protection locked="0"/>
    </xf>
    <xf numFmtId="0" fontId="9" fillId="6" borderId="36" xfId="0" applyFont="1" applyFill="1" applyBorder="1" applyAlignment="1" applyProtection="1">
      <alignment horizontal="center" wrapText="1"/>
      <protection locked="0"/>
    </xf>
    <xf numFmtId="0" fontId="9" fillId="6" borderId="37" xfId="0" applyFont="1" applyFill="1" applyBorder="1" applyAlignment="1" applyProtection="1">
      <alignment horizontal="center" wrapText="1"/>
      <protection locked="0"/>
    </xf>
    <xf numFmtId="0" fontId="0" fillId="5" borderId="38"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5" borderId="1" xfId="0" applyFill="1" applyBorder="1" applyAlignment="1" applyProtection="1">
      <alignment horizontal="center" vertical="center" wrapText="1"/>
      <protection locked="0"/>
    </xf>
    <xf numFmtId="171" fontId="7" fillId="0" borderId="14" xfId="0" applyNumberFormat="1" applyFont="1" applyFill="1" applyBorder="1" applyAlignment="1">
      <alignment horizontal="center" vertical="center" wrapText="1"/>
    </xf>
    <xf numFmtId="171" fontId="7" fillId="0" borderId="15" xfId="0" applyNumberFormat="1" applyFont="1" applyFill="1" applyBorder="1" applyAlignment="1">
      <alignment horizontal="center" vertical="center" wrapText="1"/>
    </xf>
    <xf numFmtId="0" fontId="13" fillId="3" borderId="1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5" fillId="0" borderId="0" xfId="0" applyFont="1" applyFill="1" applyAlignment="1">
      <alignment horizontal="center" vertical="center"/>
    </xf>
    <xf numFmtId="0" fontId="15" fillId="0" borderId="22" xfId="0" applyFont="1" applyFill="1" applyBorder="1" applyAlignment="1">
      <alignment horizontal="center" vertical="center"/>
    </xf>
    <xf numFmtId="171" fontId="0" fillId="0" borderId="14" xfId="0" applyNumberFormat="1" applyFont="1" applyFill="1" applyBorder="1" applyAlignment="1">
      <alignment horizontal="center" vertical="center" wrapText="1"/>
    </xf>
    <xf numFmtId="171" fontId="0" fillId="0" borderId="15" xfId="0" applyNumberFormat="1"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4" fillId="0" borderId="1" xfId="0" applyFont="1" applyBorder="1" applyAlignment="1">
      <alignment horizontal="center" vertical="center" wrapText="1"/>
    </xf>
    <xf numFmtId="0" fontId="13" fillId="3" borderId="0" xfId="0" applyFont="1" applyFill="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center" wrapText="1"/>
    </xf>
    <xf numFmtId="0" fontId="18" fillId="0" borderId="8"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39"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ont="1" applyFill="1" applyBorder="1" applyAlignment="1">
      <alignment horizont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 xfId="0" applyFont="1" applyFill="1" applyBorder="1" applyAlignment="1">
      <alignment horizontal="center" wrapText="1"/>
    </xf>
    <xf numFmtId="0" fontId="0" fillId="0" borderId="0" xfId="0" applyFont="1" applyFill="1" applyAlignment="1">
      <alignment horizontal="left"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17" fillId="0" borderId="8" xfId="0" applyFont="1" applyBorder="1" applyAlignment="1">
      <alignment horizontal="center" vertical="center"/>
    </xf>
    <xf numFmtId="0" fontId="17" fillId="0" borderId="40" xfId="0" applyFont="1" applyBorder="1" applyAlignment="1">
      <alignment horizontal="center" vertical="center"/>
    </xf>
    <xf numFmtId="0" fontId="17" fillId="0" borderId="39" xfId="0" applyFont="1" applyBorder="1" applyAlignment="1">
      <alignment horizontal="center" vertical="center"/>
    </xf>
    <xf numFmtId="0" fontId="4" fillId="0" borderId="2" xfId="0" applyFont="1" applyBorder="1" applyAlignment="1" quotePrefix="1">
      <alignment horizontal="center" vertical="center"/>
    </xf>
    <xf numFmtId="0" fontId="4" fillId="0" borderId="0" xfId="0" applyFont="1" applyBorder="1" applyAlignment="1" quotePrefix="1">
      <alignment horizontal="center" vertical="center"/>
    </xf>
    <xf numFmtId="0" fontId="4" fillId="0" borderId="19" xfId="0" applyFont="1" applyBorder="1" applyAlignment="1" quotePrefix="1">
      <alignment horizontal="center" vertical="center"/>
    </xf>
    <xf numFmtId="171" fontId="4" fillId="0" borderId="10" xfId="0" applyNumberFormat="1" applyFont="1" applyBorder="1" applyAlignment="1">
      <alignment horizontal="center" vertical="center"/>
    </xf>
    <xf numFmtId="171" fontId="4" fillId="0" borderId="22" xfId="0" applyNumberFormat="1" applyFont="1" applyBorder="1" applyAlignment="1">
      <alignment horizontal="center" vertical="center"/>
    </xf>
    <xf numFmtId="171" fontId="4" fillId="0" borderId="20" xfId="0" applyNumberFormat="1" applyFont="1" applyBorder="1" applyAlignment="1">
      <alignment horizontal="center" vertical="center"/>
    </xf>
    <xf numFmtId="171" fontId="11" fillId="0" borderId="0" xfId="0" applyNumberFormat="1" applyFont="1" applyBorder="1" applyAlignment="1">
      <alignment horizontal="center" vertical="center"/>
    </xf>
    <xf numFmtId="171" fontId="4" fillId="0" borderId="40" xfId="0" applyNumberFormat="1" applyFont="1" applyBorder="1" applyAlignment="1">
      <alignment horizontal="center" vertical="center"/>
    </xf>
    <xf numFmtId="171" fontId="4" fillId="0" borderId="39" xfId="0" applyNumberFormat="1" applyFont="1" applyBorder="1" applyAlignment="1">
      <alignment horizontal="center" vertical="center"/>
    </xf>
    <xf numFmtId="0" fontId="4" fillId="0" borderId="22" xfId="0" applyFont="1" applyBorder="1" applyAlignment="1">
      <alignment horizontal="center" vertical="center"/>
    </xf>
    <xf numFmtId="0" fontId="6" fillId="0" borderId="41" xfId="0" applyFont="1" applyBorder="1" applyAlignment="1">
      <alignment horizontal="center" vertical="center"/>
    </xf>
    <xf numFmtId="0" fontId="0" fillId="0" borderId="8" xfId="0" applyBorder="1" applyAlignment="1">
      <alignment horizontal="center"/>
    </xf>
    <xf numFmtId="0" fontId="0" fillId="0" borderId="10" xfId="0" applyBorder="1" applyAlignment="1">
      <alignment horizontal="center"/>
    </xf>
    <xf numFmtId="0" fontId="11" fillId="3" borderId="42" xfId="0" applyFont="1" applyFill="1" applyBorder="1" applyAlignment="1">
      <alignment horizontal="center" vertical="center"/>
    </xf>
    <xf numFmtId="0" fontId="11" fillId="3" borderId="43" xfId="0" applyFont="1" applyFill="1" applyBorder="1" applyAlignment="1">
      <alignment horizontal="center" vertical="center"/>
    </xf>
    <xf numFmtId="171" fontId="4" fillId="0" borderId="44" xfId="0" applyNumberFormat="1" applyFont="1" applyBorder="1" applyAlignment="1">
      <alignment horizontal="center" vertical="center"/>
    </xf>
    <xf numFmtId="171" fontId="4" fillId="0" borderId="45" xfId="0" applyNumberFormat="1" applyFont="1" applyBorder="1" applyAlignment="1">
      <alignment horizontal="center" vertical="center"/>
    </xf>
    <xf numFmtId="0" fontId="19" fillId="0" borderId="0" xfId="0" applyFont="1" applyAlignment="1">
      <alignment horizontal="center" vertical="center"/>
    </xf>
    <xf numFmtId="0" fontId="6" fillId="0" borderId="0" xfId="0" applyFont="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0" fillId="0" borderId="2" xfId="0" applyFont="1" applyBorder="1" applyAlignment="1" quotePrefix="1">
      <alignment horizontal="center" vertical="center"/>
    </xf>
    <xf numFmtId="0" fontId="0" fillId="0" borderId="0" xfId="0" applyFont="1" applyBorder="1" applyAlignment="1" quotePrefix="1">
      <alignment horizontal="center" vertical="center"/>
    </xf>
    <xf numFmtId="0" fontId="0" fillId="0" borderId="19" xfId="0" applyFont="1" applyBorder="1" applyAlignment="1" quotePrefix="1">
      <alignment horizontal="center" vertical="center"/>
    </xf>
    <xf numFmtId="0" fontId="6" fillId="0" borderId="10" xfId="0" applyFont="1" applyBorder="1"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4" fillId="0" borderId="0" xfId="0" applyFont="1" applyFill="1" applyAlignment="1">
      <alignment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2" xfId="0" applyBorder="1" applyAlignment="1">
      <alignment horizontal="right" vertical="center"/>
    </xf>
    <xf numFmtId="0" fontId="0" fillId="0" borderId="0" xfId="0" applyBorder="1" applyAlignment="1">
      <alignment horizontal="right" vertical="center"/>
    </xf>
    <xf numFmtId="0" fontId="0" fillId="0" borderId="22" xfId="0" applyBorder="1" applyAlignment="1">
      <alignment horizontal="left" vertical="center"/>
    </xf>
    <xf numFmtId="0" fontId="4" fillId="0" borderId="0" xfId="0" applyFont="1" applyAlignment="1">
      <alignment horizontal="center" vertical="center"/>
    </xf>
    <xf numFmtId="0" fontId="12" fillId="3" borderId="0" xfId="0" applyFont="1" applyFill="1" applyAlignment="1">
      <alignment horizontal="center" vertical="center"/>
    </xf>
    <xf numFmtId="171" fontId="0" fillId="0" borderId="16" xfId="15" applyNumberFormat="1" applyFill="1" applyBorder="1" applyAlignment="1">
      <alignment horizontal="center" vertical="center"/>
    </xf>
    <xf numFmtId="171" fontId="0" fillId="0" borderId="15" xfId="15" applyNumberFormat="1" applyFill="1" applyBorder="1" applyAlignment="1">
      <alignment horizontal="center" vertical="center"/>
    </xf>
    <xf numFmtId="171" fontId="0" fillId="0" borderId="16" xfId="0" applyNumberFormat="1" applyFill="1" applyBorder="1" applyAlignment="1">
      <alignment horizontal="center" vertical="center"/>
    </xf>
    <xf numFmtId="171" fontId="0" fillId="0" borderId="15" xfId="0" applyNumberFormat="1" applyFill="1" applyBorder="1" applyAlignment="1">
      <alignment horizontal="center" vertical="center"/>
    </xf>
    <xf numFmtId="0" fontId="4" fillId="0" borderId="8" xfId="0" applyFont="1" applyBorder="1" applyAlignment="1">
      <alignment horizontal="center" vertical="center"/>
    </xf>
    <xf numFmtId="0" fontId="4" fillId="0" borderId="40" xfId="0" applyFont="1"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4" fillId="0" borderId="39" xfId="0" applyFont="1" applyBorder="1" applyAlignment="1">
      <alignment horizontal="center" vertical="center"/>
    </xf>
    <xf numFmtId="0" fontId="0" fillId="0" borderId="20" xfId="0" applyBorder="1" applyAlignment="1">
      <alignment horizontal="center" vertical="center"/>
    </xf>
    <xf numFmtId="0" fontId="0" fillId="0" borderId="4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7"/>
  <sheetViews>
    <sheetView tabSelected="1" workbookViewId="0" topLeftCell="A1">
      <selection activeCell="A1" sqref="A1"/>
    </sheetView>
  </sheetViews>
  <sheetFormatPr defaultColWidth="9.140625" defaultRowHeight="12.75"/>
  <cols>
    <col min="1" max="1" width="3.421875" style="90" customWidth="1"/>
    <col min="2" max="2" width="101.8515625" style="0" customWidth="1"/>
  </cols>
  <sheetData>
    <row r="1" ht="30.75" customHeight="1">
      <c r="B1" s="82" t="s">
        <v>91</v>
      </c>
    </row>
    <row r="2" spans="1:10" s="108" customFormat="1" ht="66" customHeight="1">
      <c r="A2" s="110"/>
      <c r="B2" s="112" t="s">
        <v>101</v>
      </c>
      <c r="C2" s="109"/>
      <c r="D2" s="109"/>
      <c r="E2" s="109"/>
      <c r="F2" s="109"/>
      <c r="G2" s="109"/>
      <c r="H2" s="109"/>
      <c r="I2" s="109"/>
      <c r="J2" s="109"/>
    </row>
    <row r="3" spans="1:10" ht="81" customHeight="1">
      <c r="A3" s="110" t="s">
        <v>92</v>
      </c>
      <c r="B3" s="109" t="s">
        <v>100</v>
      </c>
      <c r="C3" s="109"/>
      <c r="D3" s="109"/>
      <c r="E3" s="109"/>
      <c r="F3" s="109"/>
      <c r="G3" s="109"/>
      <c r="H3" s="109"/>
      <c r="I3" s="109"/>
      <c r="J3" s="109"/>
    </row>
    <row r="4" spans="1:10" ht="56.25" customHeight="1">
      <c r="A4" s="110" t="s">
        <v>93</v>
      </c>
      <c r="B4" s="109" t="s">
        <v>99</v>
      </c>
      <c r="C4" s="109"/>
      <c r="D4" s="109"/>
      <c r="E4" s="109"/>
      <c r="F4" s="109"/>
      <c r="G4" s="109"/>
      <c r="H4" s="109"/>
      <c r="I4" s="109"/>
      <c r="J4" s="109"/>
    </row>
    <row r="5" spans="1:10" ht="56.25" customHeight="1">
      <c r="A5" s="110" t="s">
        <v>94</v>
      </c>
      <c r="B5" s="109" t="s">
        <v>97</v>
      </c>
      <c r="C5" s="109"/>
      <c r="D5" s="109"/>
      <c r="E5" s="109"/>
      <c r="F5" s="109"/>
      <c r="G5" s="109"/>
      <c r="H5" s="109"/>
      <c r="I5" s="109"/>
      <c r="J5" s="109"/>
    </row>
    <row r="6" spans="1:10" ht="102.75" customHeight="1">
      <c r="A6" s="110" t="s">
        <v>95</v>
      </c>
      <c r="B6" s="109" t="s">
        <v>98</v>
      </c>
      <c r="C6" s="109"/>
      <c r="D6" s="109"/>
      <c r="E6" s="109"/>
      <c r="F6" s="109"/>
      <c r="G6" s="109"/>
      <c r="H6" s="109"/>
      <c r="I6" s="109"/>
      <c r="J6" s="109"/>
    </row>
    <row r="7" spans="1:10" ht="31.5" customHeight="1">
      <c r="A7" s="110" t="s">
        <v>96</v>
      </c>
      <c r="B7" s="109" t="s">
        <v>90</v>
      </c>
      <c r="C7" s="109"/>
      <c r="D7" s="109"/>
      <c r="E7" s="109"/>
      <c r="F7" s="109"/>
      <c r="G7" s="109"/>
      <c r="H7" s="109"/>
      <c r="I7" s="109"/>
      <c r="J7" s="109"/>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3:H20"/>
  <sheetViews>
    <sheetView zoomScale="90" zoomScaleNormal="90" workbookViewId="0" topLeftCell="A1">
      <selection activeCell="C4" sqref="C4"/>
    </sheetView>
  </sheetViews>
  <sheetFormatPr defaultColWidth="9.140625" defaultRowHeight="12.75"/>
  <cols>
    <col min="1" max="1" width="9.140625" style="63" customWidth="1"/>
    <col min="2" max="4" width="29.00390625" style="63" customWidth="1"/>
    <col min="5" max="5" width="6.8515625" style="63" customWidth="1"/>
    <col min="6" max="6" width="23.28125" style="63" customWidth="1"/>
    <col min="7" max="8" width="13.00390625" style="63" customWidth="1"/>
    <col min="9" max="16384" width="9.140625" style="63" customWidth="1"/>
  </cols>
  <sheetData>
    <row r="3" spans="2:4" ht="17.25" customHeight="1">
      <c r="B3" s="155" t="s">
        <v>17</v>
      </c>
      <c r="C3" s="155"/>
      <c r="D3" s="155"/>
    </row>
    <row r="4" spans="2:4" ht="15.75" customHeight="1">
      <c r="B4" s="71" t="s">
        <v>67</v>
      </c>
      <c r="C4" s="137"/>
      <c r="D4" s="111" t="str">
        <f>IF(C4="Y","High School",IF(C4="N","Elementary/Middle","NA"))</f>
        <v>NA</v>
      </c>
    </row>
    <row r="5" spans="2:4" ht="15.75" customHeight="1">
      <c r="B5" s="71" t="s">
        <v>81</v>
      </c>
      <c r="C5" s="137"/>
      <c r="D5" s="111" t="str">
        <f>IF(C5="Y","Met",IF(C5="N","Not Met","NA"))</f>
        <v>NA</v>
      </c>
    </row>
    <row r="6" spans="2:4" ht="15.75" customHeight="1">
      <c r="B6" s="87"/>
      <c r="C6" s="94"/>
      <c r="D6" s="87"/>
    </row>
    <row r="7" spans="2:8" ht="15.75" customHeight="1">
      <c r="B7" s="85" t="s">
        <v>76</v>
      </c>
      <c r="C7" s="106" t="s">
        <v>8</v>
      </c>
      <c r="D7" s="106" t="s">
        <v>27</v>
      </c>
      <c r="F7"/>
      <c r="G7"/>
      <c r="H7"/>
    </row>
    <row r="8" spans="2:8" ht="15.75" customHeight="1">
      <c r="B8" s="58" t="s">
        <v>77</v>
      </c>
      <c r="C8" s="136"/>
      <c r="D8" s="136"/>
      <c r="F8"/>
      <c r="G8"/>
      <c r="H8"/>
    </row>
    <row r="9" spans="6:8" ht="32.25" customHeight="1">
      <c r="F9"/>
      <c r="G9"/>
      <c r="H9"/>
    </row>
    <row r="10" spans="2:8" ht="31.5" customHeight="1">
      <c r="B10" s="154" t="s">
        <v>44</v>
      </c>
      <c r="C10" s="154"/>
      <c r="D10" s="64" t="s">
        <v>45</v>
      </c>
      <c r="F10"/>
      <c r="G10"/>
      <c r="H10"/>
    </row>
    <row r="11" spans="2:8" ht="24.75" customHeight="1">
      <c r="B11" s="66" t="s">
        <v>28</v>
      </c>
      <c r="C11" s="66" t="str">
        <f>'Achievement Index'!O49</f>
        <v>NA</v>
      </c>
      <c r="D11" s="81" t="str">
        <f>'Achievement Index'!O2</f>
        <v>Not Rated</v>
      </c>
      <c r="E11" s="68">
        <f>IF(D11="Outstanding",3,IF(D11="Satisfactory",2,IF(D11="In Need of Improvement",1,0)))</f>
        <v>0</v>
      </c>
      <c r="F11"/>
      <c r="G11"/>
      <c r="H11"/>
    </row>
    <row r="12" spans="2:8" ht="24.75" customHeight="1">
      <c r="B12" s="66" t="str">
        <f>CONCATENATE('Other Indicators'!M11," Rate")</f>
        <v>Attendance Rate</v>
      </c>
      <c r="C12" s="88" t="str">
        <f>'Other Indicators'!H6</f>
        <v>NA</v>
      </c>
      <c r="D12" s="81" t="str">
        <f>CONCATENATE('Other Indicators'!F7)</f>
        <v>Not Rated</v>
      </c>
      <c r="E12" s="68">
        <f>IF(D12="Outstanding",3,IF(D12="Satisfactory",2,IF(D12="In Need of Improvement",1,0)))</f>
        <v>0</v>
      </c>
      <c r="F12"/>
      <c r="G12"/>
      <c r="H12"/>
    </row>
    <row r="13" spans="2:8" ht="24.75" customHeight="1">
      <c r="B13" s="66" t="s">
        <v>47</v>
      </c>
      <c r="C13" s="66" t="str">
        <f>'Other Indicators'!J27</f>
        <v>NA</v>
      </c>
      <c r="D13" s="81" t="str">
        <f>CONCATENATE('Other Indicators'!I27)</f>
        <v>Not Rated</v>
      </c>
      <c r="E13" s="68">
        <f>IF(D13="Outstanding",3,IF(D13="Satisfactory",2,IF(D13="In Need of Improvement",1,0)))</f>
        <v>0</v>
      </c>
      <c r="F13"/>
      <c r="G13"/>
      <c r="H13"/>
    </row>
    <row r="14" spans="2:8" ht="24.75" customHeight="1">
      <c r="B14" s="66" t="s">
        <v>56</v>
      </c>
      <c r="C14" s="103" t="str">
        <f>D5</f>
        <v>NA</v>
      </c>
      <c r="D14" s="93" t="str">
        <f>IF(C14="Met","Overall Rating can be no lower than Satisfactory",IF(C14="Not Met","No Effect on School Rating","NA"))</f>
        <v>NA</v>
      </c>
      <c r="E14" s="68">
        <f>MIN(E11:E13)</f>
        <v>0</v>
      </c>
      <c r="F14"/>
      <c r="G14"/>
      <c r="H14"/>
    </row>
    <row r="15" spans="2:8" ht="24.75" customHeight="1">
      <c r="B15" s="67" t="s">
        <v>57</v>
      </c>
      <c r="C15" s="153" t="str">
        <f>IF(E15=3,"Outstanding",IF(E15=2,"Satisfactory",IF(E15=1,"In Need of Improvement","Not Rated")))</f>
        <v>Not Rated</v>
      </c>
      <c r="D15" s="153"/>
      <c r="E15" s="68">
        <f>IF(AND(E14=1,C14="Met"),2,E14)</f>
        <v>0</v>
      </c>
      <c r="F15"/>
      <c r="G15"/>
      <c r="H15"/>
    </row>
    <row r="16" ht="12.75">
      <c r="E16" s="68"/>
    </row>
    <row r="17" spans="2:4" ht="12.75">
      <c r="B17" s="156" t="s">
        <v>86</v>
      </c>
      <c r="C17" s="156"/>
      <c r="D17" s="156"/>
    </row>
    <row r="18" spans="2:4" ht="12.75">
      <c r="B18" s="156" t="s">
        <v>88</v>
      </c>
      <c r="C18" s="156"/>
      <c r="D18" s="156"/>
    </row>
    <row r="19" spans="2:4" ht="12.75">
      <c r="B19" s="156" t="s">
        <v>89</v>
      </c>
      <c r="C19" s="156"/>
      <c r="D19" s="156"/>
    </row>
    <row r="20" spans="2:4" ht="12.75">
      <c r="B20" s="156" t="s">
        <v>85</v>
      </c>
      <c r="C20" s="156"/>
      <c r="D20" s="156"/>
    </row>
  </sheetData>
  <sheetProtection password="CFF5" sheet="1" objects="1" scenarios="1"/>
  <protectedRanges>
    <protectedRange sqref="C8:D8" name="Range2"/>
    <protectedRange sqref="C4:C5" name="Range1"/>
  </protectedRanges>
  <mergeCells count="7">
    <mergeCell ref="C15:D15"/>
    <mergeCell ref="B10:C10"/>
    <mergeCell ref="B3:D3"/>
    <mergeCell ref="B20:D20"/>
    <mergeCell ref="B17:D17"/>
    <mergeCell ref="B18:D18"/>
    <mergeCell ref="B19:D19"/>
  </mergeCells>
  <printOptions/>
  <pageMargins left="0.75" right="0.75" top="1" bottom="1" header="0.5" footer="0.5"/>
  <pageSetup fitToHeight="1" fitToWidth="1" horizontalDpi="600" verticalDpi="600" orientation="portrait" scale="88" r:id="rId1"/>
</worksheet>
</file>

<file path=xl/worksheets/sheet3.xml><?xml version="1.0" encoding="utf-8"?>
<worksheet xmlns="http://schemas.openxmlformats.org/spreadsheetml/2006/main" xmlns:r="http://schemas.openxmlformats.org/officeDocument/2006/relationships">
  <sheetPr>
    <pageSetUpPr fitToPage="1"/>
  </sheetPr>
  <dimension ref="A1:P54"/>
  <sheetViews>
    <sheetView zoomScale="80" zoomScaleNormal="80" workbookViewId="0" topLeftCell="A1">
      <selection activeCell="C13" sqref="C13"/>
    </sheetView>
  </sheetViews>
  <sheetFormatPr defaultColWidth="9.140625" defaultRowHeight="12.75"/>
  <cols>
    <col min="1" max="1" width="5.421875" style="24" customWidth="1"/>
    <col min="2" max="2" width="31.28125" style="24" customWidth="1"/>
    <col min="3" max="14" width="9.57421875" style="37" customWidth="1"/>
    <col min="15" max="15" width="11.28125" style="24" customWidth="1"/>
    <col min="16" max="16" width="7.140625" style="24" customWidth="1"/>
    <col min="17" max="16384" width="9.140625" style="24" customWidth="1"/>
  </cols>
  <sheetData>
    <row r="1" spans="3:14" s="41" customFormat="1" ht="12.75">
      <c r="C1" s="72"/>
      <c r="D1" s="72"/>
      <c r="E1" s="72"/>
      <c r="F1" s="72"/>
      <c r="G1" s="72"/>
      <c r="H1" s="72"/>
      <c r="I1" s="72"/>
      <c r="J1" s="72"/>
      <c r="K1" s="72"/>
      <c r="L1" s="72"/>
      <c r="M1" s="72"/>
      <c r="N1" s="72"/>
    </row>
    <row r="2" spans="1:15" s="41" customFormat="1" ht="20.25" customHeight="1">
      <c r="A2" s="1"/>
      <c r="C2" s="157" t="str">
        <f>CONCATENATE("Achievement Index Rating: ",O2)</f>
        <v>Achievement Index Rating: Not Rated</v>
      </c>
      <c r="D2" s="158"/>
      <c r="E2" s="158"/>
      <c r="F2" s="158"/>
      <c r="G2" s="158"/>
      <c r="H2" s="158"/>
      <c r="I2" s="158"/>
      <c r="J2" s="158"/>
      <c r="K2" s="158"/>
      <c r="L2" s="158"/>
      <c r="M2" s="158"/>
      <c r="N2" s="159"/>
      <c r="O2" s="80" t="str">
        <f>IF(H13+N13+H33+N33&gt;=80,IF(Improvement!H3="Improved",IF(O49&gt;=H8,"Outstanding","Satisfactory"),IF(O49&gt;=K8,"Outstanding",IF(O49&gt;=H8,"Satisfactory","In Need of Improvement"))),"Not Rated")</f>
        <v>Not Rated</v>
      </c>
    </row>
    <row r="3" spans="3:14" s="41" customFormat="1" ht="22.5" customHeight="1">
      <c r="C3" s="165" t="s">
        <v>58</v>
      </c>
      <c r="D3" s="166"/>
      <c r="E3" s="166"/>
      <c r="F3" s="166"/>
      <c r="G3" s="166"/>
      <c r="H3" s="166"/>
      <c r="I3" s="166"/>
      <c r="J3" s="166"/>
      <c r="K3" s="166"/>
      <c r="L3" s="166"/>
      <c r="M3" s="166"/>
      <c r="N3" s="74"/>
    </row>
    <row r="4" spans="3:14" s="41" customFormat="1" ht="21.75" customHeight="1">
      <c r="C4" s="160" t="str">
        <f>IF(OR(O28="NA",O48="NA"),"= NA",CONCATENATE("               = ( ",FIXED(O28,1)," + ",FIXED(O48,1)," ) / 2 = ",FIXED(O49,1)))</f>
        <v>= NA</v>
      </c>
      <c r="D4" s="161"/>
      <c r="E4" s="161"/>
      <c r="F4" s="161"/>
      <c r="G4" s="161"/>
      <c r="H4" s="161"/>
      <c r="I4" s="161"/>
      <c r="J4" s="161"/>
      <c r="K4" s="161"/>
      <c r="L4" s="161"/>
      <c r="M4" s="161"/>
      <c r="N4" s="162"/>
    </row>
    <row r="5" spans="3:14" s="41" customFormat="1" ht="18.75" customHeight="1">
      <c r="C5" s="163" t="s">
        <v>59</v>
      </c>
      <c r="D5" s="163"/>
      <c r="E5" s="163"/>
      <c r="F5" s="163" t="s">
        <v>23</v>
      </c>
      <c r="G5" s="163"/>
      <c r="H5" s="163"/>
      <c r="I5" s="163" t="s">
        <v>22</v>
      </c>
      <c r="J5" s="163"/>
      <c r="K5" s="163"/>
      <c r="L5" s="163" t="s">
        <v>21</v>
      </c>
      <c r="M5" s="163"/>
      <c r="N5" s="163"/>
    </row>
    <row r="6" spans="3:14" s="41" customFormat="1" ht="19.5" customHeight="1">
      <c r="C6" s="164" t="s">
        <v>60</v>
      </c>
      <c r="D6" s="164"/>
      <c r="E6" s="164"/>
      <c r="F6" s="164" t="str">
        <f>CONCATENATE("Less than ",H8,".0")</f>
        <v>Less than 60.0</v>
      </c>
      <c r="G6" s="164"/>
      <c r="H6" s="164"/>
      <c r="I6" s="164" t="str">
        <f>CONCATENATE(H8,".0 to ",K8)</f>
        <v>60.0 to 89.9</v>
      </c>
      <c r="J6" s="164"/>
      <c r="K6" s="164"/>
      <c r="L6" s="164" t="str">
        <f>CONCATENATE(L8,".0 or Higher")</f>
        <v>90.0 or Higher</v>
      </c>
      <c r="M6" s="164"/>
      <c r="N6" s="164"/>
    </row>
    <row r="7" spans="3:14" s="41" customFormat="1" ht="16.5" customHeight="1">
      <c r="C7" s="65"/>
      <c r="D7" s="167">
        <f>IF(AND(Improvement!H3="Improved",O49&lt;L8),"* - Achievement Rating has been raised due to Improvement","")</f>
      </c>
      <c r="E7" s="167"/>
      <c r="F7" s="167"/>
      <c r="G7" s="167"/>
      <c r="H7" s="167"/>
      <c r="I7" s="167"/>
      <c r="J7" s="167"/>
      <c r="K7" s="167"/>
      <c r="L7" s="167"/>
      <c r="M7" s="167"/>
      <c r="N7" s="65"/>
    </row>
    <row r="8" spans="8:12" ht="12.75">
      <c r="H8" s="76">
        <f>IF('Overall Rating'!$C$4="Y",50,60)</f>
        <v>60</v>
      </c>
      <c r="K8" s="75">
        <f>IF('Overall Rating'!$C$4="Y",79.9,89.9)</f>
        <v>89.9</v>
      </c>
      <c r="L8" s="75">
        <f>IF('Overall Rating'!$C$4="Y",80,90)</f>
        <v>90</v>
      </c>
    </row>
    <row r="9" spans="3:14" s="39" customFormat="1" ht="20.25" customHeight="1">
      <c r="C9" s="140" t="s">
        <v>8</v>
      </c>
      <c r="D9" s="146"/>
      <c r="E9" s="146"/>
      <c r="F9" s="146"/>
      <c r="G9" s="146"/>
      <c r="H9" s="147"/>
      <c r="I9" s="146" t="s">
        <v>27</v>
      </c>
      <c r="J9" s="146"/>
      <c r="K9" s="146"/>
      <c r="L9" s="146"/>
      <c r="M9" s="146"/>
      <c r="N9" s="147"/>
    </row>
    <row r="10" spans="2:15" ht="14.25" customHeight="1">
      <c r="B10" s="142" t="s">
        <v>9</v>
      </c>
      <c r="C10" s="150" t="s">
        <v>11</v>
      </c>
      <c r="D10" s="151"/>
      <c r="E10" s="170" t="s">
        <v>14</v>
      </c>
      <c r="F10" s="171"/>
      <c r="G10" s="172"/>
      <c r="H10" s="168" t="s">
        <v>36</v>
      </c>
      <c r="I10" s="150" t="s">
        <v>11</v>
      </c>
      <c r="J10" s="151"/>
      <c r="K10" s="170" t="s">
        <v>14</v>
      </c>
      <c r="L10" s="171"/>
      <c r="M10" s="172"/>
      <c r="N10" s="168" t="s">
        <v>36</v>
      </c>
      <c r="O10" s="41"/>
    </row>
    <row r="11" spans="2:15" ht="14.25" customHeight="1">
      <c r="B11" s="142"/>
      <c r="C11" s="148" t="s">
        <v>12</v>
      </c>
      <c r="D11" s="173" t="s">
        <v>13</v>
      </c>
      <c r="E11" s="175" t="s">
        <v>38</v>
      </c>
      <c r="F11" s="176"/>
      <c r="G11" s="177"/>
      <c r="H11" s="178"/>
      <c r="I11" s="148" t="s">
        <v>12</v>
      </c>
      <c r="J11" s="173" t="s">
        <v>13</v>
      </c>
      <c r="K11" s="175" t="s">
        <v>38</v>
      </c>
      <c r="L11" s="176"/>
      <c r="M11" s="177"/>
      <c r="N11" s="178"/>
      <c r="O11" s="168" t="s">
        <v>25</v>
      </c>
    </row>
    <row r="12" spans="2:15" ht="20.25" customHeight="1">
      <c r="B12" s="143"/>
      <c r="C12" s="149"/>
      <c r="D12" s="174"/>
      <c r="E12" s="40" t="s">
        <v>39</v>
      </c>
      <c r="F12" s="42" t="s">
        <v>40</v>
      </c>
      <c r="G12" s="43" t="s">
        <v>41</v>
      </c>
      <c r="H12" s="169"/>
      <c r="I12" s="149"/>
      <c r="J12" s="174"/>
      <c r="K12" s="40" t="s">
        <v>39</v>
      </c>
      <c r="L12" s="42" t="s">
        <v>40</v>
      </c>
      <c r="M12" s="43" t="s">
        <v>41</v>
      </c>
      <c r="N12" s="169"/>
      <c r="O12" s="169"/>
    </row>
    <row r="13" spans="2:15" ht="13.5" customHeight="1">
      <c r="B13" s="25" t="s">
        <v>0</v>
      </c>
      <c r="C13" s="113"/>
      <c r="D13" s="114"/>
      <c r="E13" s="113"/>
      <c r="F13" s="115"/>
      <c r="G13" s="114"/>
      <c r="H13" s="47">
        <f>SUM(C13:G13)</f>
        <v>0</v>
      </c>
      <c r="I13" s="113"/>
      <c r="J13" s="114"/>
      <c r="K13" s="125"/>
      <c r="L13" s="115"/>
      <c r="M13" s="126"/>
      <c r="N13" s="52">
        <f>SUM(I13:M13)</f>
        <v>0</v>
      </c>
      <c r="O13" s="51" t="str">
        <f>IF(H13+N13&gt;0,ROUND((133*(C13+I13)+100*(D13+E13+J13+K13))/(H13+N13),1),"NA")</f>
        <v>NA</v>
      </c>
    </row>
    <row r="14" spans="2:15" ht="13.5" customHeight="1">
      <c r="B14" s="27" t="s">
        <v>1</v>
      </c>
      <c r="C14" s="116"/>
      <c r="D14" s="117"/>
      <c r="E14" s="116"/>
      <c r="F14" s="118"/>
      <c r="G14" s="117"/>
      <c r="H14" s="48">
        <f aca="true" t="shared" si="0" ref="H14:H25">SUM(C14:G14)</f>
        <v>0</v>
      </c>
      <c r="I14" s="116"/>
      <c r="J14" s="117"/>
      <c r="K14" s="127"/>
      <c r="L14" s="118"/>
      <c r="M14" s="128"/>
      <c r="N14" s="53">
        <f aca="true" t="shared" si="1" ref="N14:N22">SUM(I14:M14)</f>
        <v>0</v>
      </c>
      <c r="O14" s="51" t="str">
        <f aca="true" t="shared" si="2" ref="O14:O22">IF(H14+N14&gt;0,ROUND((133*(C14+I14)+100*(D14+E14+J14+K14))/(H14+N14),1),"NA")</f>
        <v>NA</v>
      </c>
    </row>
    <row r="15" spans="2:15" ht="13.5" customHeight="1">
      <c r="B15" s="27" t="s">
        <v>2</v>
      </c>
      <c r="C15" s="116"/>
      <c r="D15" s="117"/>
      <c r="E15" s="116"/>
      <c r="F15" s="118"/>
      <c r="G15" s="117"/>
      <c r="H15" s="48">
        <f t="shared" si="0"/>
        <v>0</v>
      </c>
      <c r="I15" s="116"/>
      <c r="J15" s="117"/>
      <c r="K15" s="127"/>
      <c r="L15" s="118"/>
      <c r="M15" s="128"/>
      <c r="N15" s="53">
        <f t="shared" si="1"/>
        <v>0</v>
      </c>
      <c r="O15" s="51" t="str">
        <f t="shared" si="2"/>
        <v>NA</v>
      </c>
    </row>
    <row r="16" spans="2:15" ht="13.5" customHeight="1">
      <c r="B16" s="27" t="s">
        <v>3</v>
      </c>
      <c r="C16" s="116"/>
      <c r="D16" s="117"/>
      <c r="E16" s="116"/>
      <c r="F16" s="118"/>
      <c r="G16" s="117"/>
      <c r="H16" s="48">
        <f t="shared" si="0"/>
        <v>0</v>
      </c>
      <c r="I16" s="116"/>
      <c r="J16" s="117"/>
      <c r="K16" s="127"/>
      <c r="L16" s="118"/>
      <c r="M16" s="128"/>
      <c r="N16" s="53">
        <f t="shared" si="1"/>
        <v>0</v>
      </c>
      <c r="O16" s="49" t="str">
        <f t="shared" si="2"/>
        <v>NA</v>
      </c>
    </row>
    <row r="17" spans="2:15" s="28" customFormat="1" ht="13.5" customHeight="1">
      <c r="B17" s="23" t="s">
        <v>19</v>
      </c>
      <c r="C17" s="116"/>
      <c r="D17" s="117"/>
      <c r="E17" s="116"/>
      <c r="F17" s="118"/>
      <c r="G17" s="117"/>
      <c r="H17" s="48">
        <f t="shared" si="0"/>
        <v>0</v>
      </c>
      <c r="I17" s="116"/>
      <c r="J17" s="117"/>
      <c r="K17" s="127"/>
      <c r="L17" s="118"/>
      <c r="M17" s="128"/>
      <c r="N17" s="53">
        <f t="shared" si="1"/>
        <v>0</v>
      </c>
      <c r="O17" s="49" t="str">
        <f t="shared" si="2"/>
        <v>NA</v>
      </c>
    </row>
    <row r="18" spans="2:15" ht="13.5" customHeight="1">
      <c r="B18" s="27" t="s">
        <v>18</v>
      </c>
      <c r="C18" s="116"/>
      <c r="D18" s="117"/>
      <c r="E18" s="116"/>
      <c r="F18" s="118"/>
      <c r="G18" s="117"/>
      <c r="H18" s="48">
        <f t="shared" si="0"/>
        <v>0</v>
      </c>
      <c r="I18" s="116"/>
      <c r="J18" s="117"/>
      <c r="K18" s="127"/>
      <c r="L18" s="118"/>
      <c r="M18" s="128"/>
      <c r="N18" s="53">
        <f t="shared" si="1"/>
        <v>0</v>
      </c>
      <c r="O18" s="49" t="str">
        <f t="shared" si="2"/>
        <v>NA</v>
      </c>
    </row>
    <row r="19" spans="2:15" ht="13.5" customHeight="1">
      <c r="B19" s="27" t="s">
        <v>4</v>
      </c>
      <c r="C19" s="116"/>
      <c r="D19" s="117"/>
      <c r="E19" s="116"/>
      <c r="F19" s="118"/>
      <c r="G19" s="117"/>
      <c r="H19" s="48">
        <f t="shared" si="0"/>
        <v>0</v>
      </c>
      <c r="I19" s="116"/>
      <c r="J19" s="117"/>
      <c r="K19" s="127"/>
      <c r="L19" s="118"/>
      <c r="M19" s="128"/>
      <c r="N19" s="53">
        <f t="shared" si="1"/>
        <v>0</v>
      </c>
      <c r="O19" s="51" t="str">
        <f t="shared" si="2"/>
        <v>NA</v>
      </c>
    </row>
    <row r="20" spans="2:15" s="28" customFormat="1" ht="13.5" customHeight="1">
      <c r="B20" s="22" t="s">
        <v>5</v>
      </c>
      <c r="C20" s="119"/>
      <c r="D20" s="120"/>
      <c r="E20" s="119"/>
      <c r="F20" s="121"/>
      <c r="G20" s="120"/>
      <c r="H20" s="69">
        <f t="shared" si="0"/>
        <v>0</v>
      </c>
      <c r="I20" s="119"/>
      <c r="J20" s="120"/>
      <c r="K20" s="129"/>
      <c r="L20" s="121"/>
      <c r="M20" s="130"/>
      <c r="N20" s="69">
        <f t="shared" si="1"/>
        <v>0</v>
      </c>
      <c r="O20" s="49" t="str">
        <f t="shared" si="2"/>
        <v>NA</v>
      </c>
    </row>
    <row r="21" spans="2:15" s="28" customFormat="1" ht="13.5" customHeight="1">
      <c r="B21" s="22" t="s">
        <v>82</v>
      </c>
      <c r="C21" s="119"/>
      <c r="D21" s="120"/>
      <c r="E21" s="119"/>
      <c r="F21" s="121"/>
      <c r="G21" s="120"/>
      <c r="H21" s="69">
        <f t="shared" si="0"/>
        <v>0</v>
      </c>
      <c r="I21" s="119"/>
      <c r="J21" s="120"/>
      <c r="K21" s="129"/>
      <c r="L21" s="121"/>
      <c r="M21" s="130"/>
      <c r="N21" s="69">
        <f t="shared" si="1"/>
        <v>0</v>
      </c>
      <c r="O21" s="49" t="str">
        <f t="shared" si="2"/>
        <v>NA</v>
      </c>
    </row>
    <row r="22" spans="2:15" s="28" customFormat="1" ht="13.5" customHeight="1">
      <c r="B22" s="29" t="s">
        <v>6</v>
      </c>
      <c r="C22" s="122"/>
      <c r="D22" s="123"/>
      <c r="E22" s="122"/>
      <c r="F22" s="124"/>
      <c r="G22" s="123"/>
      <c r="H22" s="70">
        <f t="shared" si="0"/>
        <v>0</v>
      </c>
      <c r="I22" s="122"/>
      <c r="J22" s="123"/>
      <c r="K22" s="131"/>
      <c r="L22" s="124"/>
      <c r="M22" s="132"/>
      <c r="N22" s="70">
        <f t="shared" si="1"/>
        <v>0</v>
      </c>
      <c r="O22" s="50" t="str">
        <f t="shared" si="2"/>
        <v>NA</v>
      </c>
    </row>
    <row r="23" spans="2:16" ht="13.5" customHeight="1">
      <c r="B23" s="3" t="s">
        <v>20</v>
      </c>
      <c r="C23" s="32">
        <f>SUM(C13:C19)</f>
        <v>0</v>
      </c>
      <c r="D23" s="30">
        <f aca="true" t="shared" si="3" ref="D23:M23">SUM(D13:D19)</f>
        <v>0</v>
      </c>
      <c r="E23" s="97">
        <f t="shared" si="3"/>
        <v>0</v>
      </c>
      <c r="F23" s="30">
        <f t="shared" si="3"/>
        <v>0</v>
      </c>
      <c r="G23" s="30">
        <f t="shared" si="3"/>
        <v>0</v>
      </c>
      <c r="H23" s="97">
        <f t="shared" si="0"/>
        <v>0</v>
      </c>
      <c r="I23" s="32">
        <f t="shared" si="3"/>
        <v>0</v>
      </c>
      <c r="J23" s="31">
        <f t="shared" si="3"/>
        <v>0</v>
      </c>
      <c r="K23" s="97">
        <f t="shared" si="3"/>
        <v>0</v>
      </c>
      <c r="L23" s="30">
        <f t="shared" si="3"/>
        <v>0</v>
      </c>
      <c r="M23" s="30">
        <f t="shared" si="3"/>
        <v>0</v>
      </c>
      <c r="N23" s="97">
        <f>SUM(I23:M23)</f>
        <v>0</v>
      </c>
      <c r="O23" s="179" t="s">
        <v>26</v>
      </c>
      <c r="P23" s="167"/>
    </row>
    <row r="24" spans="2:16" ht="13.5" customHeight="1">
      <c r="B24" s="3" t="s">
        <v>24</v>
      </c>
      <c r="C24" s="98">
        <v>133</v>
      </c>
      <c r="D24" s="33">
        <v>100</v>
      </c>
      <c r="E24" s="34">
        <v>100</v>
      </c>
      <c r="F24" s="33">
        <v>0</v>
      </c>
      <c r="G24" s="33">
        <v>0</v>
      </c>
      <c r="H24" s="101"/>
      <c r="I24" s="98">
        <v>133</v>
      </c>
      <c r="J24" s="33">
        <v>100</v>
      </c>
      <c r="K24" s="34">
        <v>100</v>
      </c>
      <c r="L24" s="33">
        <v>0</v>
      </c>
      <c r="M24" s="33">
        <v>0</v>
      </c>
      <c r="N24" s="101"/>
      <c r="O24" s="179"/>
      <c r="P24" s="167"/>
    </row>
    <row r="25" spans="2:16" ht="13.5" customHeight="1">
      <c r="B25" s="3" t="s">
        <v>37</v>
      </c>
      <c r="C25" s="99">
        <f>C23*C24</f>
        <v>0</v>
      </c>
      <c r="D25" s="35">
        <f aca="true" t="shared" si="4" ref="D25:K25">D23*D24</f>
        <v>0</v>
      </c>
      <c r="E25" s="36">
        <f t="shared" si="4"/>
        <v>0</v>
      </c>
      <c r="F25" s="35"/>
      <c r="G25" s="35"/>
      <c r="H25" s="102">
        <f t="shared" si="0"/>
        <v>0</v>
      </c>
      <c r="I25" s="100">
        <f t="shared" si="4"/>
        <v>0</v>
      </c>
      <c r="J25" s="35">
        <f t="shared" si="4"/>
        <v>0</v>
      </c>
      <c r="K25" s="36">
        <f t="shared" si="4"/>
        <v>0</v>
      </c>
      <c r="L25" s="35"/>
      <c r="M25" s="35"/>
      <c r="N25" s="102">
        <f>SUM(I25:M25)</f>
        <v>0</v>
      </c>
      <c r="O25" s="179"/>
      <c r="P25" s="167"/>
    </row>
    <row r="26" spans="2:16" ht="13.5" customHeight="1">
      <c r="B26" s="3" t="s">
        <v>15</v>
      </c>
      <c r="C26" s="144" t="str">
        <f>IF(H23&gt;0,CONCATENATE("( ",C25," + ",D25," + ",E25," ) / ",H23," = ",FIXED(O26,1)),O26)</f>
        <v>NA</v>
      </c>
      <c r="D26" s="144"/>
      <c r="E26" s="144"/>
      <c r="F26" s="144"/>
      <c r="G26" s="144"/>
      <c r="H26" s="145"/>
      <c r="I26" s="144" t="str">
        <f>IF(N23&gt;0,CONCATENATE("( ",I25," + ",J25," + ",K25," ) / ",N23," = ",FIXED(O27,1)),O27)</f>
        <v>NA</v>
      </c>
      <c r="J26" s="144"/>
      <c r="K26" s="144"/>
      <c r="L26" s="144"/>
      <c r="M26" s="144"/>
      <c r="N26" s="145"/>
      <c r="O26" s="55" t="str">
        <f>IF(H23&gt;0,ROUND(H25/H23,1),"NA")</f>
        <v>NA</v>
      </c>
      <c r="P26" s="44"/>
    </row>
    <row r="27" spans="2:15" ht="14.25" customHeight="1">
      <c r="B27" s="3" t="s">
        <v>16</v>
      </c>
      <c r="C27" s="138" t="str">
        <f>IF(AND(H23&gt;0,N23&gt;0),CONCATENATE("( ",O26," + ",O27," ) / 2 = ",FIXED(O28,1)),"NA")</f>
        <v>NA</v>
      </c>
      <c r="D27" s="138"/>
      <c r="E27" s="138"/>
      <c r="F27" s="138"/>
      <c r="G27" s="138"/>
      <c r="H27" s="138"/>
      <c r="I27" s="138"/>
      <c r="J27" s="138"/>
      <c r="K27" s="138"/>
      <c r="L27" s="138"/>
      <c r="M27" s="138"/>
      <c r="N27" s="139"/>
      <c r="O27" s="55" t="str">
        <f>IF(N23&gt;0,ROUND(N25/N23,1),"NA")</f>
        <v>NA</v>
      </c>
    </row>
    <row r="28" spans="2:15" ht="13.5" customHeight="1">
      <c r="B28" s="1"/>
      <c r="C28" s="2"/>
      <c r="D28" s="2"/>
      <c r="E28" s="2"/>
      <c r="F28" s="2"/>
      <c r="G28" s="2"/>
      <c r="H28" s="2"/>
      <c r="I28" s="2"/>
      <c r="J28" s="2"/>
      <c r="K28" s="2"/>
      <c r="L28" s="2"/>
      <c r="M28" s="2"/>
      <c r="N28" s="2"/>
      <c r="O28" s="56" t="str">
        <f>IF(AND(H23&gt;0,N23&gt;0),ROUND((O26+O27)/2,1),"NA")</f>
        <v>NA</v>
      </c>
    </row>
    <row r="29" spans="3:14" s="39" customFormat="1" ht="20.25" customHeight="1">
      <c r="C29" s="140" t="s">
        <v>8</v>
      </c>
      <c r="D29" s="146"/>
      <c r="E29" s="146"/>
      <c r="F29" s="146"/>
      <c r="G29" s="146"/>
      <c r="H29" s="147"/>
      <c r="I29" s="146" t="s">
        <v>27</v>
      </c>
      <c r="J29" s="146"/>
      <c r="K29" s="146"/>
      <c r="L29" s="146"/>
      <c r="M29" s="146"/>
      <c r="N29" s="147"/>
    </row>
    <row r="30" spans="2:14" ht="15.75" customHeight="1">
      <c r="B30" s="142" t="s">
        <v>43</v>
      </c>
      <c r="C30" s="150" t="s">
        <v>11</v>
      </c>
      <c r="D30" s="151"/>
      <c r="E30" s="170" t="s">
        <v>14</v>
      </c>
      <c r="F30" s="171"/>
      <c r="G30" s="172"/>
      <c r="H30" s="168" t="s">
        <v>36</v>
      </c>
      <c r="I30" s="150" t="s">
        <v>11</v>
      </c>
      <c r="J30" s="151"/>
      <c r="K30" s="170" t="s">
        <v>14</v>
      </c>
      <c r="L30" s="171"/>
      <c r="M30" s="172"/>
      <c r="N30" s="168" t="s">
        <v>36</v>
      </c>
    </row>
    <row r="31" spans="2:15" ht="15.75" customHeight="1">
      <c r="B31" s="142"/>
      <c r="C31" s="148" t="s">
        <v>12</v>
      </c>
      <c r="D31" s="173" t="s">
        <v>13</v>
      </c>
      <c r="E31" s="175" t="s">
        <v>38</v>
      </c>
      <c r="F31" s="176"/>
      <c r="G31" s="177"/>
      <c r="H31" s="178"/>
      <c r="I31" s="148" t="s">
        <v>12</v>
      </c>
      <c r="J31" s="173" t="s">
        <v>13</v>
      </c>
      <c r="K31" s="175" t="s">
        <v>38</v>
      </c>
      <c r="L31" s="176"/>
      <c r="M31" s="177"/>
      <c r="N31" s="178"/>
      <c r="O31" s="152" t="s">
        <v>25</v>
      </c>
    </row>
    <row r="32" spans="2:15" ht="21" customHeight="1">
      <c r="B32" s="143"/>
      <c r="C32" s="149"/>
      <c r="D32" s="174"/>
      <c r="E32" s="40" t="s">
        <v>39</v>
      </c>
      <c r="F32" s="42" t="s">
        <v>40</v>
      </c>
      <c r="G32" s="43" t="s">
        <v>41</v>
      </c>
      <c r="H32" s="169"/>
      <c r="I32" s="149"/>
      <c r="J32" s="174"/>
      <c r="K32" s="40" t="s">
        <v>39</v>
      </c>
      <c r="L32" s="42" t="s">
        <v>40</v>
      </c>
      <c r="M32" s="43" t="s">
        <v>41</v>
      </c>
      <c r="N32" s="169"/>
      <c r="O32" s="141"/>
    </row>
    <row r="33" spans="2:15" ht="13.5" customHeight="1">
      <c r="B33" s="25" t="s">
        <v>0</v>
      </c>
      <c r="C33" s="113"/>
      <c r="D33" s="114"/>
      <c r="E33" s="113"/>
      <c r="F33" s="115"/>
      <c r="G33" s="114"/>
      <c r="H33" s="47">
        <f>SUM(C33:G33)</f>
        <v>0</v>
      </c>
      <c r="I33" s="113"/>
      <c r="J33" s="114"/>
      <c r="K33" s="125"/>
      <c r="L33" s="115"/>
      <c r="M33" s="126"/>
      <c r="N33" s="52">
        <f>SUM(I33:M33)</f>
        <v>0</v>
      </c>
      <c r="O33" s="26" t="str">
        <f aca="true" t="shared" si="5" ref="O33:O42">IF(H33+N33&gt;0,ROUND((133*(C33+I33)+100*(D33+E33+J33+K33))/(H33+N33),1),"NA")</f>
        <v>NA</v>
      </c>
    </row>
    <row r="34" spans="2:15" ht="13.5" customHeight="1">
      <c r="B34" s="27" t="s">
        <v>1</v>
      </c>
      <c r="C34" s="116"/>
      <c r="D34" s="117"/>
      <c r="E34" s="116"/>
      <c r="F34" s="118"/>
      <c r="G34" s="117"/>
      <c r="H34" s="48">
        <f aca="true" t="shared" si="6" ref="H34:H43">SUM(C34:G34)</f>
        <v>0</v>
      </c>
      <c r="I34" s="116"/>
      <c r="J34" s="117"/>
      <c r="K34" s="127"/>
      <c r="L34" s="118"/>
      <c r="M34" s="128"/>
      <c r="N34" s="53">
        <f aca="true" t="shared" si="7" ref="N34:N43">SUM(I34:M34)</f>
        <v>0</v>
      </c>
      <c r="O34" s="26" t="str">
        <f t="shared" si="5"/>
        <v>NA</v>
      </c>
    </row>
    <row r="35" spans="2:15" ht="13.5" customHeight="1">
      <c r="B35" s="27" t="s">
        <v>2</v>
      </c>
      <c r="C35" s="116"/>
      <c r="D35" s="117"/>
      <c r="E35" s="116"/>
      <c r="F35" s="118"/>
      <c r="G35" s="117"/>
      <c r="H35" s="48">
        <f t="shared" si="6"/>
        <v>0</v>
      </c>
      <c r="I35" s="116"/>
      <c r="J35" s="117"/>
      <c r="K35" s="127"/>
      <c r="L35" s="118"/>
      <c r="M35" s="128"/>
      <c r="N35" s="53">
        <f t="shared" si="7"/>
        <v>0</v>
      </c>
      <c r="O35" s="26" t="str">
        <f t="shared" si="5"/>
        <v>NA</v>
      </c>
    </row>
    <row r="36" spans="2:15" ht="13.5" customHeight="1">
      <c r="B36" s="27" t="s">
        <v>3</v>
      </c>
      <c r="C36" s="116"/>
      <c r="D36" s="117"/>
      <c r="E36" s="116"/>
      <c r="F36" s="118"/>
      <c r="G36" s="117"/>
      <c r="H36" s="48">
        <f t="shared" si="6"/>
        <v>0</v>
      </c>
      <c r="I36" s="116"/>
      <c r="J36" s="117"/>
      <c r="K36" s="127"/>
      <c r="L36" s="118"/>
      <c r="M36" s="128"/>
      <c r="N36" s="53">
        <f t="shared" si="7"/>
        <v>0</v>
      </c>
      <c r="O36" s="26" t="str">
        <f t="shared" si="5"/>
        <v>NA</v>
      </c>
    </row>
    <row r="37" spans="2:15" s="28" customFormat="1" ht="13.5" customHeight="1">
      <c r="B37" s="23" t="s">
        <v>19</v>
      </c>
      <c r="C37" s="116"/>
      <c r="D37" s="117"/>
      <c r="E37" s="116"/>
      <c r="F37" s="118"/>
      <c r="G37" s="117"/>
      <c r="H37" s="48">
        <f t="shared" si="6"/>
        <v>0</v>
      </c>
      <c r="I37" s="116"/>
      <c r="J37" s="117"/>
      <c r="K37" s="127"/>
      <c r="L37" s="118"/>
      <c r="M37" s="128"/>
      <c r="N37" s="53">
        <f t="shared" si="7"/>
        <v>0</v>
      </c>
      <c r="O37" s="45" t="str">
        <f t="shared" si="5"/>
        <v>NA</v>
      </c>
    </row>
    <row r="38" spans="2:15" ht="13.5" customHeight="1">
      <c r="B38" s="27" t="s">
        <v>18</v>
      </c>
      <c r="C38" s="116"/>
      <c r="D38" s="117"/>
      <c r="E38" s="116"/>
      <c r="F38" s="118"/>
      <c r="G38" s="117"/>
      <c r="H38" s="48">
        <f t="shared" si="6"/>
        <v>0</v>
      </c>
      <c r="I38" s="116"/>
      <c r="J38" s="117"/>
      <c r="K38" s="127"/>
      <c r="L38" s="118"/>
      <c r="M38" s="128"/>
      <c r="N38" s="53">
        <f t="shared" si="7"/>
        <v>0</v>
      </c>
      <c r="O38" s="45" t="str">
        <f t="shared" si="5"/>
        <v>NA</v>
      </c>
    </row>
    <row r="39" spans="2:15" ht="13.5" customHeight="1">
      <c r="B39" s="27" t="s">
        <v>4</v>
      </c>
      <c r="C39" s="116"/>
      <c r="D39" s="117"/>
      <c r="E39" s="116"/>
      <c r="F39" s="118"/>
      <c r="G39" s="117"/>
      <c r="H39" s="48">
        <f t="shared" si="6"/>
        <v>0</v>
      </c>
      <c r="I39" s="116"/>
      <c r="J39" s="117"/>
      <c r="K39" s="127"/>
      <c r="L39" s="118"/>
      <c r="M39" s="128"/>
      <c r="N39" s="53">
        <f t="shared" si="7"/>
        <v>0</v>
      </c>
      <c r="O39" s="45" t="str">
        <f t="shared" si="5"/>
        <v>NA</v>
      </c>
    </row>
    <row r="40" spans="2:15" ht="13.5" customHeight="1">
      <c r="B40" s="22" t="s">
        <v>5</v>
      </c>
      <c r="C40" s="119"/>
      <c r="D40" s="120"/>
      <c r="E40" s="119"/>
      <c r="F40" s="121"/>
      <c r="G40" s="120"/>
      <c r="H40" s="69">
        <f t="shared" si="6"/>
        <v>0</v>
      </c>
      <c r="I40" s="119"/>
      <c r="J40" s="120"/>
      <c r="K40" s="129"/>
      <c r="L40" s="121"/>
      <c r="M40" s="130"/>
      <c r="N40" s="69">
        <f t="shared" si="7"/>
        <v>0</v>
      </c>
      <c r="O40" s="45" t="str">
        <f t="shared" si="5"/>
        <v>NA</v>
      </c>
    </row>
    <row r="41" spans="2:15" s="28" customFormat="1" ht="13.5" customHeight="1">
      <c r="B41" s="22" t="s">
        <v>82</v>
      </c>
      <c r="C41" s="119"/>
      <c r="D41" s="120"/>
      <c r="E41" s="119"/>
      <c r="F41" s="121"/>
      <c r="G41" s="120"/>
      <c r="H41" s="69">
        <f t="shared" si="6"/>
        <v>0</v>
      </c>
      <c r="I41" s="119"/>
      <c r="J41" s="120"/>
      <c r="K41" s="129"/>
      <c r="L41" s="121"/>
      <c r="M41" s="130"/>
      <c r="N41" s="69">
        <f t="shared" si="7"/>
        <v>0</v>
      </c>
      <c r="O41" s="45" t="str">
        <f t="shared" si="5"/>
        <v>NA</v>
      </c>
    </row>
    <row r="42" spans="2:15" s="28" customFormat="1" ht="13.5" customHeight="1">
      <c r="B42" s="29" t="s">
        <v>6</v>
      </c>
      <c r="C42" s="122"/>
      <c r="D42" s="123"/>
      <c r="E42" s="122"/>
      <c r="F42" s="124"/>
      <c r="G42" s="123"/>
      <c r="H42" s="70">
        <f t="shared" si="6"/>
        <v>0</v>
      </c>
      <c r="I42" s="122"/>
      <c r="J42" s="123"/>
      <c r="K42" s="131"/>
      <c r="L42" s="124"/>
      <c r="M42" s="132"/>
      <c r="N42" s="70">
        <f t="shared" si="7"/>
        <v>0</v>
      </c>
      <c r="O42" s="46" t="str">
        <f t="shared" si="5"/>
        <v>NA</v>
      </c>
    </row>
    <row r="43" spans="2:16" ht="13.5" customHeight="1">
      <c r="B43" s="3" t="s">
        <v>20</v>
      </c>
      <c r="C43" s="32">
        <f>SUM(C33:C39)</f>
        <v>0</v>
      </c>
      <c r="D43" s="31">
        <f aca="true" t="shared" si="8" ref="D43:M43">SUM(D33:D39)</f>
        <v>0</v>
      </c>
      <c r="E43" s="97">
        <f t="shared" si="8"/>
        <v>0</v>
      </c>
      <c r="F43" s="30">
        <f t="shared" si="8"/>
        <v>0</v>
      </c>
      <c r="G43" s="30">
        <f t="shared" si="8"/>
        <v>0</v>
      </c>
      <c r="H43" s="97">
        <f t="shared" si="6"/>
        <v>0</v>
      </c>
      <c r="I43" s="32">
        <f t="shared" si="8"/>
        <v>0</v>
      </c>
      <c r="J43" s="31">
        <f t="shared" si="8"/>
        <v>0</v>
      </c>
      <c r="K43" s="97">
        <f t="shared" si="8"/>
        <v>0</v>
      </c>
      <c r="L43" s="30">
        <f t="shared" si="8"/>
        <v>0</v>
      </c>
      <c r="M43" s="30">
        <f t="shared" si="8"/>
        <v>0</v>
      </c>
      <c r="N43" s="97">
        <f t="shared" si="7"/>
        <v>0</v>
      </c>
      <c r="O43" s="179" t="s">
        <v>26</v>
      </c>
      <c r="P43" s="167"/>
    </row>
    <row r="44" spans="2:16" ht="13.5" customHeight="1">
      <c r="B44" s="3" t="s">
        <v>24</v>
      </c>
      <c r="C44" s="98">
        <v>133</v>
      </c>
      <c r="D44" s="33">
        <v>100</v>
      </c>
      <c r="E44" s="34">
        <v>100</v>
      </c>
      <c r="F44" s="33">
        <v>0</v>
      </c>
      <c r="G44" s="33">
        <v>0</v>
      </c>
      <c r="H44" s="101"/>
      <c r="I44" s="98">
        <v>133</v>
      </c>
      <c r="J44" s="33">
        <v>100</v>
      </c>
      <c r="K44" s="34">
        <v>100</v>
      </c>
      <c r="L44" s="33">
        <v>0</v>
      </c>
      <c r="M44" s="33">
        <v>0</v>
      </c>
      <c r="N44" s="101"/>
      <c r="O44" s="179"/>
      <c r="P44" s="167"/>
    </row>
    <row r="45" spans="2:16" ht="13.5" customHeight="1">
      <c r="B45" s="3" t="s">
        <v>37</v>
      </c>
      <c r="C45" s="99">
        <f>C43*C44</f>
        <v>0</v>
      </c>
      <c r="D45" s="35">
        <f>D43*D44</f>
        <v>0</v>
      </c>
      <c r="E45" s="36">
        <f>E43*E44</f>
        <v>0</v>
      </c>
      <c r="F45" s="35"/>
      <c r="G45" s="35"/>
      <c r="H45" s="102">
        <f>SUM(C45:G45)</f>
        <v>0</v>
      </c>
      <c r="I45" s="100">
        <f>I43*I44</f>
        <v>0</v>
      </c>
      <c r="J45" s="35">
        <f>J43*J44</f>
        <v>0</v>
      </c>
      <c r="K45" s="36">
        <f>K43*K44</f>
        <v>0</v>
      </c>
      <c r="L45" s="35"/>
      <c r="M45" s="35"/>
      <c r="N45" s="102">
        <f>SUM(I45:M45)</f>
        <v>0</v>
      </c>
      <c r="O45" s="179"/>
      <c r="P45" s="167"/>
    </row>
    <row r="46" spans="2:16" ht="13.5" customHeight="1">
      <c r="B46" s="3" t="s">
        <v>15</v>
      </c>
      <c r="C46" s="144" t="str">
        <f>IF(H43&gt;0,CONCATENATE("( ",C45," + ",D45," + ",E45," ) / ",H43," = ",FIXED(O46,1)),O46)</f>
        <v>NA</v>
      </c>
      <c r="D46" s="144"/>
      <c r="E46" s="144"/>
      <c r="F46" s="144"/>
      <c r="G46" s="144"/>
      <c r="H46" s="145"/>
      <c r="I46" s="144" t="str">
        <f>IF(N43&gt;0,CONCATENATE("( ",I45," + ",J45," + ",K45," ) / ",N43," = ",FIXED(O47,1)),O47)</f>
        <v>NA</v>
      </c>
      <c r="J46" s="144"/>
      <c r="K46" s="144"/>
      <c r="L46" s="144"/>
      <c r="M46" s="144"/>
      <c r="N46" s="145"/>
      <c r="O46" s="55" t="str">
        <f>IF(H43&gt;0,ROUND(H45/H43,1),"NA")</f>
        <v>NA</v>
      </c>
      <c r="P46" s="44"/>
    </row>
    <row r="47" spans="2:15" ht="14.25" customHeight="1">
      <c r="B47" s="54" t="s">
        <v>42</v>
      </c>
      <c r="C47" s="138" t="str">
        <f>IF(AND(H43&gt;0,N43&gt;0),CONCATENATE("( ",O46," + ",O47," ) / 2 = ",FIXED(O48,1)),"NA")</f>
        <v>NA</v>
      </c>
      <c r="D47" s="138"/>
      <c r="E47" s="138"/>
      <c r="F47" s="138"/>
      <c r="G47" s="138"/>
      <c r="H47" s="138"/>
      <c r="I47" s="138"/>
      <c r="J47" s="138"/>
      <c r="K47" s="138"/>
      <c r="L47" s="138"/>
      <c r="M47" s="138"/>
      <c r="N47" s="139"/>
      <c r="O47" s="55" t="str">
        <f>IF(N43&gt;0,ROUND(N45/N43,1),"NA")</f>
        <v>NA</v>
      </c>
    </row>
    <row r="48" spans="3:15" ht="12.75">
      <c r="C48" s="2"/>
      <c r="D48" s="2"/>
      <c r="E48" s="2"/>
      <c r="F48" s="2"/>
      <c r="G48" s="2"/>
      <c r="H48" s="2"/>
      <c r="I48" s="2"/>
      <c r="J48" s="2"/>
      <c r="K48" s="2"/>
      <c r="L48" s="2"/>
      <c r="M48" s="2"/>
      <c r="N48" s="2"/>
      <c r="O48" s="56" t="str">
        <f>IF(AND(H43&gt;0,N43&gt;0),ROUND((O46+O47)/2,1),"NA")</f>
        <v>NA</v>
      </c>
    </row>
    <row r="49" spans="2:15" s="41" customFormat="1" ht="15">
      <c r="B49" s="73"/>
      <c r="C49" s="180" t="s">
        <v>102</v>
      </c>
      <c r="D49" s="180"/>
      <c r="E49" s="180"/>
      <c r="F49" s="180"/>
      <c r="G49" s="180"/>
      <c r="H49" s="180"/>
      <c r="I49" s="180"/>
      <c r="J49" s="180"/>
      <c r="K49" s="180"/>
      <c r="L49" s="180"/>
      <c r="M49" s="180"/>
      <c r="N49" s="180"/>
      <c r="O49" s="57" t="str">
        <f>IF(AND(O28&lt;&gt;"NA",O48&lt;&gt;"NA"),ROUND((O28+O48)/2,1),"NA")</f>
        <v>NA</v>
      </c>
    </row>
    <row r="50" spans="2:4" ht="15.75" customHeight="1">
      <c r="B50" s="38"/>
      <c r="C50" s="38"/>
      <c r="D50" s="38"/>
    </row>
    <row r="51" spans="2:4" ht="12.75">
      <c r="B51" s="38"/>
      <c r="C51" s="38"/>
      <c r="D51" s="38"/>
    </row>
    <row r="52" spans="2:4" ht="12.75">
      <c r="B52" s="38"/>
      <c r="C52" s="38"/>
      <c r="D52" s="38"/>
    </row>
    <row r="53" spans="2:4" ht="12.75">
      <c r="B53" s="38"/>
      <c r="C53" s="38"/>
      <c r="D53" s="38"/>
    </row>
    <row r="54" spans="2:4" ht="12.75">
      <c r="B54" s="38"/>
      <c r="C54" s="38"/>
      <c r="D54" s="38"/>
    </row>
  </sheetData>
  <sheetProtection password="CFF5" sheet="1" objects="1" scenarios="1"/>
  <mergeCells count="53">
    <mergeCell ref="E11:G11"/>
    <mergeCell ref="I11:I12"/>
    <mergeCell ref="H10:H12"/>
    <mergeCell ref="C49:N49"/>
    <mergeCell ref="C46:H46"/>
    <mergeCell ref="I46:N46"/>
    <mergeCell ref="C47:N47"/>
    <mergeCell ref="I5:K5"/>
    <mergeCell ref="B10:B12"/>
    <mergeCell ref="B30:B32"/>
    <mergeCell ref="I10:J10"/>
    <mergeCell ref="C30:D30"/>
    <mergeCell ref="C26:H26"/>
    <mergeCell ref="C10:D10"/>
    <mergeCell ref="E30:G30"/>
    <mergeCell ref="C31:C32"/>
    <mergeCell ref="I9:N9"/>
    <mergeCell ref="O43:P45"/>
    <mergeCell ref="H30:H32"/>
    <mergeCell ref="K30:M30"/>
    <mergeCell ref="N30:N32"/>
    <mergeCell ref="I31:I32"/>
    <mergeCell ref="J31:J32"/>
    <mergeCell ref="K31:M31"/>
    <mergeCell ref="I30:J30"/>
    <mergeCell ref="O31:O32"/>
    <mergeCell ref="D31:D32"/>
    <mergeCell ref="E31:G31"/>
    <mergeCell ref="O23:P25"/>
    <mergeCell ref="I29:N29"/>
    <mergeCell ref="I26:N26"/>
    <mergeCell ref="C27:N27"/>
    <mergeCell ref="C29:H29"/>
    <mergeCell ref="D7:M7"/>
    <mergeCell ref="O11:O12"/>
    <mergeCell ref="E10:G10"/>
    <mergeCell ref="K10:M10"/>
    <mergeCell ref="J11:J12"/>
    <mergeCell ref="K11:M11"/>
    <mergeCell ref="N10:N12"/>
    <mergeCell ref="C9:H9"/>
    <mergeCell ref="C11:C12"/>
    <mergeCell ref="D11:D12"/>
    <mergeCell ref="C2:N2"/>
    <mergeCell ref="C4:N4"/>
    <mergeCell ref="C5:E5"/>
    <mergeCell ref="C6:E6"/>
    <mergeCell ref="F5:H5"/>
    <mergeCell ref="I6:K6"/>
    <mergeCell ref="L5:N5"/>
    <mergeCell ref="L6:N6"/>
    <mergeCell ref="C3:M3"/>
    <mergeCell ref="F6:H6"/>
  </mergeCells>
  <printOptions/>
  <pageMargins left="0.66" right="0.31" top="0.55" bottom="0.58" header="0.5" footer="0.5"/>
  <pageSetup fitToHeight="1" fitToWidth="1" horizontalDpi="600" verticalDpi="600" orientation="landscape" scale="74" r:id="rId1"/>
</worksheet>
</file>

<file path=xl/worksheets/sheet4.xml><?xml version="1.0" encoding="utf-8"?>
<worksheet xmlns="http://schemas.openxmlformats.org/spreadsheetml/2006/main" xmlns:r="http://schemas.openxmlformats.org/officeDocument/2006/relationships">
  <dimension ref="B2:I35"/>
  <sheetViews>
    <sheetView zoomScale="90" zoomScaleNormal="90" workbookViewId="0" topLeftCell="A1">
      <selection activeCell="D12" sqref="D12"/>
    </sheetView>
  </sheetViews>
  <sheetFormatPr defaultColWidth="9.140625" defaultRowHeight="12.75"/>
  <cols>
    <col min="1" max="1" width="6.140625" style="4" customWidth="1"/>
    <col min="2" max="2" width="12.28125" style="4" customWidth="1"/>
    <col min="3" max="3" width="9.140625" style="4" customWidth="1"/>
    <col min="4" max="7" width="12.28125" style="4" customWidth="1"/>
    <col min="8" max="16384" width="9.140625" style="4" customWidth="1"/>
  </cols>
  <sheetData>
    <row r="2" spans="3:7" ht="12.75">
      <c r="C2" s="183" t="s">
        <v>61</v>
      </c>
      <c r="D2" s="183"/>
      <c r="E2" s="183"/>
      <c r="F2" s="183"/>
      <c r="G2" s="183"/>
    </row>
    <row r="3" spans="2:8" ht="18">
      <c r="B3" s="184" t="str">
        <f>CONCATENATE("Improvement:   ",H3)</f>
        <v>Improvement:   Not Rated</v>
      </c>
      <c r="C3" s="185"/>
      <c r="D3" s="185"/>
      <c r="E3" s="185"/>
      <c r="F3" s="185"/>
      <c r="G3" s="186"/>
      <c r="H3" s="21" t="str">
        <f>IF(I34&lt;&gt;"NA",IF(H34&gt;=5,"Improved","Not Improved"),"Not Rated")</f>
        <v>Not Rated</v>
      </c>
    </row>
    <row r="4" spans="2:7" ht="15.75" customHeight="1">
      <c r="B4" s="187" t="s">
        <v>80</v>
      </c>
      <c r="C4" s="188"/>
      <c r="D4" s="188"/>
      <c r="E4" s="188"/>
      <c r="F4" s="188"/>
      <c r="G4" s="189"/>
    </row>
    <row r="5" spans="2:7" ht="15.75" customHeight="1">
      <c r="B5" s="190" t="str">
        <f>IF(AND(E32&lt;&gt;"NA",E33&lt;&gt;"NA"),CONCATENATE("        =  ",FIXED(H33,1)," - ",FIXED(H32,1)," = ",FIXED(H34,1)),"  NA")</f>
        <v>  NA</v>
      </c>
      <c r="C5" s="191"/>
      <c r="D5" s="191"/>
      <c r="E5" s="191"/>
      <c r="F5" s="191"/>
      <c r="G5" s="192"/>
    </row>
    <row r="6" spans="2:7" ht="15" customHeight="1">
      <c r="B6" s="181" t="s">
        <v>59</v>
      </c>
      <c r="C6" s="181"/>
      <c r="D6" s="181" t="s">
        <v>63</v>
      </c>
      <c r="E6" s="181"/>
      <c r="F6" s="181" t="s">
        <v>64</v>
      </c>
      <c r="G6" s="181"/>
    </row>
    <row r="7" spans="2:7" ht="18" customHeight="1">
      <c r="B7" s="182" t="s">
        <v>62</v>
      </c>
      <c r="C7" s="182"/>
      <c r="D7" s="182" t="s">
        <v>65</v>
      </c>
      <c r="E7" s="182"/>
      <c r="F7" s="182" t="s">
        <v>66</v>
      </c>
      <c r="G7" s="182"/>
    </row>
    <row r="9" spans="3:7" ht="16.5" thickBot="1">
      <c r="C9" s="12"/>
      <c r="D9" s="197" t="s">
        <v>29</v>
      </c>
      <c r="E9" s="197"/>
      <c r="F9" s="197"/>
      <c r="G9" s="197"/>
    </row>
    <row r="10" spans="3:7" ht="15.75" customHeight="1">
      <c r="C10" s="198" t="s">
        <v>24</v>
      </c>
      <c r="D10" s="200" t="s">
        <v>8</v>
      </c>
      <c r="E10" s="201"/>
      <c r="F10" s="200" t="s">
        <v>27</v>
      </c>
      <c r="G10" s="201"/>
    </row>
    <row r="11" spans="3:7" ht="12.75">
      <c r="C11" s="199"/>
      <c r="D11" s="7" t="s">
        <v>34</v>
      </c>
      <c r="E11" s="8" t="s">
        <v>35</v>
      </c>
      <c r="F11" s="7" t="s">
        <v>34</v>
      </c>
      <c r="G11" s="8" t="s">
        <v>35</v>
      </c>
    </row>
    <row r="12" spans="2:7" ht="12.75">
      <c r="B12" s="11" t="s">
        <v>12</v>
      </c>
      <c r="C12" s="17">
        <v>133</v>
      </c>
      <c r="D12" s="133"/>
      <c r="E12" s="18">
        <f>$C12*D12</f>
        <v>0</v>
      </c>
      <c r="F12" s="133"/>
      <c r="G12" s="18">
        <f>$C12*F12</f>
        <v>0</v>
      </c>
    </row>
    <row r="13" spans="2:7" ht="12.75">
      <c r="B13" s="11" t="s">
        <v>13</v>
      </c>
      <c r="C13" s="6">
        <v>100</v>
      </c>
      <c r="D13" s="134"/>
      <c r="E13" s="15">
        <f>$C13*D13</f>
        <v>0</v>
      </c>
      <c r="F13" s="134"/>
      <c r="G13" s="15">
        <f>$C13*F13</f>
        <v>0</v>
      </c>
    </row>
    <row r="14" spans="2:7" ht="12.75">
      <c r="B14" s="11" t="s">
        <v>31</v>
      </c>
      <c r="C14" s="6">
        <v>67</v>
      </c>
      <c r="D14" s="134"/>
      <c r="E14" s="15">
        <f>$C14*D14</f>
        <v>0</v>
      </c>
      <c r="F14" s="134"/>
      <c r="G14" s="15">
        <f>$C14*F14</f>
        <v>0</v>
      </c>
    </row>
    <row r="15" spans="2:7" ht="12.75">
      <c r="B15" s="11" t="s">
        <v>32</v>
      </c>
      <c r="C15" s="6">
        <v>33</v>
      </c>
      <c r="D15" s="134"/>
      <c r="E15" s="15">
        <f>$C15*D15</f>
        <v>0</v>
      </c>
      <c r="F15" s="134"/>
      <c r="G15" s="15">
        <f>$C15*F15</f>
        <v>0</v>
      </c>
    </row>
    <row r="16" spans="2:7" ht="12.75">
      <c r="B16" s="11" t="s">
        <v>33</v>
      </c>
      <c r="C16" s="19">
        <v>0</v>
      </c>
      <c r="D16" s="135"/>
      <c r="E16" s="20">
        <f>$C16*D16</f>
        <v>0</v>
      </c>
      <c r="F16" s="135"/>
      <c r="G16" s="20">
        <f>$C16*F16</f>
        <v>0</v>
      </c>
    </row>
    <row r="17" spans="3:7" ht="13.5" thickBot="1">
      <c r="C17" s="5" t="s">
        <v>36</v>
      </c>
      <c r="D17" s="14">
        <f>SUM(D12:D16)</f>
        <v>0</v>
      </c>
      <c r="E17" s="16">
        <f>SUM(E12:E16)</f>
        <v>0</v>
      </c>
      <c r="F17" s="9">
        <f>SUM(F12:F16)</f>
        <v>0</v>
      </c>
      <c r="G17" s="16">
        <f>SUM(G12:G16)</f>
        <v>0</v>
      </c>
    </row>
    <row r="18" spans="3:7" ht="18.75" customHeight="1" thickBot="1">
      <c r="C18" s="4" t="s">
        <v>7</v>
      </c>
      <c r="D18" s="202">
        <f>IF(D17&gt;0,CONCATENATE(E17," / ",D17,," = ",FIXED(D19,1)),0)</f>
        <v>0</v>
      </c>
      <c r="E18" s="203"/>
      <c r="F18" s="202">
        <f>IF(F17&gt;0,CONCATENATE(G17," / ",F17,," = ",FIXED(F19,1)),0)</f>
        <v>0</v>
      </c>
      <c r="G18" s="203"/>
    </row>
    <row r="19" spans="4:7" ht="18.75" customHeight="1">
      <c r="D19" s="193">
        <f>IF(D17&gt;0,ROUND(E17/D17,1),0)</f>
        <v>0</v>
      </c>
      <c r="E19" s="193"/>
      <c r="F19" s="193">
        <f>IF(F17&gt;0,ROUND(G17/F17,1),0)</f>
        <v>0</v>
      </c>
      <c r="G19" s="193"/>
    </row>
    <row r="20" spans="2:7" ht="18.75" customHeight="1" thickBot="1">
      <c r="B20" s="12"/>
      <c r="C20" s="12"/>
      <c r="D20" s="197" t="s">
        <v>30</v>
      </c>
      <c r="E20" s="197"/>
      <c r="F20" s="197"/>
      <c r="G20" s="197"/>
    </row>
    <row r="21" spans="3:7" ht="15.75" customHeight="1">
      <c r="C21" s="198" t="s">
        <v>24</v>
      </c>
      <c r="D21" s="200" t="s">
        <v>8</v>
      </c>
      <c r="E21" s="201"/>
      <c r="F21" s="200" t="s">
        <v>27</v>
      </c>
      <c r="G21" s="201"/>
    </row>
    <row r="22" spans="3:7" ht="12.75">
      <c r="C22" s="199"/>
      <c r="D22" s="7" t="s">
        <v>34</v>
      </c>
      <c r="E22" s="8" t="s">
        <v>35</v>
      </c>
      <c r="F22" s="7" t="s">
        <v>34</v>
      </c>
      <c r="G22" s="8" t="s">
        <v>35</v>
      </c>
    </row>
    <row r="23" spans="2:7" ht="12.75">
      <c r="B23" s="11" t="s">
        <v>12</v>
      </c>
      <c r="C23" s="17">
        <v>133</v>
      </c>
      <c r="D23" s="134"/>
      <c r="E23" s="18">
        <f>$C23*D23</f>
        <v>0</v>
      </c>
      <c r="F23" s="134"/>
      <c r="G23" s="18">
        <f>$C23*F23</f>
        <v>0</v>
      </c>
    </row>
    <row r="24" spans="2:7" ht="12.75">
      <c r="B24" s="11" t="s">
        <v>13</v>
      </c>
      <c r="C24" s="6">
        <v>100</v>
      </c>
      <c r="D24" s="134"/>
      <c r="E24" s="15">
        <f>$C24*D24</f>
        <v>0</v>
      </c>
      <c r="F24" s="134"/>
      <c r="G24" s="15">
        <f>$C24*F24</f>
        <v>0</v>
      </c>
    </row>
    <row r="25" spans="2:7" ht="12.75">
      <c r="B25" s="11" t="s">
        <v>31</v>
      </c>
      <c r="C25" s="6">
        <v>67</v>
      </c>
      <c r="D25" s="134"/>
      <c r="E25" s="15">
        <f>$C25*D25</f>
        <v>0</v>
      </c>
      <c r="F25" s="134"/>
      <c r="G25" s="15">
        <f>$C25*F25</f>
        <v>0</v>
      </c>
    </row>
    <row r="26" spans="2:7" ht="12.75">
      <c r="B26" s="11" t="s">
        <v>32</v>
      </c>
      <c r="C26" s="6">
        <v>33</v>
      </c>
      <c r="D26" s="134"/>
      <c r="E26" s="15">
        <f>$C26*D26</f>
        <v>0</v>
      </c>
      <c r="F26" s="134"/>
      <c r="G26" s="15">
        <f>$C26*F26</f>
        <v>0</v>
      </c>
    </row>
    <row r="27" spans="2:7" ht="12.75">
      <c r="B27" s="11" t="s">
        <v>33</v>
      </c>
      <c r="C27" s="19">
        <v>0</v>
      </c>
      <c r="D27" s="135"/>
      <c r="E27" s="20">
        <f>$C27*D27</f>
        <v>0</v>
      </c>
      <c r="F27" s="135"/>
      <c r="G27" s="20">
        <f>$C27*F27</f>
        <v>0</v>
      </c>
    </row>
    <row r="28" spans="3:7" ht="13.5" thickBot="1">
      <c r="C28" s="5" t="s">
        <v>36</v>
      </c>
      <c r="D28" s="10">
        <f>SUM(D23:D27)</f>
        <v>0</v>
      </c>
      <c r="E28" s="16">
        <f>SUM(E23:E27)</f>
        <v>0</v>
      </c>
      <c r="F28" s="10">
        <f>SUM(F23:F27)</f>
        <v>0</v>
      </c>
      <c r="G28" s="16">
        <f>SUM(G23:G27)</f>
        <v>0</v>
      </c>
    </row>
    <row r="29" spans="3:7" ht="18.75" customHeight="1" thickBot="1">
      <c r="C29" s="4" t="s">
        <v>7</v>
      </c>
      <c r="D29" s="202">
        <f>IF(D28&gt;0,CONCATENATE(E28," / ",D28,," = ",FIXED(D30,1)),0)</f>
        <v>0</v>
      </c>
      <c r="E29" s="203"/>
      <c r="F29" s="202">
        <f>IF(F28&gt;0,CONCATENATE(G28," / ",F28,," = ",FIXED(F30,1)),0)</f>
        <v>0</v>
      </c>
      <c r="G29" s="203"/>
    </row>
    <row r="30" spans="4:7" ht="19.5" customHeight="1">
      <c r="D30" s="193">
        <f>IF(D28&gt;0,ROUND(E28/D28,1),0)</f>
        <v>0</v>
      </c>
      <c r="E30" s="193"/>
      <c r="F30" s="193">
        <f>IF(F28&gt;0,ROUND(G28/F28,1),0)</f>
        <v>0</v>
      </c>
      <c r="G30" s="193"/>
    </row>
    <row r="31" spans="4:7" ht="12.75">
      <c r="D31" s="104"/>
      <c r="E31" s="196" t="s">
        <v>87</v>
      </c>
      <c r="F31" s="196"/>
      <c r="G31" s="196"/>
    </row>
    <row r="32" spans="3:9" ht="12.75">
      <c r="C32" s="13"/>
      <c r="D32" s="77" t="str">
        <f>D21</f>
        <v>2007-08</v>
      </c>
      <c r="E32" s="194" t="str">
        <f>IF(H32&lt;&gt;"NA",CONCATENATE("(  ",FIXED(D19,1),"  +  ",FIXED(D30,1),"  )  /  2  =  ",FIXED(H32,1)),H32)</f>
        <v>NA</v>
      </c>
      <c r="F32" s="194"/>
      <c r="G32" s="195"/>
      <c r="H32" s="21" t="str">
        <f>IF(AND(D17&gt;0,D28&gt;0),ROUND((D19+D30)/2,1),"NA")</f>
        <v>NA</v>
      </c>
      <c r="I32" s="21"/>
    </row>
    <row r="33" spans="3:9" ht="12.75">
      <c r="C33" s="13"/>
      <c r="D33" s="105" t="str">
        <f>F21</f>
        <v>2008-09</v>
      </c>
      <c r="E33" s="191" t="str">
        <f>IF(H33&lt;&gt;"NA",CONCATENATE("(  ",FIXED(F19,1),"  +  ",FIXED(F30,1),"  )  /  2  =  ",FIXED(H33,1)),H33)</f>
        <v>NA</v>
      </c>
      <c r="F33" s="191"/>
      <c r="G33" s="192"/>
      <c r="H33" s="21" t="str">
        <f>IF(AND(F17&gt;0,F28&gt;0),ROUND((F19+F30)/2,1),"NA")</f>
        <v>NA</v>
      </c>
      <c r="I33" s="21"/>
    </row>
    <row r="34" spans="8:9" ht="12.75">
      <c r="H34" s="21" t="e">
        <f>H33-H32</f>
        <v>#VALUE!</v>
      </c>
      <c r="I34" s="21" t="str">
        <f>IF(OR(H32="NA",H33="NA"),"NA","")</f>
        <v>NA</v>
      </c>
    </row>
    <row r="35" spans="8:9" ht="12.75">
      <c r="H35" s="21"/>
      <c r="I35" s="21"/>
    </row>
  </sheetData>
  <sheetProtection password="CFF5" sheet="1" objects="1" scenarios="1"/>
  <mergeCells count="29">
    <mergeCell ref="D29:E29"/>
    <mergeCell ref="F29:G29"/>
    <mergeCell ref="D10:E10"/>
    <mergeCell ref="F10:G10"/>
    <mergeCell ref="D18:E18"/>
    <mergeCell ref="F18:G18"/>
    <mergeCell ref="D9:G9"/>
    <mergeCell ref="D20:G20"/>
    <mergeCell ref="C21:C22"/>
    <mergeCell ref="C10:C11"/>
    <mergeCell ref="D19:E19"/>
    <mergeCell ref="F19:G19"/>
    <mergeCell ref="D21:E21"/>
    <mergeCell ref="F21:G21"/>
    <mergeCell ref="D30:E30"/>
    <mergeCell ref="F30:G30"/>
    <mergeCell ref="E32:G32"/>
    <mergeCell ref="E33:G33"/>
    <mergeCell ref="E31:G31"/>
    <mergeCell ref="C2:G2"/>
    <mergeCell ref="B3:G3"/>
    <mergeCell ref="B4:G4"/>
    <mergeCell ref="B5:G5"/>
    <mergeCell ref="F6:G6"/>
    <mergeCell ref="F7:G7"/>
    <mergeCell ref="B6:C6"/>
    <mergeCell ref="B7:C7"/>
    <mergeCell ref="D6:E6"/>
    <mergeCell ref="D7:E7"/>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O32"/>
  <sheetViews>
    <sheetView zoomScale="80" zoomScaleNormal="80" workbookViewId="0" topLeftCell="A1">
      <selection activeCell="M9" sqref="M9"/>
    </sheetView>
  </sheetViews>
  <sheetFormatPr defaultColWidth="9.140625" defaultRowHeight="12.75"/>
  <cols>
    <col min="1" max="1" width="4.57421875" style="4" customWidth="1"/>
    <col min="2" max="2" width="9.421875" style="4" customWidth="1"/>
    <col min="3" max="10" width="10.421875" style="4" customWidth="1"/>
    <col min="11" max="11" width="5.57421875" style="79" customWidth="1"/>
    <col min="12" max="12" width="20.00390625" style="4" customWidth="1"/>
    <col min="13" max="13" width="12.00390625" style="4" customWidth="1"/>
    <col min="14" max="14" width="11.421875" style="4" customWidth="1"/>
    <col min="15" max="16384" width="9.140625" style="4" customWidth="1"/>
  </cols>
  <sheetData>
    <row r="1" spans="4:8" ht="15" customHeight="1">
      <c r="D1" s="205" t="s">
        <v>68</v>
      </c>
      <c r="E1" s="205"/>
      <c r="F1" s="205"/>
      <c r="G1" s="205"/>
      <c r="H1" s="205"/>
    </row>
    <row r="2" spans="4:8" ht="15" customHeight="1">
      <c r="D2" s="82"/>
      <c r="E2" s="82"/>
      <c r="F2" s="82"/>
      <c r="G2" s="82"/>
      <c r="H2" s="82"/>
    </row>
    <row r="3" spans="4:14" ht="24" customHeight="1">
      <c r="D3" s="204" t="str">
        <f>CONCATENATE(M11," Rate")</f>
        <v>Attendance Rate</v>
      </c>
      <c r="E3" s="204"/>
      <c r="F3" s="204"/>
      <c r="G3" s="204"/>
      <c r="L3" s="85" t="s">
        <v>74</v>
      </c>
      <c r="M3" s="106" t="s">
        <v>69</v>
      </c>
      <c r="N3" s="106" t="s">
        <v>8</v>
      </c>
    </row>
    <row r="4" spans="4:15" ht="18.75" customHeight="1">
      <c r="D4" s="215" t="str">
        <f>M11</f>
        <v>Attendance</v>
      </c>
      <c r="E4" s="215"/>
      <c r="F4" s="225" t="s">
        <v>54</v>
      </c>
      <c r="G4" s="225"/>
      <c r="L4" s="58" t="s">
        <v>70</v>
      </c>
      <c r="M4" s="136"/>
      <c r="N4" s="136"/>
      <c r="O4" s="238" t="s">
        <v>84</v>
      </c>
    </row>
    <row r="5" spans="4:15" ht="18.75" customHeight="1">
      <c r="D5" s="182" t="str">
        <f>IF(M11="Attendance","2007-2008","2006-2007")</f>
        <v>2007-2008</v>
      </c>
      <c r="E5" s="182"/>
      <c r="F5" s="226">
        <f>IF(M11="Attendance",M9,FIXED(M6,1))</f>
        <v>0</v>
      </c>
      <c r="G5" s="227"/>
      <c r="L5" s="58" t="s">
        <v>71</v>
      </c>
      <c r="M5" s="136"/>
      <c r="N5" s="136"/>
      <c r="O5" s="239"/>
    </row>
    <row r="6" spans="4:15" ht="18.75" customHeight="1">
      <c r="D6" s="182" t="str">
        <f>IF(M11="Attendance","2008-2009","2007-2008")</f>
        <v>2008-2009</v>
      </c>
      <c r="E6" s="182"/>
      <c r="F6" s="228">
        <f>IF(M11="Attendance",N9,FIXED(N6,1))</f>
        <v>0</v>
      </c>
      <c r="G6" s="229"/>
      <c r="H6" s="21" t="str">
        <f>IF(AND(F5&gt;0,F6&gt;0),ROUND((F5+F6)/2,1),"NA")</f>
        <v>NA</v>
      </c>
      <c r="L6" s="84" t="s">
        <v>55</v>
      </c>
      <c r="M6" s="86">
        <f>IF(M4+M5&gt;0,ROUND(100*M4/(M4+M5),1),"")</f>
      </c>
      <c r="N6" s="95">
        <f>IF(N4+N5&gt;0,ROUND(100*N4/(N4+N5),1),"")</f>
      </c>
      <c r="O6" s="96">
        <f>M4+N4+M5+N5</f>
        <v>0</v>
      </c>
    </row>
    <row r="7" spans="6:12" ht="15" customHeight="1">
      <c r="F7" s="92" t="str">
        <f>IF(H6="NA","Not Rated",IF(H6&gt;=I13,"Outstanding",IF(H6&gt;=G13,"Satisfactory","In Need of Improvement")))</f>
        <v>Not Rated</v>
      </c>
      <c r="L7" s="79"/>
    </row>
    <row r="8" spans="2:14" ht="18">
      <c r="B8" s="184" t="str">
        <f>CONCATENATE(M11,": ",F7)</f>
        <v>Attendance: Not Rated</v>
      </c>
      <c r="C8" s="185"/>
      <c r="D8" s="185"/>
      <c r="E8" s="185"/>
      <c r="F8" s="185"/>
      <c r="G8" s="185"/>
      <c r="H8" s="185"/>
      <c r="I8" s="185"/>
      <c r="J8" s="186"/>
      <c r="L8" s="85" t="s">
        <v>75</v>
      </c>
      <c r="M8" s="106" t="s">
        <v>8</v>
      </c>
      <c r="N8" s="106" t="s">
        <v>27</v>
      </c>
    </row>
    <row r="9" spans="2:14" ht="18" customHeight="1">
      <c r="B9" s="221" t="str">
        <f>CONCATENATE("Two-year Average ",M11)</f>
        <v>Two-year Average Attendance</v>
      </c>
      <c r="C9" s="222"/>
      <c r="D9" s="222"/>
      <c r="E9" s="219" t="str">
        <f>CONCATENATE("= (",M11," Rate 2007-08 + ",M11," Rate 2008-09)/2")</f>
        <v>= (Attendance Rate 2007-08 + Attendance Rate 2008-09)/2</v>
      </c>
      <c r="F9" s="219"/>
      <c r="G9" s="219"/>
      <c r="H9" s="219"/>
      <c r="I9" s="219"/>
      <c r="J9" s="220"/>
      <c r="L9" s="58" t="s">
        <v>46</v>
      </c>
      <c r="M9" s="136"/>
      <c r="N9" s="136"/>
    </row>
    <row r="10" spans="2:14" ht="15" customHeight="1">
      <c r="B10" s="19"/>
      <c r="C10" s="83"/>
      <c r="D10" s="91"/>
      <c r="E10" s="223" t="str">
        <f>IF(H6&lt;&gt;"NA",CONCATENATE("= ( ",FIXED(F5,1)," + ",FIXED(F6,1)," ) / 2 = ",FIXED(H6,1)),"= NA")</f>
        <v>= NA</v>
      </c>
      <c r="F10" s="223"/>
      <c r="G10" s="223"/>
      <c r="H10" s="89"/>
      <c r="I10" s="89"/>
      <c r="J10" s="78"/>
      <c r="L10"/>
      <c r="M10"/>
      <c r="N10"/>
    </row>
    <row r="11" spans="2:14" ht="15" customHeight="1">
      <c r="B11" s="230" t="s">
        <v>59</v>
      </c>
      <c r="C11" s="231"/>
      <c r="D11" s="230" t="s">
        <v>23</v>
      </c>
      <c r="E11" s="231"/>
      <c r="F11" s="234"/>
      <c r="G11" s="230" t="s">
        <v>22</v>
      </c>
      <c r="H11" s="234"/>
      <c r="I11" s="230" t="s">
        <v>21</v>
      </c>
      <c r="J11" s="234"/>
      <c r="L11" s="107" t="s">
        <v>78</v>
      </c>
      <c r="M11" s="207" t="str">
        <f>IF(AND('Overall Rating'!C4="Y",O6&gt;=20),"Graduation","Attendance")</f>
        <v>Attendance</v>
      </c>
      <c r="N11" s="208"/>
    </row>
    <row r="12" spans="2:14" ht="18.75" customHeight="1">
      <c r="B12" s="232" t="str">
        <f>CONCATENATE(M11," Rate")</f>
        <v>Attendance Rate</v>
      </c>
      <c r="C12" s="233"/>
      <c r="D12" s="232" t="str">
        <f>CONCATENATE("Less than ",G13)</f>
        <v>Less than 89</v>
      </c>
      <c r="E12" s="233"/>
      <c r="F12" s="235"/>
      <c r="G12" s="232" t="str">
        <f>CONCATENATE(G13," to ",H13)</f>
        <v>89 to 91.9</v>
      </c>
      <c r="H12" s="235"/>
      <c r="I12" s="232" t="str">
        <f>CONCATENATE(I13," or Higher")</f>
        <v>92 or Higher</v>
      </c>
      <c r="J12" s="235"/>
      <c r="L12" s="236" t="s">
        <v>83</v>
      </c>
      <c r="M12" s="236"/>
      <c r="N12" s="236"/>
    </row>
    <row r="13" spans="7:14" ht="18.75" customHeight="1">
      <c r="G13" s="21">
        <f>IF(M11="Graduation",60,89)</f>
        <v>89</v>
      </c>
      <c r="H13" s="21" t="str">
        <f>IF(M11="Graduation","68.0","91.9")</f>
        <v>91.9</v>
      </c>
      <c r="I13" s="21">
        <f>IF(M11="Graduation",68.1,92)</f>
        <v>92</v>
      </c>
      <c r="L13" s="237"/>
      <c r="M13" s="237"/>
      <c r="N13" s="237"/>
    </row>
    <row r="14" spans="2:14" ht="24" customHeight="1">
      <c r="B14" s="204" t="s">
        <v>47</v>
      </c>
      <c r="C14" s="204"/>
      <c r="D14" s="204"/>
      <c r="E14" s="204"/>
      <c r="F14" s="204"/>
      <c r="G14" s="204"/>
      <c r="H14" s="204"/>
      <c r="I14" s="204"/>
      <c r="J14" s="204"/>
      <c r="L14"/>
      <c r="M14"/>
      <c r="N14"/>
    </row>
    <row r="15" spans="2:10" ht="15" customHeight="1">
      <c r="B15" s="224" t="s">
        <v>53</v>
      </c>
      <c r="C15" s="224"/>
      <c r="D15" s="224"/>
      <c r="E15" s="224"/>
      <c r="F15" s="224"/>
      <c r="G15" s="224"/>
      <c r="H15" s="224"/>
      <c r="I15" s="224"/>
      <c r="J15" s="224"/>
    </row>
    <row r="16" spans="2:10" ht="15" customHeight="1">
      <c r="B16" s="181" t="s">
        <v>48</v>
      </c>
      <c r="C16" s="181" t="s">
        <v>9</v>
      </c>
      <c r="D16" s="181"/>
      <c r="E16" s="181" t="s">
        <v>10</v>
      </c>
      <c r="F16" s="181"/>
      <c r="G16" s="181" t="s">
        <v>49</v>
      </c>
      <c r="H16" s="181"/>
      <c r="I16" s="181" t="s">
        <v>50</v>
      </c>
      <c r="J16" s="181"/>
    </row>
    <row r="17" spans="2:10" ht="15" customHeight="1">
      <c r="B17" s="181"/>
      <c r="C17" s="60" t="s">
        <v>51</v>
      </c>
      <c r="D17" s="60" t="s">
        <v>52</v>
      </c>
      <c r="E17" s="60" t="s">
        <v>51</v>
      </c>
      <c r="F17" s="60" t="s">
        <v>52</v>
      </c>
      <c r="G17" s="60" t="s">
        <v>51</v>
      </c>
      <c r="H17" s="60" t="s">
        <v>52</v>
      </c>
      <c r="I17" s="60" t="s">
        <v>51</v>
      </c>
      <c r="J17" s="60" t="s">
        <v>52</v>
      </c>
    </row>
    <row r="18" spans="2:10" ht="15" customHeight="1">
      <c r="B18" s="59">
        <v>3</v>
      </c>
      <c r="C18" s="136"/>
      <c r="D18" s="136"/>
      <c r="E18" s="136"/>
      <c r="F18" s="136"/>
      <c r="G18" s="61"/>
      <c r="H18" s="61"/>
      <c r="I18" s="61"/>
      <c r="J18" s="61"/>
    </row>
    <row r="19" spans="2:10" ht="15.75" customHeight="1">
      <c r="B19" s="59">
        <v>4</v>
      </c>
      <c r="C19" s="136"/>
      <c r="D19" s="136"/>
      <c r="E19" s="136"/>
      <c r="F19" s="136"/>
      <c r="G19" s="136"/>
      <c r="H19" s="136"/>
      <c r="I19" s="61"/>
      <c r="J19" s="61"/>
    </row>
    <row r="20" spans="2:10" ht="15.75" customHeight="1">
      <c r="B20" s="59">
        <v>5</v>
      </c>
      <c r="C20" s="136"/>
      <c r="D20" s="136"/>
      <c r="E20" s="136"/>
      <c r="F20" s="136"/>
      <c r="G20" s="61"/>
      <c r="H20" s="61"/>
      <c r="I20" s="136"/>
      <c r="J20" s="136"/>
    </row>
    <row r="21" spans="2:10" ht="15.75" customHeight="1">
      <c r="B21" s="59">
        <v>6</v>
      </c>
      <c r="C21" s="136"/>
      <c r="D21" s="136"/>
      <c r="E21" s="136"/>
      <c r="F21" s="136"/>
      <c r="G21" s="61"/>
      <c r="H21" s="61"/>
      <c r="I21" s="61"/>
      <c r="J21" s="61"/>
    </row>
    <row r="22" spans="2:10" ht="15.75" customHeight="1">
      <c r="B22" s="59">
        <v>7</v>
      </c>
      <c r="C22" s="136"/>
      <c r="D22" s="136"/>
      <c r="E22" s="136"/>
      <c r="F22" s="136"/>
      <c r="G22" s="136"/>
      <c r="H22" s="136"/>
      <c r="I22" s="61"/>
      <c r="J22" s="61"/>
    </row>
    <row r="23" spans="2:10" ht="15.75" customHeight="1">
      <c r="B23" s="59">
        <v>8</v>
      </c>
      <c r="C23" s="136"/>
      <c r="D23" s="136"/>
      <c r="E23" s="136"/>
      <c r="F23" s="136"/>
      <c r="G23" s="61"/>
      <c r="H23" s="61"/>
      <c r="I23" s="136"/>
      <c r="J23" s="136"/>
    </row>
    <row r="24" spans="2:10" ht="15.75" customHeight="1">
      <c r="B24" s="59">
        <v>10</v>
      </c>
      <c r="C24" s="136"/>
      <c r="D24" s="136"/>
      <c r="E24" s="136"/>
      <c r="F24" s="136"/>
      <c r="G24" s="136"/>
      <c r="H24" s="136"/>
      <c r="I24" s="136"/>
      <c r="J24" s="136"/>
    </row>
    <row r="25" spans="2:10" ht="15.75" customHeight="1">
      <c r="B25" s="59" t="s">
        <v>36</v>
      </c>
      <c r="C25" s="59">
        <f aca="true" t="shared" si="0" ref="C25:J25">SUM(C18:C24)</f>
        <v>0</v>
      </c>
      <c r="D25" s="59">
        <f t="shared" si="0"/>
        <v>0</v>
      </c>
      <c r="E25" s="59">
        <f t="shared" si="0"/>
        <v>0</v>
      </c>
      <c r="F25" s="59">
        <f t="shared" si="0"/>
        <v>0</v>
      </c>
      <c r="G25" s="59">
        <f t="shared" si="0"/>
        <v>0</v>
      </c>
      <c r="H25" s="59">
        <f t="shared" si="0"/>
        <v>0</v>
      </c>
      <c r="I25" s="59">
        <f t="shared" si="0"/>
        <v>0</v>
      </c>
      <c r="J25" s="59">
        <f t="shared" si="0"/>
        <v>0</v>
      </c>
    </row>
    <row r="26" spans="9:10" ht="15" customHeight="1">
      <c r="I26" s="21">
        <f>SUM(C18:C24)+SUM(E18:E24)+G19+G22+G24</f>
        <v>0</v>
      </c>
      <c r="J26" s="21">
        <f>SUM(D18:D24)+SUM(F18:F24)+H19+H22+H24</f>
        <v>0</v>
      </c>
    </row>
    <row r="27" spans="9:10" ht="15" customHeight="1">
      <c r="I27" s="21" t="str">
        <f>IF(I26+J26&gt;0,IF(J27&gt;94.5,"Outstanding","In Need of Improvement"),"Not Rated")</f>
        <v>Not Rated</v>
      </c>
      <c r="J27" s="62" t="str">
        <f>IF(I26+J26&gt;0,ROUND(100*I26/(I26+J26),1),"NA")</f>
        <v>NA</v>
      </c>
    </row>
    <row r="28" spans="2:10" ht="15" customHeight="1">
      <c r="B28" s="184" t="str">
        <f>CONCATENATE("Participation: ",I27)</f>
        <v>Participation: Not Rated</v>
      </c>
      <c r="C28" s="185"/>
      <c r="D28" s="185"/>
      <c r="E28" s="185"/>
      <c r="F28" s="185"/>
      <c r="G28" s="185"/>
      <c r="H28" s="185"/>
      <c r="I28" s="185"/>
      <c r="J28" s="186"/>
    </row>
    <row r="29" spans="2:10" ht="12.75">
      <c r="B29" s="209" t="s">
        <v>73</v>
      </c>
      <c r="C29" s="210"/>
      <c r="D29" s="210"/>
      <c r="E29" s="210"/>
      <c r="F29" s="210"/>
      <c r="G29" s="210"/>
      <c r="H29" s="210"/>
      <c r="I29" s="210"/>
      <c r="J29" s="211"/>
    </row>
    <row r="30" spans="2:10" ht="17.25" customHeight="1">
      <c r="B30" s="212" t="str">
        <f>IF(I26+J26&gt;0,CONCATENATE("= ",I26," / (",I26," + ",J26,")"," = ",FIXED(J27,1)),"= NA")</f>
        <v>= NA</v>
      </c>
      <c r="C30" s="213"/>
      <c r="D30" s="213"/>
      <c r="E30" s="213"/>
      <c r="F30" s="213"/>
      <c r="G30" s="213"/>
      <c r="H30" s="213"/>
      <c r="I30" s="213"/>
      <c r="J30" s="214"/>
    </row>
    <row r="31" spans="2:10" ht="17.25" customHeight="1">
      <c r="B31" s="206" t="s">
        <v>59</v>
      </c>
      <c r="C31" s="207"/>
      <c r="D31" s="208"/>
      <c r="E31" s="206" t="s">
        <v>23</v>
      </c>
      <c r="F31" s="207"/>
      <c r="G31" s="208"/>
      <c r="H31" s="206" t="s">
        <v>21</v>
      </c>
      <c r="I31" s="207"/>
      <c r="J31" s="208"/>
    </row>
    <row r="32" spans="2:10" ht="18" customHeight="1">
      <c r="B32" s="216" t="s">
        <v>47</v>
      </c>
      <c r="C32" s="217"/>
      <c r="D32" s="218"/>
      <c r="E32" s="216" t="s">
        <v>72</v>
      </c>
      <c r="F32" s="217"/>
      <c r="G32" s="218"/>
      <c r="H32" s="216" t="s">
        <v>79</v>
      </c>
      <c r="I32" s="217"/>
      <c r="J32" s="218"/>
    </row>
    <row r="33" ht="18" customHeight="1"/>
    <row r="34" ht="15" customHeight="1"/>
    <row r="35" ht="15" customHeight="1"/>
    <row r="36" ht="15" customHeight="1"/>
  </sheetData>
  <sheetProtection password="CFF5" sheet="1" objects="1" scenarios="1"/>
  <protectedRanges>
    <protectedRange sqref="M9:N9" name="Range8"/>
    <protectedRange sqref="M4:N5" name="Range7"/>
    <protectedRange sqref="I20:J20" name="Range6"/>
    <protectedRange sqref="I23:J23" name="Range5"/>
    <protectedRange sqref="G24:J24" name="Range4"/>
    <protectedRange sqref="G22:H22" name="Range3"/>
    <protectedRange sqref="G19:H19" name="Range2"/>
    <protectedRange sqref="C18:F24" name="Range1"/>
  </protectedRanges>
  <mergeCells count="39">
    <mergeCell ref="L12:N13"/>
    <mergeCell ref="M11:N11"/>
    <mergeCell ref="O4:O5"/>
    <mergeCell ref="G11:H11"/>
    <mergeCell ref="G12:H12"/>
    <mergeCell ref="I11:J11"/>
    <mergeCell ref="I12:J12"/>
    <mergeCell ref="B11:C11"/>
    <mergeCell ref="B16:B17"/>
    <mergeCell ref="C16:D16"/>
    <mergeCell ref="E16:F16"/>
    <mergeCell ref="B12:C12"/>
    <mergeCell ref="D11:F11"/>
    <mergeCell ref="D12:F12"/>
    <mergeCell ref="D5:E5"/>
    <mergeCell ref="D6:E6"/>
    <mergeCell ref="F4:G4"/>
    <mergeCell ref="F5:G5"/>
    <mergeCell ref="F6:G6"/>
    <mergeCell ref="H32:J32"/>
    <mergeCell ref="E32:G32"/>
    <mergeCell ref="B32:D32"/>
    <mergeCell ref="E9:J9"/>
    <mergeCell ref="B9:D9"/>
    <mergeCell ref="G16:H16"/>
    <mergeCell ref="E10:G10"/>
    <mergeCell ref="I16:J16"/>
    <mergeCell ref="B15:J15"/>
    <mergeCell ref="B14:J14"/>
    <mergeCell ref="D3:G3"/>
    <mergeCell ref="D1:H1"/>
    <mergeCell ref="B8:J8"/>
    <mergeCell ref="H31:J31"/>
    <mergeCell ref="E31:G31"/>
    <mergeCell ref="B31:D31"/>
    <mergeCell ref="B29:J29"/>
    <mergeCell ref="B30:J30"/>
    <mergeCell ref="B28:J28"/>
    <mergeCell ref="D4:E4"/>
  </mergeCells>
  <printOptions/>
  <pageMargins left="0.75" right="0.75" top="1" bottom="1" header="0.5" footer="0.5"/>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Wiens</dc:creator>
  <cp:keywords/>
  <dc:description/>
  <cp:lastModifiedBy>BarrickC</cp:lastModifiedBy>
  <cp:lastPrinted>2009-09-22T17:00:35Z</cp:lastPrinted>
  <dcterms:created xsi:type="dcterms:W3CDTF">2009-03-10T21:57:53Z</dcterms:created>
  <dcterms:modified xsi:type="dcterms:W3CDTF">2009-09-24T16:10:16Z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1233911228</vt:i4>
  </property>
  <property fmtid="{D5CDD505-2E9C-101B-9397-08002B2CF9AE}" pid="3" name="_NewReviewCycle">
    <vt:lpwstr/>
  </property>
  <property fmtid="{D5CDD505-2E9C-101B-9397-08002B2CF9AE}" pid="4" name="_EmailSubject">
    <vt:lpwstr>Report Card Calculator</vt:lpwstr>
  </property>
  <property fmtid="{D5CDD505-2E9C-101B-9397-08002B2CF9AE}" pid="5" name="_AuthorEmail">
    <vt:lpwstr>Jon.Wiens@ode.state.or.us</vt:lpwstr>
  </property>
  <property fmtid="{D5CDD505-2E9C-101B-9397-08002B2CF9AE}" pid="6" name="_AuthorEmailDisplayName">
    <vt:lpwstr>WIENS Jon</vt:lpwstr>
  </property>
  <property fmtid="{D5CDD505-2E9C-101B-9397-08002B2CF9AE}" pid="7" name="_ReviewingToolsShownOnce">
    <vt:lpwstr/>
  </property>
  <property fmtid="{D5CDD505-2E9C-101B-9397-08002B2CF9AE}" pid="8" name="Priority">
    <vt:lpwstr>Legacy</vt:lpwstr>
  </property>
  <property fmtid="{D5CDD505-2E9C-101B-9397-08002B2CF9AE}" pid="9" name="display_urn:schemas-microsoft-com:office:office#Editor">
    <vt:lpwstr>Cindy Barrick</vt:lpwstr>
  </property>
  <property fmtid="{D5CDD505-2E9C-101B-9397-08002B2CF9AE}" pid="10" name="display_urn:schemas-microsoft-com:office:office#Author">
    <vt:lpwstr>Cindy Barrick</vt:lpwstr>
  </property>
</Properties>
</file>