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web stuff\fiscal\"/>
    </mc:Choice>
  </mc:AlternateContent>
  <bookViews>
    <workbookView xWindow="0" yWindow="0" windowWidth="28800" windowHeight="12300" tabRatio="723"/>
  </bookViews>
  <sheets>
    <sheet name="Information" sheetId="4" r:id="rId1"/>
    <sheet name="Section 611 Awards" sheetId="11" r:id="rId2"/>
    <sheet name="Section 619 Awards" sheetId="12" r:id="rId3"/>
    <sheet name="Program Awards" sheetId="13" r:id="rId4"/>
    <sheet name="Other Amounts" sheetId="14" r:id="rId5"/>
  </sheets>
  <definedNames>
    <definedName name="_xlnm.Print_Titles" localSheetId="0">Information!$1:$1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 i="12" l="1"/>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D45" i="14" l="1"/>
  <c r="D46" i="14"/>
  <c r="D148" i="14"/>
  <c r="E2" i="14"/>
  <c r="E3" i="14"/>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I203" i="11"/>
  <c r="C6" i="13" l="1"/>
  <c r="H202" i="11"/>
  <c r="D202" i="14" s="1"/>
  <c r="B6" i="13" l="1"/>
  <c r="B203" i="12"/>
  <c r="C203" i="12"/>
  <c r="C2" i="13" s="1"/>
  <c r="D203" i="12"/>
  <c r="C3" i="13" s="1"/>
  <c r="E203" i="12"/>
  <c r="C4" i="13" s="1"/>
  <c r="F203" i="12"/>
  <c r="C5" i="13" s="1"/>
  <c r="G203" i="12"/>
  <c r="C7" i="13" s="1"/>
  <c r="H2" i="11"/>
  <c r="D2" i="14" s="1"/>
  <c r="H3" i="11"/>
  <c r="D3" i="14" s="1"/>
  <c r="H4" i="11"/>
  <c r="D4" i="14" s="1"/>
  <c r="H5" i="11"/>
  <c r="D5" i="14" s="1"/>
  <c r="H6" i="11"/>
  <c r="D6" i="14" s="1"/>
  <c r="H7" i="11"/>
  <c r="D7" i="14" s="1"/>
  <c r="H8" i="11"/>
  <c r="D8" i="14" s="1"/>
  <c r="H9" i="11"/>
  <c r="D9" i="14" s="1"/>
  <c r="H10" i="11"/>
  <c r="D10" i="14" s="1"/>
  <c r="H11" i="11"/>
  <c r="D11" i="14" s="1"/>
  <c r="H12" i="11"/>
  <c r="D12" i="14" s="1"/>
  <c r="H13" i="11"/>
  <c r="D13" i="14" s="1"/>
  <c r="H14" i="11"/>
  <c r="D14" i="14" s="1"/>
  <c r="H15" i="11"/>
  <c r="D15" i="14" s="1"/>
  <c r="H16" i="11"/>
  <c r="D16" i="14" s="1"/>
  <c r="H17" i="11"/>
  <c r="D17" i="14" s="1"/>
  <c r="H18" i="11"/>
  <c r="D18" i="14" s="1"/>
  <c r="H19" i="11"/>
  <c r="D19" i="14" s="1"/>
  <c r="H20" i="11"/>
  <c r="D20" i="14" s="1"/>
  <c r="H21" i="11"/>
  <c r="D21" i="14" s="1"/>
  <c r="H22" i="11"/>
  <c r="D22" i="14" s="1"/>
  <c r="H23" i="11"/>
  <c r="D23" i="14" s="1"/>
  <c r="H24" i="11"/>
  <c r="D24" i="14" s="1"/>
  <c r="H25" i="11"/>
  <c r="D25" i="14" s="1"/>
  <c r="H26" i="11"/>
  <c r="D26" i="14" s="1"/>
  <c r="H27" i="11"/>
  <c r="D27" i="14" s="1"/>
  <c r="H28" i="11"/>
  <c r="D28" i="14" s="1"/>
  <c r="H29" i="11"/>
  <c r="D29" i="14" s="1"/>
  <c r="H30" i="11"/>
  <c r="D30" i="14" s="1"/>
  <c r="H31" i="11"/>
  <c r="D31" i="14" s="1"/>
  <c r="H32" i="11"/>
  <c r="D32" i="14" s="1"/>
  <c r="H33" i="11"/>
  <c r="D33" i="14" s="1"/>
  <c r="H34" i="11"/>
  <c r="D34" i="14" s="1"/>
  <c r="H35" i="11"/>
  <c r="D35" i="14" s="1"/>
  <c r="H36" i="11"/>
  <c r="D36" i="14" s="1"/>
  <c r="H37" i="11"/>
  <c r="D37" i="14" s="1"/>
  <c r="H38" i="11"/>
  <c r="D38" i="14" s="1"/>
  <c r="H39" i="11"/>
  <c r="D39" i="14" s="1"/>
  <c r="H40" i="11"/>
  <c r="D40" i="14" s="1"/>
  <c r="H41" i="11"/>
  <c r="D41" i="14" s="1"/>
  <c r="H42" i="11"/>
  <c r="D42" i="14" s="1"/>
  <c r="H43" i="11"/>
  <c r="D43" i="14" s="1"/>
  <c r="H44" i="11"/>
  <c r="D44" i="14" s="1"/>
  <c r="H45" i="11"/>
  <c r="E45" i="14" s="1"/>
  <c r="H46" i="11"/>
  <c r="E46" i="14" s="1"/>
  <c r="H47" i="11"/>
  <c r="D47" i="14" s="1"/>
  <c r="H48" i="11"/>
  <c r="D48" i="14" s="1"/>
  <c r="H49" i="11"/>
  <c r="D49" i="14" s="1"/>
  <c r="H50" i="11"/>
  <c r="D50" i="14" s="1"/>
  <c r="H51" i="11"/>
  <c r="D51" i="14" s="1"/>
  <c r="H52" i="11"/>
  <c r="D52" i="14" s="1"/>
  <c r="H53" i="11"/>
  <c r="D53" i="14" s="1"/>
  <c r="H54" i="11"/>
  <c r="D54" i="14" s="1"/>
  <c r="H55" i="11"/>
  <c r="D55" i="14" s="1"/>
  <c r="H56" i="11"/>
  <c r="D56" i="14" s="1"/>
  <c r="H57" i="11"/>
  <c r="D57" i="14" s="1"/>
  <c r="H58" i="11"/>
  <c r="D58" i="14" s="1"/>
  <c r="H59" i="11"/>
  <c r="D59" i="14" s="1"/>
  <c r="H60" i="11"/>
  <c r="D60" i="14" s="1"/>
  <c r="H61" i="11"/>
  <c r="D61" i="14" s="1"/>
  <c r="H62" i="11"/>
  <c r="D62" i="14" s="1"/>
  <c r="H63" i="11"/>
  <c r="D63" i="14" s="1"/>
  <c r="H64" i="11"/>
  <c r="D64" i="14" s="1"/>
  <c r="H65" i="11"/>
  <c r="D65" i="14" s="1"/>
  <c r="H66" i="11"/>
  <c r="D66" i="14" s="1"/>
  <c r="H67" i="11"/>
  <c r="D67" i="14" s="1"/>
  <c r="H68" i="11"/>
  <c r="D68" i="14" s="1"/>
  <c r="H69" i="11"/>
  <c r="D69" i="14" s="1"/>
  <c r="H70" i="11"/>
  <c r="D70" i="14" s="1"/>
  <c r="H71" i="11"/>
  <c r="D71" i="14" s="1"/>
  <c r="H72" i="11"/>
  <c r="D72" i="14" s="1"/>
  <c r="H73" i="11"/>
  <c r="D73" i="14" s="1"/>
  <c r="H74" i="11"/>
  <c r="D74" i="14" s="1"/>
  <c r="H75" i="11"/>
  <c r="D75" i="14" s="1"/>
  <c r="H76" i="11"/>
  <c r="D76" i="14" s="1"/>
  <c r="H77" i="11"/>
  <c r="D77" i="14" s="1"/>
  <c r="H78" i="11"/>
  <c r="D78" i="14" s="1"/>
  <c r="H79" i="11"/>
  <c r="D79" i="14" s="1"/>
  <c r="H80" i="11"/>
  <c r="D80" i="14" s="1"/>
  <c r="H81" i="11"/>
  <c r="D81" i="14" s="1"/>
  <c r="H82" i="11"/>
  <c r="D82" i="14" s="1"/>
  <c r="H83" i="11"/>
  <c r="D83" i="14" s="1"/>
  <c r="H84" i="11"/>
  <c r="D84" i="14" s="1"/>
  <c r="H85" i="11"/>
  <c r="D85" i="14" s="1"/>
  <c r="H86" i="11"/>
  <c r="D86" i="14" s="1"/>
  <c r="H87" i="11"/>
  <c r="D87" i="14" s="1"/>
  <c r="H88" i="11"/>
  <c r="D88" i="14" s="1"/>
  <c r="H89" i="11"/>
  <c r="D89" i="14" s="1"/>
  <c r="H90" i="11"/>
  <c r="D90" i="14" s="1"/>
  <c r="H91" i="11"/>
  <c r="D91" i="14" s="1"/>
  <c r="H92" i="11"/>
  <c r="D92" i="14" s="1"/>
  <c r="H93" i="11"/>
  <c r="D93" i="14" s="1"/>
  <c r="H94" i="11"/>
  <c r="D94" i="14" s="1"/>
  <c r="H95" i="11"/>
  <c r="D95" i="14" s="1"/>
  <c r="H96" i="11"/>
  <c r="D96" i="14" s="1"/>
  <c r="H97" i="11"/>
  <c r="D97" i="14" s="1"/>
  <c r="H98" i="11"/>
  <c r="D98" i="14" s="1"/>
  <c r="H99" i="11"/>
  <c r="D99" i="14" s="1"/>
  <c r="H100" i="11"/>
  <c r="D100" i="14" s="1"/>
  <c r="H101" i="11"/>
  <c r="D101" i="14" s="1"/>
  <c r="H102" i="11"/>
  <c r="D102" i="14" s="1"/>
  <c r="H103" i="11"/>
  <c r="D103" i="14" s="1"/>
  <c r="H104" i="11"/>
  <c r="D104" i="14" s="1"/>
  <c r="H105" i="11"/>
  <c r="D105" i="14" s="1"/>
  <c r="H106" i="11"/>
  <c r="D106" i="14" s="1"/>
  <c r="H107" i="11"/>
  <c r="D107" i="14" s="1"/>
  <c r="H108" i="11"/>
  <c r="D108" i="14" s="1"/>
  <c r="H109" i="11"/>
  <c r="D109" i="14" s="1"/>
  <c r="H110" i="11"/>
  <c r="D110" i="14" s="1"/>
  <c r="H111" i="11"/>
  <c r="D111" i="14" s="1"/>
  <c r="H112" i="11"/>
  <c r="D112" i="14" s="1"/>
  <c r="H113" i="11"/>
  <c r="D113" i="14" s="1"/>
  <c r="H114" i="11"/>
  <c r="D114" i="14" s="1"/>
  <c r="H115" i="11"/>
  <c r="D115" i="14" s="1"/>
  <c r="H116" i="11"/>
  <c r="D116" i="14" s="1"/>
  <c r="H117" i="11"/>
  <c r="D117" i="14" s="1"/>
  <c r="H118" i="11"/>
  <c r="D118" i="14" s="1"/>
  <c r="H119" i="11"/>
  <c r="D119" i="14" s="1"/>
  <c r="H120" i="11"/>
  <c r="D120" i="14" s="1"/>
  <c r="H121" i="11"/>
  <c r="D121" i="14" s="1"/>
  <c r="H122" i="11"/>
  <c r="D122" i="14" s="1"/>
  <c r="H123" i="11"/>
  <c r="D123" i="14" s="1"/>
  <c r="H124" i="11"/>
  <c r="D124" i="14" s="1"/>
  <c r="H125" i="11"/>
  <c r="D125" i="14" s="1"/>
  <c r="H126" i="11"/>
  <c r="D126" i="14" s="1"/>
  <c r="H127" i="11"/>
  <c r="D127" i="14" s="1"/>
  <c r="H128" i="11"/>
  <c r="D128" i="14" s="1"/>
  <c r="H129" i="11"/>
  <c r="D129" i="14" s="1"/>
  <c r="H130" i="11"/>
  <c r="D130" i="14" s="1"/>
  <c r="H131" i="11"/>
  <c r="D131" i="14" s="1"/>
  <c r="H132" i="11"/>
  <c r="D132" i="14" s="1"/>
  <c r="H133" i="11"/>
  <c r="D133" i="14" s="1"/>
  <c r="H134" i="11"/>
  <c r="D134" i="14" s="1"/>
  <c r="H135" i="11"/>
  <c r="D135" i="14" s="1"/>
  <c r="H136" i="11"/>
  <c r="D136" i="14" s="1"/>
  <c r="H137" i="11"/>
  <c r="D137" i="14" s="1"/>
  <c r="H138" i="11"/>
  <c r="D138" i="14" s="1"/>
  <c r="H139" i="11"/>
  <c r="D139" i="14" s="1"/>
  <c r="H140" i="11"/>
  <c r="D140" i="14" s="1"/>
  <c r="H141" i="11"/>
  <c r="D141" i="14" s="1"/>
  <c r="H142" i="11"/>
  <c r="D142" i="14" s="1"/>
  <c r="H143" i="11"/>
  <c r="D143" i="14" s="1"/>
  <c r="H144" i="11"/>
  <c r="D144" i="14" s="1"/>
  <c r="H145" i="11"/>
  <c r="D145" i="14" s="1"/>
  <c r="H146" i="11"/>
  <c r="D146" i="14" s="1"/>
  <c r="H147" i="11"/>
  <c r="D147" i="14" s="1"/>
  <c r="H148" i="11"/>
  <c r="E148" i="14" s="1"/>
  <c r="H149" i="11"/>
  <c r="D149" i="14" s="1"/>
  <c r="H150" i="11"/>
  <c r="D150" i="14" s="1"/>
  <c r="H151" i="11"/>
  <c r="D151" i="14" s="1"/>
  <c r="H152" i="11"/>
  <c r="D152" i="14" s="1"/>
  <c r="H153" i="11"/>
  <c r="D153" i="14" s="1"/>
  <c r="H154" i="11"/>
  <c r="D154" i="14" s="1"/>
  <c r="H155" i="11"/>
  <c r="D155" i="14" s="1"/>
  <c r="H156" i="11"/>
  <c r="D156" i="14" s="1"/>
  <c r="H157" i="11"/>
  <c r="D157" i="14" s="1"/>
  <c r="H158" i="11"/>
  <c r="D158" i="14" s="1"/>
  <c r="H159" i="11"/>
  <c r="D159" i="14" s="1"/>
  <c r="H160" i="11"/>
  <c r="D160" i="14" s="1"/>
  <c r="H161" i="11"/>
  <c r="D161" i="14" s="1"/>
  <c r="H162" i="11"/>
  <c r="D162" i="14" s="1"/>
  <c r="H163" i="11"/>
  <c r="D163" i="14" s="1"/>
  <c r="H164" i="11"/>
  <c r="D164" i="14" s="1"/>
  <c r="H165" i="11"/>
  <c r="D165" i="14" s="1"/>
  <c r="H166" i="11"/>
  <c r="D166" i="14" s="1"/>
  <c r="H167" i="11"/>
  <c r="D167" i="14" s="1"/>
  <c r="H168" i="11"/>
  <c r="D168" i="14" s="1"/>
  <c r="H169" i="11"/>
  <c r="D169" i="14" s="1"/>
  <c r="H170" i="11"/>
  <c r="D170" i="14" s="1"/>
  <c r="H171" i="11"/>
  <c r="D171" i="14" s="1"/>
  <c r="H172" i="11"/>
  <c r="D172" i="14" s="1"/>
  <c r="H173" i="11"/>
  <c r="D173" i="14" s="1"/>
  <c r="H174" i="11"/>
  <c r="D174" i="14" s="1"/>
  <c r="H175" i="11"/>
  <c r="D175" i="14" s="1"/>
  <c r="H176" i="11"/>
  <c r="D176" i="14" s="1"/>
  <c r="H177" i="11"/>
  <c r="D177" i="14" s="1"/>
  <c r="H178" i="11"/>
  <c r="D178" i="14" s="1"/>
  <c r="H179" i="11"/>
  <c r="D179" i="14" s="1"/>
  <c r="H180" i="11"/>
  <c r="D180" i="14" s="1"/>
  <c r="H181" i="11"/>
  <c r="D181" i="14" s="1"/>
  <c r="H182" i="11"/>
  <c r="D182" i="14" s="1"/>
  <c r="H183" i="11"/>
  <c r="D183" i="14" s="1"/>
  <c r="H184" i="11"/>
  <c r="D184" i="14" s="1"/>
  <c r="H185" i="11"/>
  <c r="D185" i="14" s="1"/>
  <c r="H186" i="11"/>
  <c r="D186" i="14" s="1"/>
  <c r="H187" i="11"/>
  <c r="D187" i="14" s="1"/>
  <c r="H188" i="11"/>
  <c r="D188" i="14" s="1"/>
  <c r="H189" i="11"/>
  <c r="D189" i="14" s="1"/>
  <c r="H190" i="11"/>
  <c r="D190" i="14" s="1"/>
  <c r="H191" i="11"/>
  <c r="D191" i="14" s="1"/>
  <c r="H192" i="11"/>
  <c r="D192" i="14" s="1"/>
  <c r="H193" i="11"/>
  <c r="D193" i="14" s="1"/>
  <c r="H194" i="11"/>
  <c r="D194" i="14" s="1"/>
  <c r="H195" i="11"/>
  <c r="D195" i="14" s="1"/>
  <c r="H196" i="11"/>
  <c r="D196" i="14" s="1"/>
  <c r="H197" i="11"/>
  <c r="D197" i="14" s="1"/>
  <c r="H198" i="11"/>
  <c r="D198" i="14" s="1"/>
  <c r="H199" i="11"/>
  <c r="D199" i="14" s="1"/>
  <c r="H200" i="11"/>
  <c r="D200" i="14" s="1"/>
  <c r="H201" i="11"/>
  <c r="D201" i="14" s="1"/>
  <c r="B203" i="11"/>
  <c r="C203" i="11"/>
  <c r="B2" i="13" s="1"/>
  <c r="D203" i="11"/>
  <c r="B3" i="13" s="1"/>
  <c r="E203" i="11"/>
  <c r="B4" i="13" s="1"/>
  <c r="F203" i="11"/>
  <c r="B5" i="13" s="1"/>
  <c r="G203" i="11"/>
  <c r="B7" i="13" s="1"/>
  <c r="C8" i="13" l="1"/>
  <c r="D7" i="13"/>
  <c r="D6" i="13"/>
  <c r="D4" i="13"/>
  <c r="D3" i="13"/>
  <c r="B8" i="13"/>
  <c r="D2" i="13"/>
  <c r="D5" i="13"/>
  <c r="H203" i="12"/>
  <c r="H203" i="11"/>
  <c r="D8" i="13" l="1"/>
</calcChain>
</file>

<file path=xl/sharedStrings.xml><?xml version="1.0" encoding="utf-8"?>
<sst xmlns="http://schemas.openxmlformats.org/spreadsheetml/2006/main" count="673" uniqueCount="257">
  <si>
    <t>LEA Name</t>
  </si>
  <si>
    <t>Baker SD 5J</t>
  </si>
  <si>
    <t>Huntington SD 16J</t>
  </si>
  <si>
    <t>Burnt River SD 30J</t>
  </si>
  <si>
    <t>Monroe SD 1J</t>
  </si>
  <si>
    <t>Alsea SD 7J</t>
  </si>
  <si>
    <t>Philomath SD 17J</t>
  </si>
  <si>
    <t>Corvallis SD 509J</t>
  </si>
  <si>
    <t>Lake Oswego SD 7J</t>
  </si>
  <si>
    <t>North Clackamas SD 12</t>
  </si>
  <si>
    <t>Molalla River SD 35</t>
  </si>
  <si>
    <t>Oregon Trail SD 46</t>
  </si>
  <si>
    <t>Colton SD 53</t>
  </si>
  <si>
    <t>Oregon City SD 62</t>
  </si>
  <si>
    <t>Canby SD 86</t>
  </si>
  <si>
    <t>Estacada SD 108</t>
  </si>
  <si>
    <t>Gladstone SD 115</t>
  </si>
  <si>
    <t>Jewell SD 8</t>
  </si>
  <si>
    <t>Seaside SD 10</t>
  </si>
  <si>
    <t>Scappoose SD 1J</t>
  </si>
  <si>
    <t>Clatskanie SD 6J</t>
  </si>
  <si>
    <t>Rainier SD 13</t>
  </si>
  <si>
    <t>Vernonia SD 47J</t>
  </si>
  <si>
    <t>St Helens SD 502</t>
  </si>
  <si>
    <t>Coquille SD 8</t>
  </si>
  <si>
    <t>Coos Bay SD 9</t>
  </si>
  <si>
    <t>North Bend SD 13</t>
  </si>
  <si>
    <t>Powers SD 31</t>
  </si>
  <si>
    <t>Myrtle Point SD 41</t>
  </si>
  <si>
    <t>Bandon SD 54</t>
  </si>
  <si>
    <t>Central Curry SD 1</t>
  </si>
  <si>
    <t>Redmond SD 2J</t>
  </si>
  <si>
    <t>Sisters SD 6</t>
  </si>
  <si>
    <t>Oakland SD 1</t>
  </si>
  <si>
    <t>Glide SD 12</t>
  </si>
  <si>
    <t>South Umpqua SD 19</t>
  </si>
  <si>
    <t>North Douglas SD 22</t>
  </si>
  <si>
    <t>Yoncalla SD 32</t>
  </si>
  <si>
    <t>Elkton SD 34</t>
  </si>
  <si>
    <t>Riddle SD 70</t>
  </si>
  <si>
    <t>Glendale SD 77</t>
  </si>
  <si>
    <t>Reedsport SD 105</t>
  </si>
  <si>
    <t>Winston-Dillard SD 116</t>
  </si>
  <si>
    <t>Sutherlin SD 130</t>
  </si>
  <si>
    <t>Arlington SD 3</t>
  </si>
  <si>
    <t>Condon SD 25J</t>
  </si>
  <si>
    <t>John Day SD 3</t>
  </si>
  <si>
    <t>Prairie City SD 4</t>
  </si>
  <si>
    <t>Monument SD 8</t>
  </si>
  <si>
    <t>Dayville SD 16J</t>
  </si>
  <si>
    <t>Long Creek SD 17</t>
  </si>
  <si>
    <t>Harney County SD 3</t>
  </si>
  <si>
    <t>Harney County SD 4</t>
  </si>
  <si>
    <t>Pine Creek SD 5</t>
  </si>
  <si>
    <t>Diamond SD 7</t>
  </si>
  <si>
    <t>Suntex SD 10</t>
  </si>
  <si>
    <t>Drewsey SD 13</t>
  </si>
  <si>
    <t>Frenchglen SD 16</t>
  </si>
  <si>
    <t>Double O SD 28</t>
  </si>
  <si>
    <t>South Harney SD 33</t>
  </si>
  <si>
    <t>Phoenix-Talent SD 4</t>
  </si>
  <si>
    <t>Ashland SD 5</t>
  </si>
  <si>
    <t>Central Point SD 6</t>
  </si>
  <si>
    <t>Eagle Point SD 9</t>
  </si>
  <si>
    <t>Rogue River SD 35</t>
  </si>
  <si>
    <t>Prospect SD 59</t>
  </si>
  <si>
    <t>Butte Falls SD 91</t>
  </si>
  <si>
    <t>Pinehurst SD 94</t>
  </si>
  <si>
    <t>Medford SD 549C</t>
  </si>
  <si>
    <t>Culver SD 4</t>
  </si>
  <si>
    <t>Ashwood SD 8</t>
  </si>
  <si>
    <t>Black Butte SD 41</t>
  </si>
  <si>
    <t>Jefferson County SD 509J</t>
  </si>
  <si>
    <t>Grants Pass SD 7</t>
  </si>
  <si>
    <t>Klamath County SD</t>
  </si>
  <si>
    <t>Lake County SD 7</t>
  </si>
  <si>
    <t>Paisley SD 11</t>
  </si>
  <si>
    <t>North Lake SD 14</t>
  </si>
  <si>
    <t>Plush SD 18</t>
  </si>
  <si>
    <t>Adel SD 21</t>
  </si>
  <si>
    <t>Pleasant Hill SD 1</t>
  </si>
  <si>
    <t>Eugene SD 4J</t>
  </si>
  <si>
    <t>Springfield SD 19</t>
  </si>
  <si>
    <t>Fern Ridge SD 28J</t>
  </si>
  <si>
    <t>Mapleton SD 32</t>
  </si>
  <si>
    <t>Creswell SD 40</t>
  </si>
  <si>
    <t>Bethel SD 52</t>
  </si>
  <si>
    <t>McKenzie SD 68</t>
  </si>
  <si>
    <t>Junction City SD 69</t>
  </si>
  <si>
    <t>Lowell SD 71</t>
  </si>
  <si>
    <t>Oakridge SD 76</t>
  </si>
  <si>
    <t>Marcola SD 79J</t>
  </si>
  <si>
    <t>Blachly SD 90</t>
  </si>
  <si>
    <t>Siuslaw SD 97J</t>
  </si>
  <si>
    <t>Lincoln County SD</t>
  </si>
  <si>
    <t>Harrisburg SD 7J</t>
  </si>
  <si>
    <t>Lebanon Community SD 9</t>
  </si>
  <si>
    <t>Sweet Home SD 55</t>
  </si>
  <si>
    <t>Scio SD 95</t>
  </si>
  <si>
    <t>Santiam Canyon SD 129J</t>
  </si>
  <si>
    <t>Central Linn SD 552</t>
  </si>
  <si>
    <t>Jordan Valley SD 3</t>
  </si>
  <si>
    <t>Juntura SD 12</t>
  </si>
  <si>
    <t>Nyssa SD 26</t>
  </si>
  <si>
    <t>Annex SD 29</t>
  </si>
  <si>
    <t>Malheur County SD 51</t>
  </si>
  <si>
    <t>Adrian SD 61</t>
  </si>
  <si>
    <t>Harper SD 66</t>
  </si>
  <si>
    <t>Arock SD 81</t>
  </si>
  <si>
    <t>Vale SD 84</t>
  </si>
  <si>
    <t>Gervais SD 1</t>
  </si>
  <si>
    <t>Silver Falls SD 4J</t>
  </si>
  <si>
    <t>Cascade SD 5</t>
  </si>
  <si>
    <t>Jefferson SD 14J</t>
  </si>
  <si>
    <t>North Marion SD 15</t>
  </si>
  <si>
    <t>Salem-Keizer SD 24J</t>
  </si>
  <si>
    <t>North Santiam SD 29J</t>
  </si>
  <si>
    <t>St Paul SD 45</t>
  </si>
  <si>
    <t>Mt Angel SD 91</t>
  </si>
  <si>
    <t>Woodburn SD 103</t>
  </si>
  <si>
    <t>Morrow SD 1</t>
  </si>
  <si>
    <t>Portland SD 1J</t>
  </si>
  <si>
    <t>Parkrose SD 3</t>
  </si>
  <si>
    <t>Reynolds SD 7</t>
  </si>
  <si>
    <t>Gresham-Barlow SD 10J</t>
  </si>
  <si>
    <t>Centennial SD 28J</t>
  </si>
  <si>
    <t>Corbett SD 39</t>
  </si>
  <si>
    <t>David Douglas SD 40</t>
  </si>
  <si>
    <t>Riverdale SD 51J</t>
  </si>
  <si>
    <t>Dallas SD 2</t>
  </si>
  <si>
    <t>Central SD 13J</t>
  </si>
  <si>
    <t>Perrydale SD 21</t>
  </si>
  <si>
    <t>Falls City SD 57</t>
  </si>
  <si>
    <t>Tillamook SD 9</t>
  </si>
  <si>
    <t>Neah-Kah-Nie SD 56</t>
  </si>
  <si>
    <t>Nestucca Valley SD 101J</t>
  </si>
  <si>
    <t>Helix SD 1</t>
  </si>
  <si>
    <t>Pilot Rock SD 2</t>
  </si>
  <si>
    <t>Echo SD 5</t>
  </si>
  <si>
    <t>Stanfield SD 61</t>
  </si>
  <si>
    <t>La Grande SD 1</t>
  </si>
  <si>
    <t>Union SD 5</t>
  </si>
  <si>
    <t>North Powder SD 8J</t>
  </si>
  <si>
    <t>Imbler SD 11</t>
  </si>
  <si>
    <t>Cove SD 15</t>
  </si>
  <si>
    <t>Elgin SD 23</t>
  </si>
  <si>
    <t>Joseph SD 6</t>
  </si>
  <si>
    <t>Wallowa SD 12</t>
  </si>
  <si>
    <t>Enterprise SD 21</t>
  </si>
  <si>
    <t>Troy SD 54</t>
  </si>
  <si>
    <t>Dufur SD 29</t>
  </si>
  <si>
    <t>Hillsboro SD 1J</t>
  </si>
  <si>
    <t>Banks SD 13</t>
  </si>
  <si>
    <t>Forest Grove SD 15</t>
  </si>
  <si>
    <t>Tigard-Tualatin SD 23J</t>
  </si>
  <si>
    <t>Beaverton SD 48J</t>
  </si>
  <si>
    <t>Sherwood SD 88J</t>
  </si>
  <si>
    <t>Gaston SD 511J</t>
  </si>
  <si>
    <t>Spray SD 1</t>
  </si>
  <si>
    <t>Fossil SD 21J</t>
  </si>
  <si>
    <t>Mitchell SD 55</t>
  </si>
  <si>
    <t>Amity SD 4J</t>
  </si>
  <si>
    <t>Dayton SD 8</t>
  </si>
  <si>
    <t>Newberg SD 29J</t>
  </si>
  <si>
    <t>Willamina SD 30J</t>
  </si>
  <si>
    <t>McMinnville SD 40</t>
  </si>
  <si>
    <t>Sheridan SD 48J</t>
  </si>
  <si>
    <t>Knappa SD 4</t>
  </si>
  <si>
    <t>Important Information</t>
  </si>
  <si>
    <t>Regional Programs</t>
  </si>
  <si>
    <t>OSD</t>
  </si>
  <si>
    <t>LTCT</t>
  </si>
  <si>
    <t>Hospital Program</t>
  </si>
  <si>
    <t>ECSE Program</t>
  </si>
  <si>
    <t>Section 611</t>
  </si>
  <si>
    <t>New 2020-2021</t>
  </si>
  <si>
    <t>District</t>
  </si>
  <si>
    <t>Regional</t>
  </si>
  <si>
    <t>Hospital</t>
  </si>
  <si>
    <t>ECSE</t>
  </si>
  <si>
    <t>Gross Total</t>
  </si>
  <si>
    <t>Oregon School for the Deaf (OSD)</t>
  </si>
  <si>
    <t>Program Name</t>
  </si>
  <si>
    <t>Long Term Care and Treatment (LTCT)</t>
  </si>
  <si>
    <t>Pediatric Nursing Facility (PNF)</t>
  </si>
  <si>
    <t>Worksheet Information</t>
  </si>
  <si>
    <t>Total</t>
  </si>
  <si>
    <t>Section 619</t>
  </si>
  <si>
    <t>The Section 611 and 619 award worksheets contain similar columns. These are the explanations for each column.</t>
  </si>
  <si>
    <t>The Program Awards worksheet contains the following columns:</t>
  </si>
  <si>
    <t>Other Amounts worksheet contains the following columns:</t>
  </si>
  <si>
    <t>There are five worksheets in this report:</t>
  </si>
  <si>
    <r>
      <rPr>
        <b/>
        <sz val="10"/>
        <color theme="1"/>
        <rFont val="Calibri"/>
        <family val="2"/>
        <scheme val="minor"/>
      </rPr>
      <t>LEA Name</t>
    </r>
    <r>
      <rPr>
        <sz val="10"/>
        <color theme="1"/>
        <rFont val="Calibri"/>
        <family val="2"/>
        <scheme val="minor"/>
      </rPr>
      <t>: Name of the LEA</t>
    </r>
  </si>
  <si>
    <r>
      <rPr>
        <b/>
        <sz val="10"/>
        <color theme="1"/>
        <rFont val="Calibri"/>
        <family val="2"/>
        <scheme val="minor"/>
      </rPr>
      <t>District</t>
    </r>
    <r>
      <rPr>
        <sz val="10"/>
        <color theme="1"/>
        <rFont val="Calibri"/>
        <family val="2"/>
        <scheme val="minor"/>
      </rPr>
      <t>: The amount attributed to students served by the district only.</t>
    </r>
  </si>
  <si>
    <r>
      <rPr>
        <b/>
        <sz val="10"/>
        <color theme="1"/>
        <rFont val="Calibri"/>
        <family val="2"/>
        <scheme val="minor"/>
      </rPr>
      <t>Regional</t>
    </r>
    <r>
      <rPr>
        <sz val="10"/>
        <color theme="1"/>
        <rFont val="Calibri"/>
        <family val="2"/>
        <scheme val="minor"/>
      </rPr>
      <t>: The amount attributed to students served by a Regional Program.</t>
    </r>
  </si>
  <si>
    <r>
      <rPr>
        <b/>
        <sz val="10"/>
        <color theme="1"/>
        <rFont val="Calibri"/>
        <family val="2"/>
        <scheme val="minor"/>
      </rPr>
      <t>OSD</t>
    </r>
    <r>
      <rPr>
        <sz val="10"/>
        <color theme="1"/>
        <rFont val="Calibri"/>
        <family val="2"/>
        <scheme val="minor"/>
      </rPr>
      <t>: The amount attributed to students served by the Oregon School for the Deaf (OSD).</t>
    </r>
  </si>
  <si>
    <r>
      <rPr>
        <b/>
        <sz val="10"/>
        <color theme="1"/>
        <rFont val="Calibri"/>
        <family val="2"/>
        <scheme val="minor"/>
      </rPr>
      <t>LTCT</t>
    </r>
    <r>
      <rPr>
        <sz val="10"/>
        <color theme="1"/>
        <rFont val="Calibri"/>
        <family val="2"/>
        <scheme val="minor"/>
      </rPr>
      <t>: The amount attributed to students served by a Long Term Care and Treatment (LTCT) center.</t>
    </r>
  </si>
  <si>
    <r>
      <rPr>
        <b/>
        <sz val="10"/>
        <color theme="1"/>
        <rFont val="Calibri"/>
        <family val="2"/>
        <scheme val="minor"/>
      </rPr>
      <t>Hospital</t>
    </r>
    <r>
      <rPr>
        <sz val="10"/>
        <color theme="1"/>
        <rFont val="Calibri"/>
        <family val="2"/>
        <scheme val="minor"/>
      </rPr>
      <t>: The amount attributed to students served by a Hospital Progam.</t>
    </r>
  </si>
  <si>
    <r>
      <rPr>
        <b/>
        <sz val="10"/>
        <color theme="1"/>
        <rFont val="Calibri"/>
        <family val="2"/>
        <scheme val="minor"/>
      </rPr>
      <t>ECSE</t>
    </r>
    <r>
      <rPr>
        <sz val="10"/>
        <color theme="1"/>
        <rFont val="Calibri"/>
        <family val="2"/>
        <scheme val="minor"/>
      </rPr>
      <t>: The amount attributed to students served by an Early Childhood Special Education (ECSE) Program.</t>
    </r>
  </si>
  <si>
    <r>
      <rPr>
        <b/>
        <sz val="10"/>
        <color theme="1"/>
        <rFont val="Calibri"/>
        <family val="2"/>
        <scheme val="minor"/>
      </rPr>
      <t>Gross Total</t>
    </r>
    <r>
      <rPr>
        <sz val="10"/>
        <color theme="1"/>
        <rFont val="Calibri"/>
        <family val="2"/>
        <scheme val="minor"/>
      </rPr>
      <t>: The sum of the District, Regional, OSD, LTCT, Hospital, PNF, and ECSE columns</t>
    </r>
  </si>
  <si>
    <r>
      <rPr>
        <b/>
        <sz val="10"/>
        <color theme="1"/>
        <rFont val="Calibri"/>
        <family val="2"/>
        <scheme val="minor"/>
      </rPr>
      <t>Program Name</t>
    </r>
    <r>
      <rPr>
        <sz val="10"/>
        <color theme="1"/>
        <rFont val="Calibri"/>
        <family val="2"/>
        <scheme val="minor"/>
      </rPr>
      <t>: The name of the program.</t>
    </r>
  </si>
  <si>
    <r>
      <rPr>
        <b/>
        <sz val="10"/>
        <color theme="1"/>
        <rFont val="Calibri"/>
        <family val="2"/>
        <scheme val="minor"/>
      </rPr>
      <t>Section 611</t>
    </r>
    <r>
      <rPr>
        <sz val="10"/>
        <color theme="1"/>
        <rFont val="Calibri"/>
        <family val="2"/>
        <scheme val="minor"/>
      </rPr>
      <t>: The total amount for the program from Section 611 funds.</t>
    </r>
  </si>
  <si>
    <r>
      <rPr>
        <b/>
        <sz val="10"/>
        <color theme="1"/>
        <rFont val="Calibri"/>
        <family val="2"/>
        <scheme val="minor"/>
      </rPr>
      <t>Section 619</t>
    </r>
    <r>
      <rPr>
        <sz val="10"/>
        <color theme="1"/>
        <rFont val="Calibri"/>
        <family val="2"/>
        <scheme val="minor"/>
      </rPr>
      <t>: The total amount for the program from Section 619 funds.</t>
    </r>
  </si>
  <si>
    <r>
      <rPr>
        <b/>
        <sz val="10"/>
        <color theme="1"/>
        <rFont val="Calibri"/>
        <family val="2"/>
        <scheme val="minor"/>
      </rPr>
      <t>Total</t>
    </r>
    <r>
      <rPr>
        <sz val="10"/>
        <color theme="1"/>
        <rFont val="Calibri"/>
        <family val="2"/>
        <scheme val="minor"/>
      </rPr>
      <t>: The total amount.</t>
    </r>
  </si>
  <si>
    <r>
      <rPr>
        <b/>
        <sz val="10"/>
        <color theme="1"/>
        <rFont val="Calibri"/>
        <family val="2"/>
        <scheme val="minor"/>
      </rPr>
      <t>Information</t>
    </r>
    <r>
      <rPr>
        <sz val="10"/>
        <color theme="1"/>
        <rFont val="Calibri"/>
        <family val="2"/>
        <scheme val="minor"/>
      </rPr>
      <t>: The current worksheet that provides information about the report.</t>
    </r>
  </si>
  <si>
    <r>
      <rPr>
        <b/>
        <sz val="10"/>
        <color theme="1"/>
        <rFont val="Calibri"/>
        <family val="2"/>
        <scheme val="minor"/>
      </rPr>
      <t>Section 611 Awards</t>
    </r>
    <r>
      <rPr>
        <sz val="10"/>
        <color theme="1"/>
        <rFont val="Calibri"/>
        <family val="2"/>
        <scheme val="minor"/>
      </rPr>
      <t>: This worksheet contains total award amounts for each LEA for children aged 3-21.</t>
    </r>
  </si>
  <si>
    <r>
      <rPr>
        <b/>
        <sz val="10"/>
        <color theme="1"/>
        <rFont val="Calibri"/>
        <family val="2"/>
        <scheme val="minor"/>
      </rPr>
      <t>Section 619 Awards</t>
    </r>
    <r>
      <rPr>
        <sz val="10"/>
        <color theme="1"/>
        <rFont val="Calibri"/>
        <family val="2"/>
        <scheme val="minor"/>
      </rPr>
      <t>: This worksheet contains total award amounts for each LEA for children aged 3-5.</t>
    </r>
  </si>
  <si>
    <r>
      <rPr>
        <b/>
        <sz val="10"/>
        <color theme="1"/>
        <rFont val="Calibri"/>
        <family val="2"/>
        <scheme val="minor"/>
      </rPr>
      <t>Program Awards</t>
    </r>
    <r>
      <rPr>
        <sz val="10"/>
        <color theme="1"/>
        <rFont val="Calibri"/>
        <family val="2"/>
        <scheme val="minor"/>
      </rPr>
      <t>: This worksheet contains total award amounts for Programs.</t>
    </r>
  </si>
  <si>
    <r>
      <rPr>
        <b/>
        <sz val="10"/>
        <color theme="1"/>
        <rFont val="Calibri"/>
        <family val="2"/>
        <scheme val="minor"/>
      </rPr>
      <t>Other Amounts</t>
    </r>
    <r>
      <rPr>
        <sz val="10"/>
        <color theme="1"/>
        <rFont val="Calibri"/>
        <family val="2"/>
        <scheme val="minor"/>
      </rPr>
      <t>: This worksheet contains other amounts LEAs are to use for specific aspects of IDEA. These are not awards, but optional or required set aside amounts.</t>
    </r>
  </si>
  <si>
    <t>The flow-through award allocation estimate and final reports have changed for FFY 2020. This change is partly due to requirements for public documents to be accessible and also due to technical assistance received from the Office of Special Education Programs (OSEP). Previously, the ODE reported by options selected on the IDEA Assurance Application. This year, in an effort to be more open with districts, the ODE is providing the breakdown of allocation for each district and their specific contribution to each program.</t>
  </si>
  <si>
    <t>Astoria SD 1</t>
  </si>
  <si>
    <t>Athena-Weston SD 29RJ</t>
  </si>
  <si>
    <t>Bend-LaPine Administrative SD 1</t>
  </si>
  <si>
    <t>Brookings-Harbor SD 17C</t>
  </si>
  <si>
    <t>Camas Valley SD 21J</t>
  </si>
  <si>
    <t>Crook County SD</t>
  </si>
  <si>
    <t>Crow-Applegate-Lorane SD 66</t>
  </si>
  <si>
    <t>Douglas County SD 15</t>
  </si>
  <si>
    <t>Douglas County SD 4</t>
  </si>
  <si>
    <t>Greater Albany Public SD 8J</t>
  </si>
  <si>
    <t>Harney County Union High SD 1J</t>
  </si>
  <si>
    <t>Hermiston SD 8</t>
  </si>
  <si>
    <t>Hood River County SD</t>
  </si>
  <si>
    <t>Ione SD R2</t>
  </si>
  <si>
    <t>Klamath Falls City Schools</t>
  </si>
  <si>
    <t>Milton-Freewater Unified SD 7</t>
  </si>
  <si>
    <t>North Wasco County SD 21</t>
  </si>
  <si>
    <t>Ontario SD 8C</t>
  </si>
  <si>
    <t>Pendleton SD 16</t>
  </si>
  <si>
    <t>Pine Eagle SD 61</t>
  </si>
  <si>
    <t>Port Orford-Langlois SD 2CJ</t>
  </si>
  <si>
    <t>Sherman County SD</t>
  </si>
  <si>
    <t>South Lane SD 45J3</t>
  </si>
  <si>
    <t>South Wasco County SD 1</t>
  </si>
  <si>
    <t>Three Rivers/Josephine County SD</t>
  </si>
  <si>
    <t>Ukiah SD 80R</t>
  </si>
  <si>
    <t>Umatilla SD 6R</t>
  </si>
  <si>
    <t>Warrenton-Hammond SD 30</t>
  </si>
  <si>
    <t>West Linn-Wilsonville SD 3J</t>
  </si>
  <si>
    <t>Yamhill Carlton SD 1</t>
  </si>
  <si>
    <t>ODE JDEP</t>
  </si>
  <si>
    <t>ODE YCEP</t>
  </si>
  <si>
    <t>Oregon Dept. of Corrections (ACEP)</t>
  </si>
  <si>
    <r>
      <t xml:space="preserve">Districts may notice some differences between their FFY 2019 and FFY 2020 awards. Part of this may be due to </t>
    </r>
    <r>
      <rPr>
        <i/>
        <u/>
        <sz val="10"/>
        <color theme="1"/>
        <rFont val="Calibri"/>
        <family val="2"/>
        <scheme val="minor"/>
      </rPr>
      <t>Base Payment Adjustments</t>
    </r>
    <r>
      <rPr>
        <sz val="10"/>
        <color theme="1"/>
        <rFont val="Calibri"/>
        <family val="2"/>
        <scheme val="minor"/>
      </rPr>
      <t xml:space="preserve">. </t>
    </r>
    <r>
      <rPr>
        <sz val="10"/>
        <color theme="1"/>
        <rFont val="Calibri"/>
        <family val="2"/>
      </rPr>
      <t xml:space="preserve">Oregon must adjust district's base payments in accordance with the requirements of 34 CFR §300.705(b)(2) in any one of four situations: 1) when a new LEA is created; 2) when two or more LEA's combine; 3) when two or more LEA's geographic boundaries or administrative responsibility changes; and/or 4) if a LEA with a zero base payment </t>
    </r>
    <r>
      <rPr>
        <i/>
        <sz val="10"/>
        <color theme="1"/>
        <rFont val="Calibri"/>
        <family val="2"/>
      </rPr>
      <t>in its first year of operation</t>
    </r>
    <r>
      <rPr>
        <sz val="10"/>
        <color theme="1"/>
        <rFont val="Calibri"/>
        <family val="2"/>
      </rPr>
      <t xml:space="preserve"> begins serving students with disabilities after 7/1/2009. ODE has taken steps to make base payment adjustments in alignment with this rule and under the guidance of both the Office of Special Education Programs (OSEP) and their Technical Assistance Provider, the Center for IDEA Fiscal Reporting (CIFR). Please reach out to the IDEA Fiscal Team with any questions about your estimated allocation or the base payment adjustment process.</t>
    </r>
  </si>
  <si>
    <t>Historically, the "Regional" amounts for Section 619 were combined with the District Section 619 amounts and allocated to the district directly. This will no longer be automatic as the Assurance Application elections determine where both Section 611 and Section 619 amounts will go for Regional programs. Districts that wish to retain these funds must choose to do so.</t>
  </si>
  <si>
    <t>PPPS Share Section 611</t>
  </si>
  <si>
    <t>PPPS Share Section 619</t>
  </si>
  <si>
    <t>Sig Dis</t>
  </si>
  <si>
    <t>Optional Maximum CEIS Set-Aside</t>
  </si>
  <si>
    <t>Required CCEIS Set-Aside</t>
  </si>
  <si>
    <r>
      <rPr>
        <b/>
        <sz val="10"/>
        <color theme="1"/>
        <rFont val="Calibri"/>
        <family val="2"/>
        <scheme val="minor"/>
      </rPr>
      <t>Optional Maximum CEIS Set-Aside</t>
    </r>
    <r>
      <rPr>
        <sz val="10"/>
        <color theme="1"/>
        <rFont val="Calibri"/>
        <family val="2"/>
        <scheme val="minor"/>
      </rPr>
      <t xml:space="preserve">: The maximum amount a district may set aside for the purposes of Coordinated Early Intervening Services (CEIS). An amount listed in this column is an </t>
    </r>
    <r>
      <rPr>
        <b/>
        <sz val="10"/>
        <color theme="1"/>
        <rFont val="Calibri"/>
        <family val="2"/>
        <scheme val="minor"/>
      </rPr>
      <t>optional</t>
    </r>
    <r>
      <rPr>
        <sz val="10"/>
        <color theme="1"/>
        <rFont val="Calibri"/>
        <family val="2"/>
        <scheme val="minor"/>
      </rPr>
      <t xml:space="preserve"> amount.</t>
    </r>
  </si>
  <si>
    <r>
      <rPr>
        <b/>
        <sz val="10"/>
        <color theme="1"/>
        <rFont val="Calibri"/>
        <family val="2"/>
        <scheme val="minor"/>
      </rPr>
      <t>Required CCEIS Set-Aside</t>
    </r>
    <r>
      <rPr>
        <sz val="10"/>
        <color theme="1"/>
        <rFont val="Calibri"/>
        <family val="2"/>
        <scheme val="minor"/>
      </rPr>
      <t xml:space="preserve">: The minimum amount a district </t>
    </r>
    <r>
      <rPr>
        <b/>
        <sz val="10"/>
        <color theme="1"/>
        <rFont val="Calibri"/>
        <family val="2"/>
        <scheme val="minor"/>
      </rPr>
      <t>must</t>
    </r>
    <r>
      <rPr>
        <sz val="10"/>
        <color theme="1"/>
        <rFont val="Calibri"/>
        <family val="2"/>
        <scheme val="minor"/>
      </rPr>
      <t xml:space="preserve"> use for the purposes of Comprehensive Coordinated Early Intervening Services (CCEIS). An amount listed in this column is a </t>
    </r>
    <r>
      <rPr>
        <b/>
        <sz val="10"/>
        <color theme="1"/>
        <rFont val="Calibri"/>
        <family val="2"/>
        <scheme val="minor"/>
      </rPr>
      <t>required</t>
    </r>
    <r>
      <rPr>
        <sz val="10"/>
        <color theme="1"/>
        <rFont val="Calibri"/>
        <family val="2"/>
        <scheme val="minor"/>
      </rPr>
      <t xml:space="preserve"> amount due to an identification of Significant Disproportionality at the district.</t>
    </r>
  </si>
  <si>
    <r>
      <rPr>
        <b/>
        <sz val="10"/>
        <color theme="1"/>
        <rFont val="Calibri"/>
        <family val="2"/>
        <scheme val="minor"/>
      </rPr>
      <t>PPPS Share Section 619</t>
    </r>
    <r>
      <rPr>
        <sz val="10"/>
        <color theme="1"/>
        <rFont val="Calibri"/>
        <family val="2"/>
        <scheme val="minor"/>
      </rPr>
      <t>: The estimated proportionate amount a district must reserve for equitable services provided to students who were Parentally-Placed in a Private School (PPPS) that meets the defintion of an Elementary School from its Section 619 Award. This amount may change depending on the Private School collection in the Fall.</t>
    </r>
  </si>
  <si>
    <r>
      <rPr>
        <b/>
        <sz val="10"/>
        <color theme="1"/>
        <rFont val="Calibri"/>
        <family val="2"/>
        <scheme val="minor"/>
      </rPr>
      <t>PPPS Share Section 611</t>
    </r>
    <r>
      <rPr>
        <sz val="10"/>
        <color theme="1"/>
        <rFont val="Calibri"/>
        <family val="2"/>
        <scheme val="minor"/>
      </rPr>
      <t>: The estimated proportionate amount a district must reserve for equitable services provided to students who were Parentally-Placed in a Private School (PPPS) from its Section 611 award. This amount may change depending on the Private School collection in the Fall.</t>
    </r>
  </si>
  <si>
    <t>April, 2022 Updates</t>
  </si>
  <si>
    <t>This is the final allocation data for districts for the 2020-2021 fiscal year.</t>
  </si>
  <si>
    <t>These data only apply to the funds distributed from the IDEA Part B, Section 611 and Section 619 awards received July 1 and October 1, 2020. This final update reflects only minor changes to the Secetion 619 awards to correct rounding errors and includes all funds districts are allocated. The Section 611 awards have not 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</si>
</sst>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b/>
      <sz val="15"/>
      <color theme="3"/>
      <name val="Calibri"/>
      <family val="2"/>
      <scheme val="minor"/>
    </font>
    <font>
      <b/>
      <sz val="10"/>
      <color theme="1"/>
      <name val="Calibri"/>
      <family val="2"/>
      <scheme val="minor"/>
    </font>
    <font>
      <sz val="10"/>
      <color theme="1"/>
      <name val="Calibri"/>
      <family val="2"/>
    </font>
    <font>
      <i/>
      <u/>
      <sz val="10"/>
      <color theme="1"/>
      <name val="Calibri"/>
      <family val="2"/>
      <scheme val="minor"/>
    </font>
    <font>
      <i/>
      <sz val="10"/>
      <color theme="1"/>
      <name val="Calibri"/>
      <family val="2"/>
    </font>
    <font>
      <sz val="20"/>
      <color theme="1"/>
      <name val="Calibri Light"/>
      <family val="2"/>
      <scheme val="maj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ck">
        <color theme="4"/>
      </bottom>
      <diagonal/>
    </border>
  </borders>
  <cellStyleXfs count="6">
    <xf numFmtId="0" fontId="0" fillId="0" borderId="0"/>
    <xf numFmtId="44" fontId="1" fillId="0" borderId="0" applyFont="0" applyFill="0" applyBorder="0" applyAlignment="0" applyProtection="0"/>
    <xf numFmtId="0" fontId="9"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cellStyleXfs>
  <cellXfs count="25">
    <xf numFmtId="0" fontId="0" fillId="0" borderId="0" xfId="0"/>
    <xf numFmtId="0" fontId="0" fillId="0" borderId="0" xfId="0" applyAlignment="1">
      <alignment horizontal="left" wrapText="1"/>
    </xf>
    <xf numFmtId="0" fontId="0" fillId="2" borderId="0" xfId="0" applyFill="1"/>
    <xf numFmtId="44" fontId="0" fillId="0" borderId="0" xfId="1" applyFont="1"/>
    <xf numFmtId="44" fontId="0" fillId="0" borderId="0" xfId="0" applyNumberFormat="1" applyFont="1"/>
    <xf numFmtId="44" fontId="0" fillId="2" borderId="0" xfId="1" applyFont="1" applyFill="1"/>
    <xf numFmtId="0" fontId="0" fillId="0" borderId="0" xfId="0" applyFont="1"/>
    <xf numFmtId="0" fontId="0" fillId="0" borderId="0" xfId="0" applyFont="1" applyAlignment="1">
      <alignment horizontal="center"/>
    </xf>
    <xf numFmtId="0" fontId="0" fillId="2" borderId="0" xfId="0" applyFont="1" applyFill="1"/>
    <xf numFmtId="44" fontId="0" fillId="0" borderId="0" xfId="1" applyNumberFormat="1" applyFont="1"/>
    <xf numFmtId="0" fontId="9" fillId="0" borderId="0" xfId="2" applyAlignment="1">
      <alignment horizontal="center" vertical="center"/>
    </xf>
    <xf numFmtId="0" fontId="0" fillId="2" borderId="0" xfId="0" applyFill="1" applyAlignment="1">
      <alignment horizontal="left" vertical="center" wrapText="1"/>
    </xf>
    <xf numFmtId="0" fontId="2" fillId="2" borderId="1" xfId="3" applyFill="1" applyAlignment="1">
      <alignment horizontal="left" vertical="center"/>
    </xf>
    <xf numFmtId="0" fontId="0" fillId="2" borderId="0" xfId="0" applyFont="1" applyFill="1" applyAlignment="1">
      <alignment horizontal="left" vertical="center" wrapText="1"/>
    </xf>
    <xf numFmtId="0" fontId="0" fillId="2" borderId="0" xfId="0" applyFont="1" applyFill="1" applyAlignment="1">
      <alignment horizontal="left" vertical="center"/>
    </xf>
    <xf numFmtId="0" fontId="3" fillId="2" borderId="2" xfId="4" applyFill="1" applyAlignment="1">
      <alignment horizontal="left" vertical="center" wrapText="1"/>
    </xf>
    <xf numFmtId="0" fontId="0" fillId="0" borderId="0" xfId="0" applyNumberFormat="1" applyFont="1" applyAlignment="1">
      <alignment horizontal="center"/>
    </xf>
    <xf numFmtId="0" fontId="0" fillId="0" borderId="0" xfId="0" applyNumberFormat="1" applyFont="1"/>
    <xf numFmtId="0" fontId="0" fillId="0" borderId="0" xfId="1" applyNumberFormat="1" applyFont="1" applyAlignment="1">
      <alignment horizontal="center"/>
    </xf>
    <xf numFmtId="0" fontId="4" fillId="2" borderId="3" xfId="5" applyFill="1" applyAlignment="1">
      <alignment horizontal="left" vertical="center"/>
    </xf>
    <xf numFmtId="0" fontId="0" fillId="2" borderId="0" xfId="0" applyFill="1" applyAlignment="1">
      <alignment horizontal="left" vertical="center"/>
    </xf>
    <xf numFmtId="0" fontId="3" fillId="2" borderId="2" xfId="4" applyFill="1" applyAlignment="1">
      <alignment horizontal="left" vertical="center"/>
    </xf>
    <xf numFmtId="0" fontId="0" fillId="0" borderId="0" xfId="0" applyAlignment="1"/>
    <xf numFmtId="44" fontId="0" fillId="2" borderId="0" xfId="0" applyNumberFormat="1" applyFont="1" applyFill="1"/>
    <xf numFmtId="0" fontId="4" fillId="2" borderId="3" xfId="5" applyFill="1" applyAlignment="1">
      <alignment horizontal="left" vertical="center" wrapText="1"/>
    </xf>
  </cellXfs>
  <cellStyles count="6">
    <cellStyle name="Currency" xfId="1" builtinId="4"/>
    <cellStyle name="Heading 1" xfId="5" builtinId="16"/>
    <cellStyle name="Heading 2" xfId="3" builtinId="17"/>
    <cellStyle name="Heading 3" xfId="4" builtinId="18"/>
    <cellStyle name="Normal" xfId="0" builtinId="0" customBuiltin="1"/>
    <cellStyle name="Title" xfId="2" builtinId="15" customBuiltin="1"/>
  </cellStyles>
  <dxfs count="65">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ill>
        <patternFill>
          <bgColor rgb="FFFFC000"/>
        </patternFill>
      </fill>
    </dxf>
    <dxf>
      <font>
        <b val="0"/>
        <i val="0"/>
        <strike val="0"/>
        <condense val="0"/>
        <extend val="0"/>
        <outline val="0"/>
        <shadow val="0"/>
        <u val="none"/>
        <vertAlign val="baseline"/>
        <sz val="10"/>
        <color theme="1"/>
        <name val="Calibri"/>
        <scheme val="minor"/>
      </font>
      <numFmt numFmtId="34" formatCode="_(&quot;$&quot;* #,##0.00_);_(&quot;$&quot;* \(#,##0.00\);_(&quot;$&quot;* &quot;-&quot;??_);_(@_)"/>
    </dxf>
    <dxf>
      <font>
        <strike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s>
  <tableStyles count="0" defaultTableStyle="TableStyleMedium2" defaultPivotStyle="PivotStyleLight16"/>
  <colors>
    <mruColors>
      <color rgb="FFE19A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Sect611" displayName="Sect611" ref="A1:I203" totalsRowCount="1" headerRowDxfId="64" dataDxfId="63" totalsRowDxfId="62" dataCellStyle="Currency">
  <autoFilter ref="A1:I202"/>
  <tableColumns count="9">
    <tableColumn id="2" name="LEA Name" totalsRowLabel="Total" dataDxfId="61" totalsRowDxfId="60"/>
    <tableColumn id="3" name="District" totalsRowFunction="sum" dataDxfId="59" totalsRowDxfId="58" dataCellStyle="Currency"/>
    <tableColumn id="4" name="Regional" totalsRowFunction="sum" dataDxfId="57" totalsRowDxfId="56" dataCellStyle="Currency"/>
    <tableColumn id="5" name="OSD" totalsRowFunction="sum" dataDxfId="55" totalsRowDxfId="54" dataCellStyle="Currency"/>
    <tableColumn id="6" name="LTCT" totalsRowFunction="sum" dataDxfId="53" totalsRowDxfId="52" dataCellStyle="Currency"/>
    <tableColumn id="7" name="Hospital" totalsRowFunction="sum" dataDxfId="51" totalsRowDxfId="50" dataCellStyle="Currency"/>
    <tableColumn id="9" name="ECSE" totalsRowFunction="sum" dataDxfId="49" totalsRowDxfId="48" dataCellStyle="Currency"/>
    <tableColumn id="10" name="Gross Total" totalsRowFunction="sum" dataDxfId="47" totalsRowDxfId="46" dataCellStyle="Currency">
      <calculatedColumnFormula>SUM(B2:G2)</calculatedColumnFormula>
    </tableColumn>
    <tableColumn id="1" name="Sig Dis" totalsRowFunction="sum" dataDxfId="45" totalsRowDxfId="44" dataCellStyle="Currency"/>
  </tableColumns>
  <tableStyleInfo name="TableStyleLight16"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2.xml><?xml version="1.0" encoding="utf-8"?>
<table xmlns="http://schemas.openxmlformats.org/spreadsheetml/2006/main" id="2" name="Sect619" displayName="Sect619" ref="A1:H203" totalsRowCount="1" headerRowDxfId="43" dataDxfId="42" totalsRowDxfId="41" dataCellStyle="Currency">
  <autoFilter ref="A1:H202"/>
  <tableColumns count="8">
    <tableColumn id="2" name="LEA Name" totalsRowLabel="Total" dataDxfId="40" totalsRowDxfId="39"/>
    <tableColumn id="3" name="District" totalsRowFunction="sum" dataDxfId="38" totalsRowDxfId="37" dataCellStyle="Currency"/>
    <tableColumn id="4" name="Regional" totalsRowFunction="sum" dataDxfId="36" totalsRowDxfId="35" dataCellStyle="Currency"/>
    <tableColumn id="5" name="OSD" totalsRowFunction="sum" dataDxfId="34" totalsRowDxfId="33" dataCellStyle="Currency"/>
    <tableColumn id="6" name="LTCT" totalsRowFunction="sum" dataDxfId="32" totalsRowDxfId="31" dataCellStyle="Currency"/>
    <tableColumn id="7" name="Hospital" totalsRowFunction="sum" dataDxfId="30" totalsRowDxfId="29" dataCellStyle="Currency"/>
    <tableColumn id="9" name="ECSE" totalsRowFunction="sum" dataDxfId="28" totalsRowDxfId="27" dataCellStyle="Currency"/>
    <tableColumn id="10" name="Gross Total" totalsRowFunction="sum" dataDxfId="26" totalsRowDxfId="25" dataCellStyle="Currency">
      <calculatedColumnFormula>SUM(B2:G2)</calculatedColumnFormula>
    </tableColumn>
  </tableColumns>
  <tableStyleInfo name="TableStyleLight20"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3.xml><?xml version="1.0" encoding="utf-8"?>
<table xmlns="http://schemas.openxmlformats.org/spreadsheetml/2006/main" id="3" name="Programs" displayName="Programs" ref="A1:D8" totalsRowCount="1" headerRowDxfId="24" dataDxfId="23" totalsRowDxfId="22">
  <autoFilter ref="A1:D7"/>
  <tableColumns count="4">
    <tableColumn id="1" name="Program Name" totalsRowLabel="Total" dataDxfId="21" totalsRowDxfId="20"/>
    <tableColumn id="2" name="Section 611" totalsRowFunction="sum" dataDxfId="19" totalsRowDxfId="18" dataCellStyle="Currency"/>
    <tableColumn id="3" name="Section 619" totalsRowFunction="sum" dataDxfId="17" totalsRowDxfId="16" dataCellStyle="Currency"/>
    <tableColumn id="4" name="Total" totalsRowFunction="sum" dataDxfId="15" totalsRowDxfId="14">
      <calculatedColumnFormula>SUM(B2:C2)</calculatedColumnFormula>
    </tableColumn>
  </tableColumns>
  <tableStyleInfo name="TableStyleLight21" showFirstColumn="0" showLastColumn="0" showRowStripes="1" showColumnStripes="0"/>
  <extLst>
    <ext xmlns:x14="http://schemas.microsoft.com/office/spreadsheetml/2009/9/main" uri="{504A1905-F514-4f6f-8877-14C23A59335A}">
      <x14:table altText="Program Table" altTextSummary="Table with four columns and 7 rows. Each row is a Program and shows the total Section 611, Section 619, and Grand Total allocation."/>
    </ext>
  </extLst>
</table>
</file>

<file path=xl/tables/table4.xml><?xml version="1.0" encoding="utf-8"?>
<table xmlns="http://schemas.openxmlformats.org/spreadsheetml/2006/main" id="4" name="OtherAmts" displayName="OtherAmts" ref="A1:E202" headerRowDxfId="12" dataDxfId="11" totalsRowDxfId="10">
  <autoFilter ref="A1:E202"/>
  <tableColumns count="5">
    <tableColumn id="1" name="LEA Name" totalsRowLabel="Total" dataDxfId="9" totalsRowDxfId="8"/>
    <tableColumn id="2" name="PPPS Share Section 611" dataDxfId="7" totalsRowDxfId="6" dataCellStyle="Currency"/>
    <tableColumn id="4" name="PPPS Share Section 619" dataDxfId="5" totalsRowDxfId="4" dataCellStyle="Currency"/>
    <tableColumn id="3" name="Optional Maximum CEIS Set-Aside" dataDxfId="3" totalsRowDxfId="2" dataCellStyle="Currency">
      <calculatedColumnFormula>IF(VLOOKUP(OtherAmts[[#This Row],[LEA Name]],Sect611[],MATCH("Sig Dis",Sect611[#Headers],0),TRUE)=0,SUM(VLOOKUP(OtherAmts[[#This Row],[LEA Name]],Sect611[],8,FALSE),VLOOKUP(OtherAmts[[#This Row],[LEA Name]],Sect619[],8,FALSE))*0.15,"")</calculatedColumnFormula>
    </tableColumn>
    <tableColumn id="5" name="Required CCEIS Set-Aside" dataDxfId="1" totalsRowDxfId="0" dataCellStyle="Currency">
      <calculatedColumnFormula>IF(VLOOKUP(OtherAmts[[#This Row],[LEA Name]],Sect611[],MATCH("Sig Dis",Sect611[#Headers],0),TRUE)=1,SUM(VLOOKUP(OtherAmts[[#This Row],[LEA Name]],Sect611[],8,FALSE),VLOOKUP(OtherAmts[[#This Row],[LEA Name]],Sect619[],8,FALSE))*0.15,"")</calculatedColumnFormula>
    </tableColumn>
  </tableColumns>
  <tableStyleInfo name="TableStyleLight15" showFirstColumn="0" showLastColumn="0" showRowStripes="1" showColumnStripes="0"/>
  <extLst>
    <ext xmlns:x14="http://schemas.microsoft.com/office/spreadsheetml/2009/9/main" uri="{504A1905-F514-4f6f-8877-14C23A59335A}">
      <x14:table altText="Other Amounts Table" altTextSummary="A table with three columns and 201 rows. Each row is a LEA showing their PPPS Share and Maximum CEIS amounts."/>
    </ext>
  </extLst>
</table>
</file>

<file path=xl/theme/theme1.xml><?xml version="1.0" encoding="utf-8"?>
<a:theme xmlns:a="http://schemas.openxmlformats.org/drawingml/2006/main" name="Office Theme">
  <a:themeElements>
    <a:clrScheme name="ODE Colors">
      <a:dk1>
        <a:sysClr val="windowText" lastClr="000000"/>
      </a:dk1>
      <a:lt1>
        <a:sysClr val="window" lastClr="FFFFFF"/>
      </a:lt1>
      <a:dk2>
        <a:srgbClr val="1B75BC"/>
      </a:dk2>
      <a:lt2>
        <a:srgbClr val="E4E9EF"/>
      </a:lt2>
      <a:accent1>
        <a:srgbClr val="1B75BC"/>
      </a:accent1>
      <a:accent2>
        <a:srgbClr val="9F2065"/>
      </a:accent2>
      <a:accent3>
        <a:srgbClr val="E26B2A"/>
      </a:accent3>
      <a:accent4>
        <a:srgbClr val="D3A809"/>
      </a:accent4>
      <a:accent5>
        <a:srgbClr val="408740"/>
      </a:accent5>
      <a:accent6>
        <a:srgbClr val="754C29"/>
      </a:accent6>
      <a:hlink>
        <a:srgbClr val="1B75BC"/>
      </a:hlink>
      <a:folHlink>
        <a:srgbClr val="E19AC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92"/>
  <sheetViews>
    <sheetView tabSelected="1" view="pageLayout" zoomScaleNormal="100" workbookViewId="0">
      <selection activeCell="A4" sqref="A4"/>
    </sheetView>
  </sheetViews>
  <sheetFormatPr defaultColWidth="0" defaultRowHeight="12.75" zeroHeight="1" x14ac:dyDescent="0.2"/>
  <cols>
    <col min="1" max="1" width="111.42578125" style="22" customWidth="1"/>
    <col min="2" max="3" width="0" hidden="1" customWidth="1"/>
    <col min="4" max="16384" width="8.28515625" hidden="1"/>
  </cols>
  <sheetData>
    <row r="1" spans="1:1" ht="26.25" x14ac:dyDescent="0.2">
      <c r="A1" s="10" t="s">
        <v>168</v>
      </c>
    </row>
    <row r="2" spans="1:1" x14ac:dyDescent="0.2">
      <c r="A2" s="11"/>
    </row>
    <row r="3" spans="1:1" ht="20.25" thickBot="1" x14ac:dyDescent="0.25">
      <c r="A3" s="19" t="s">
        <v>175</v>
      </c>
    </row>
    <row r="4" spans="1:1" ht="51.75" thickTop="1" x14ac:dyDescent="0.2">
      <c r="A4" s="11" t="s">
        <v>209</v>
      </c>
    </row>
    <row r="5" spans="1:1" ht="102" x14ac:dyDescent="0.2">
      <c r="A5" s="11" t="s">
        <v>243</v>
      </c>
    </row>
    <row r="6" spans="1:1" ht="38.25" x14ac:dyDescent="0.2">
      <c r="A6" s="11" t="s">
        <v>244</v>
      </c>
    </row>
    <row r="7" spans="1:1" ht="3.6" customHeight="1" x14ac:dyDescent="0.2">
      <c r="A7" s="11"/>
    </row>
    <row r="8" spans="1:1" ht="20.25" thickBot="1" x14ac:dyDescent="0.25">
      <c r="A8" s="24" t="s">
        <v>254</v>
      </c>
    </row>
    <row r="9" spans="1:1" ht="13.5" thickTop="1" x14ac:dyDescent="0.2">
      <c r="A9" s="11" t="s">
        <v>255</v>
      </c>
    </row>
    <row r="10" spans="1:1" ht="38.25" x14ac:dyDescent="0.2">
      <c r="A10" s="11" t="s">
        <v>256</v>
      </c>
    </row>
    <row r="11" spans="1:1" ht="3.6" customHeight="1" x14ac:dyDescent="0.2">
      <c r="A11" s="11"/>
    </row>
    <row r="12" spans="1:1" ht="18" thickBot="1" x14ac:dyDescent="0.25">
      <c r="A12" s="12" t="s">
        <v>185</v>
      </c>
    </row>
    <row r="13" spans="1:1" ht="13.5" thickTop="1" x14ac:dyDescent="0.2">
      <c r="A13" s="11" t="s">
        <v>191</v>
      </c>
    </row>
    <row r="14" spans="1:1" x14ac:dyDescent="0.2">
      <c r="A14" s="11" t="s">
        <v>204</v>
      </c>
    </row>
    <row r="15" spans="1:1" x14ac:dyDescent="0.2">
      <c r="A15" s="11" t="s">
        <v>205</v>
      </c>
    </row>
    <row r="16" spans="1:1" x14ac:dyDescent="0.2">
      <c r="A16" s="11" t="s">
        <v>206</v>
      </c>
    </row>
    <row r="17" spans="1:1" x14ac:dyDescent="0.2">
      <c r="A17" s="11" t="s">
        <v>207</v>
      </c>
    </row>
    <row r="18" spans="1:1" ht="25.5" x14ac:dyDescent="0.2">
      <c r="A18" s="11" t="s">
        <v>208</v>
      </c>
    </row>
    <row r="19" spans="1:1" ht="3.6" customHeight="1" x14ac:dyDescent="0.2">
      <c r="A19" s="11"/>
    </row>
    <row r="20" spans="1:1" ht="15.75" thickBot="1" x14ac:dyDescent="0.25">
      <c r="A20" s="15" t="s">
        <v>188</v>
      </c>
    </row>
    <row r="21" spans="1:1" x14ac:dyDescent="0.2">
      <c r="A21" s="13" t="s">
        <v>192</v>
      </c>
    </row>
    <row r="22" spans="1:1" x14ac:dyDescent="0.2">
      <c r="A22" s="13" t="s">
        <v>193</v>
      </c>
    </row>
    <row r="23" spans="1:1" x14ac:dyDescent="0.2">
      <c r="A23" s="13" t="s">
        <v>194</v>
      </c>
    </row>
    <row r="24" spans="1:1" x14ac:dyDescent="0.2">
      <c r="A24" s="13" t="s">
        <v>195</v>
      </c>
    </row>
    <row r="25" spans="1:1" x14ac:dyDescent="0.2">
      <c r="A25" s="13" t="s">
        <v>196</v>
      </c>
    </row>
    <row r="26" spans="1:1" x14ac:dyDescent="0.2">
      <c r="A26" s="13" t="s">
        <v>197</v>
      </c>
    </row>
    <row r="27" spans="1:1" x14ac:dyDescent="0.2">
      <c r="A27" s="13" t="s">
        <v>198</v>
      </c>
    </row>
    <row r="28" spans="1:1" x14ac:dyDescent="0.2">
      <c r="A28" s="13" t="s">
        <v>199</v>
      </c>
    </row>
    <row r="29" spans="1:1" ht="3.6" customHeight="1" x14ac:dyDescent="0.2">
      <c r="A29" s="20"/>
    </row>
    <row r="30" spans="1:1" s="2" customFormat="1" ht="15.75" thickBot="1" x14ac:dyDescent="0.25">
      <c r="A30" s="21" t="s">
        <v>189</v>
      </c>
    </row>
    <row r="31" spans="1:1" x14ac:dyDescent="0.2">
      <c r="A31" s="13" t="s">
        <v>200</v>
      </c>
    </row>
    <row r="32" spans="1:1" s="2" customFormat="1" x14ac:dyDescent="0.2">
      <c r="A32" s="14" t="s">
        <v>201</v>
      </c>
    </row>
    <row r="33" spans="1:1" x14ac:dyDescent="0.2">
      <c r="A33" s="14" t="s">
        <v>202</v>
      </c>
    </row>
    <row r="34" spans="1:1" x14ac:dyDescent="0.2">
      <c r="A34" s="13" t="s">
        <v>203</v>
      </c>
    </row>
    <row r="35" spans="1:1" ht="3.6" customHeight="1" x14ac:dyDescent="0.2">
      <c r="A35" s="11"/>
    </row>
    <row r="36" spans="1:1" ht="15.75" thickBot="1" x14ac:dyDescent="0.25">
      <c r="A36" s="15" t="s">
        <v>190</v>
      </c>
    </row>
    <row r="37" spans="1:1" x14ac:dyDescent="0.2">
      <c r="A37" s="13" t="s">
        <v>192</v>
      </c>
    </row>
    <row r="38" spans="1:1" ht="38.25" x14ac:dyDescent="0.2">
      <c r="A38" s="13" t="s">
        <v>253</v>
      </c>
    </row>
    <row r="39" spans="1:1" ht="38.25" x14ac:dyDescent="0.2">
      <c r="A39" s="13" t="s">
        <v>252</v>
      </c>
    </row>
    <row r="40" spans="1:1" ht="30" customHeight="1" x14ac:dyDescent="0.2">
      <c r="A40" s="13" t="s">
        <v>250</v>
      </c>
    </row>
    <row r="41" spans="1:1" ht="38.25" x14ac:dyDescent="0.2">
      <c r="A41" s="13" t="s">
        <v>251</v>
      </c>
    </row>
    <row r="42" spans="1:1" ht="3.6" customHeight="1" x14ac:dyDescent="0.2">
      <c r="A42" s="11"/>
    </row>
    <row r="43" spans="1:1" x14ac:dyDescent="0.2">
      <c r="A43" s="1"/>
    </row>
    <row r="44" spans="1:1" hidden="1" x14ac:dyDescent="0.2">
      <c r="A44" s="1"/>
    </row>
    <row r="45" spans="1:1" hidden="1" x14ac:dyDescent="0.2">
      <c r="A45" s="1"/>
    </row>
    <row r="46" spans="1:1" hidden="1" x14ac:dyDescent="0.2"/>
    <row r="47" spans="1:1" hidden="1" x14ac:dyDescent="0.2"/>
    <row r="48" spans="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sheetData>
  <pageMargins left="0.7" right="1" top="0.75" bottom="0.75" header="0.3" footer="0.3"/>
  <pageSetup orientation="portrait" r:id="rId1"/>
  <headerFooter>
    <oddHeader>&amp;RLast Updated: 3/19/2021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04"/>
  <sheetViews>
    <sheetView topLeftCell="A159" workbookViewId="0">
      <pane xSplit="1" topLeftCell="B1" activePane="topRight" state="frozen"/>
      <selection pane="topRight" activeCell="A203" sqref="A203"/>
    </sheetView>
  </sheetViews>
  <sheetFormatPr defaultColWidth="0" defaultRowHeight="12.75" zeroHeight="1" x14ac:dyDescent="0.2"/>
  <cols>
    <col min="1" max="1" width="30.28515625" style="6" customWidth="1"/>
    <col min="2" max="8" width="16.28515625" style="6" customWidth="1"/>
    <col min="9" max="9" width="16.28515625" style="17" hidden="1" customWidth="1"/>
    <col min="10" max="10" width="9.28515625" style="8" customWidth="1"/>
    <col min="11" max="16384" width="7.28515625" style="6" hidden="1"/>
  </cols>
  <sheetData>
    <row r="1" spans="1:9" x14ac:dyDescent="0.2">
      <c r="A1" s="6" t="s">
        <v>0</v>
      </c>
      <c r="B1" s="7" t="s">
        <v>176</v>
      </c>
      <c r="C1" s="7" t="s">
        <v>177</v>
      </c>
      <c r="D1" s="7" t="s">
        <v>170</v>
      </c>
      <c r="E1" s="7" t="s">
        <v>171</v>
      </c>
      <c r="F1" s="7" t="s">
        <v>178</v>
      </c>
      <c r="G1" s="7" t="s">
        <v>179</v>
      </c>
      <c r="H1" s="7" t="s">
        <v>180</v>
      </c>
      <c r="I1" s="16" t="s">
        <v>247</v>
      </c>
    </row>
    <row r="2" spans="1:9" x14ac:dyDescent="0.2">
      <c r="A2" s="6" t="s">
        <v>79</v>
      </c>
      <c r="B2" s="3">
        <v>1961.23</v>
      </c>
      <c r="C2" s="3">
        <v>0</v>
      </c>
      <c r="D2" s="3">
        <v>0</v>
      </c>
      <c r="E2" s="3">
        <v>0</v>
      </c>
      <c r="F2" s="3">
        <v>0</v>
      </c>
      <c r="G2" s="3">
        <v>653.29</v>
      </c>
      <c r="H2" s="3">
        <f t="shared" ref="H2:H65" si="0">SUM(B2:G2)</f>
        <v>2614.52</v>
      </c>
      <c r="I2" s="18"/>
    </row>
    <row r="3" spans="1:9" x14ac:dyDescent="0.2">
      <c r="A3" s="6" t="s">
        <v>106</v>
      </c>
      <c r="B3" s="3">
        <v>57251.48</v>
      </c>
      <c r="C3" s="3">
        <v>0</v>
      </c>
      <c r="D3" s="3">
        <v>0</v>
      </c>
      <c r="E3" s="3">
        <v>0</v>
      </c>
      <c r="F3" s="3">
        <v>0</v>
      </c>
      <c r="G3" s="3">
        <v>1121.8</v>
      </c>
      <c r="H3" s="3">
        <f t="shared" si="0"/>
        <v>58373.280000000006</v>
      </c>
      <c r="I3" s="18"/>
    </row>
    <row r="4" spans="1:9" x14ac:dyDescent="0.2">
      <c r="A4" s="6" t="s">
        <v>5</v>
      </c>
      <c r="B4" s="3">
        <v>47360.56</v>
      </c>
      <c r="C4" s="3">
        <v>0</v>
      </c>
      <c r="D4" s="3">
        <v>0</v>
      </c>
      <c r="E4" s="3">
        <v>0</v>
      </c>
      <c r="F4" s="3">
        <v>0</v>
      </c>
      <c r="G4" s="3">
        <v>1245.47</v>
      </c>
      <c r="H4" s="3">
        <f t="shared" si="0"/>
        <v>48606.03</v>
      </c>
      <c r="I4" s="18"/>
    </row>
    <row r="5" spans="1:9" x14ac:dyDescent="0.2">
      <c r="A5" s="6" t="s">
        <v>161</v>
      </c>
      <c r="B5" s="3">
        <v>141672.54999999999</v>
      </c>
      <c r="C5" s="3">
        <v>27830.91</v>
      </c>
      <c r="D5" s="3">
        <v>0</v>
      </c>
      <c r="E5" s="3">
        <v>0</v>
      </c>
      <c r="F5" s="3">
        <v>0</v>
      </c>
      <c r="G5" s="3">
        <v>14520.48</v>
      </c>
      <c r="H5" s="3">
        <f t="shared" si="0"/>
        <v>184023.94</v>
      </c>
      <c r="I5" s="18"/>
    </row>
    <row r="6" spans="1:9" x14ac:dyDescent="0.2">
      <c r="A6" s="6" t="s">
        <v>104</v>
      </c>
      <c r="B6" s="3">
        <v>24524.48</v>
      </c>
      <c r="C6" s="3">
        <v>0</v>
      </c>
      <c r="D6" s="3">
        <v>0</v>
      </c>
      <c r="E6" s="3">
        <v>0</v>
      </c>
      <c r="F6" s="3">
        <v>0</v>
      </c>
      <c r="G6" s="3">
        <v>0</v>
      </c>
      <c r="H6" s="3">
        <f t="shared" si="0"/>
        <v>24524.48</v>
      </c>
      <c r="I6" s="18"/>
    </row>
    <row r="7" spans="1:9" x14ac:dyDescent="0.2">
      <c r="A7" s="6" t="s">
        <v>44</v>
      </c>
      <c r="B7" s="3">
        <v>29908.31</v>
      </c>
      <c r="C7" s="3">
        <v>2213.9</v>
      </c>
      <c r="D7" s="3">
        <v>0</v>
      </c>
      <c r="E7" s="3">
        <v>0</v>
      </c>
      <c r="F7" s="3">
        <v>0</v>
      </c>
      <c r="G7" s="3">
        <v>1106.95</v>
      </c>
      <c r="H7" s="3">
        <f t="shared" si="0"/>
        <v>33229.160000000003</v>
      </c>
      <c r="I7" s="18"/>
    </row>
    <row r="8" spans="1:9" x14ac:dyDescent="0.2">
      <c r="A8" s="6" t="s">
        <v>108</v>
      </c>
      <c r="B8" s="3">
        <v>4879.6499999999996</v>
      </c>
      <c r="C8" s="3">
        <v>0</v>
      </c>
      <c r="D8" s="3">
        <v>0</v>
      </c>
      <c r="E8" s="3">
        <v>0</v>
      </c>
      <c r="F8" s="3">
        <v>0</v>
      </c>
      <c r="G8" s="3">
        <v>0</v>
      </c>
      <c r="H8" s="3">
        <f t="shared" si="0"/>
        <v>4879.6499999999996</v>
      </c>
      <c r="I8" s="18"/>
    </row>
    <row r="9" spans="1:9" x14ac:dyDescent="0.2">
      <c r="A9" s="6" t="s">
        <v>61</v>
      </c>
      <c r="B9" s="3">
        <v>490118.36</v>
      </c>
      <c r="C9" s="3">
        <v>110993.23</v>
      </c>
      <c r="D9" s="3">
        <v>1761.8</v>
      </c>
      <c r="E9" s="3">
        <v>26426.959999999999</v>
      </c>
      <c r="F9" s="3">
        <v>0</v>
      </c>
      <c r="G9" s="3">
        <v>33474.15</v>
      </c>
      <c r="H9" s="3">
        <f t="shared" si="0"/>
        <v>662774.5</v>
      </c>
      <c r="I9" s="18"/>
    </row>
    <row r="10" spans="1:9" x14ac:dyDescent="0.2">
      <c r="A10" s="6" t="s">
        <v>70</v>
      </c>
      <c r="B10" s="3">
        <v>953.18</v>
      </c>
      <c r="C10" s="3">
        <v>0</v>
      </c>
      <c r="D10" s="3">
        <v>0</v>
      </c>
      <c r="E10" s="3">
        <v>0</v>
      </c>
      <c r="F10" s="3">
        <v>0</v>
      </c>
      <c r="G10" s="3">
        <v>0</v>
      </c>
      <c r="H10" s="3">
        <f t="shared" si="0"/>
        <v>953.18</v>
      </c>
      <c r="I10" s="18"/>
    </row>
    <row r="11" spans="1:9" x14ac:dyDescent="0.2">
      <c r="A11" s="6" t="s">
        <v>210</v>
      </c>
      <c r="B11" s="3">
        <v>266117.58</v>
      </c>
      <c r="C11" s="3">
        <v>59096.37</v>
      </c>
      <c r="D11" s="3">
        <v>2686.2</v>
      </c>
      <c r="E11" s="3">
        <v>0</v>
      </c>
      <c r="F11" s="3">
        <v>0</v>
      </c>
      <c r="G11" s="3">
        <v>57753.27</v>
      </c>
      <c r="H11" s="3">
        <f t="shared" si="0"/>
        <v>385653.42000000004</v>
      </c>
      <c r="I11" s="18"/>
    </row>
    <row r="12" spans="1:9" x14ac:dyDescent="0.2">
      <c r="A12" s="6" t="s">
        <v>211</v>
      </c>
      <c r="B12" s="3">
        <v>90589.759999999995</v>
      </c>
      <c r="C12" s="3">
        <v>11911.47</v>
      </c>
      <c r="D12" s="3">
        <v>0</v>
      </c>
      <c r="E12" s="3">
        <v>0</v>
      </c>
      <c r="F12" s="3">
        <v>0</v>
      </c>
      <c r="G12" s="3">
        <v>10720.32</v>
      </c>
      <c r="H12" s="3">
        <f t="shared" si="0"/>
        <v>113221.54999999999</v>
      </c>
      <c r="I12" s="18"/>
    </row>
    <row r="13" spans="1:9" x14ac:dyDescent="0.2">
      <c r="A13" s="6" t="s">
        <v>1</v>
      </c>
      <c r="B13" s="3">
        <v>608708.66</v>
      </c>
      <c r="C13" s="3">
        <v>35319.949999999997</v>
      </c>
      <c r="D13" s="3">
        <v>0</v>
      </c>
      <c r="E13" s="3">
        <v>0</v>
      </c>
      <c r="F13" s="3">
        <v>0</v>
      </c>
      <c r="G13" s="3">
        <v>22238.49</v>
      </c>
      <c r="H13" s="3">
        <f t="shared" si="0"/>
        <v>666267.1</v>
      </c>
      <c r="I13" s="18"/>
    </row>
    <row r="14" spans="1:9" x14ac:dyDescent="0.2">
      <c r="A14" s="6" t="s">
        <v>29</v>
      </c>
      <c r="B14" s="3">
        <v>132274.81</v>
      </c>
      <c r="C14" s="3">
        <v>18883.34</v>
      </c>
      <c r="D14" s="3">
        <v>0</v>
      </c>
      <c r="E14" s="3">
        <v>0</v>
      </c>
      <c r="F14" s="3">
        <v>0</v>
      </c>
      <c r="G14" s="3">
        <v>15736.12</v>
      </c>
      <c r="H14" s="3">
        <f t="shared" si="0"/>
        <v>166894.26999999999</v>
      </c>
      <c r="I14" s="18"/>
    </row>
    <row r="15" spans="1:9" x14ac:dyDescent="0.2">
      <c r="A15" s="6" t="s">
        <v>152</v>
      </c>
      <c r="B15" s="3">
        <v>172080.68</v>
      </c>
      <c r="C15" s="3">
        <v>28232.53</v>
      </c>
      <c r="D15" s="3">
        <v>0</v>
      </c>
      <c r="E15" s="3">
        <v>0</v>
      </c>
      <c r="F15" s="3">
        <v>0</v>
      </c>
      <c r="G15" s="3">
        <v>14116.26</v>
      </c>
      <c r="H15" s="3">
        <f t="shared" si="0"/>
        <v>214429.47</v>
      </c>
      <c r="I15" s="18"/>
    </row>
    <row r="16" spans="1:9" x14ac:dyDescent="0.2">
      <c r="A16" s="6" t="s">
        <v>155</v>
      </c>
      <c r="B16" s="3">
        <v>5906834.2999999998</v>
      </c>
      <c r="C16" s="3">
        <v>1230032.93</v>
      </c>
      <c r="D16" s="3">
        <v>7028.76</v>
      </c>
      <c r="E16" s="3">
        <v>46389.81</v>
      </c>
      <c r="F16" s="3">
        <v>0</v>
      </c>
      <c r="G16" s="3">
        <v>827987.88</v>
      </c>
      <c r="H16" s="3">
        <f t="shared" si="0"/>
        <v>8018273.6799999988</v>
      </c>
      <c r="I16" s="18"/>
    </row>
    <row r="17" spans="1:9" x14ac:dyDescent="0.2">
      <c r="A17" s="6" t="s">
        <v>212</v>
      </c>
      <c r="B17" s="3">
        <v>2808140.43</v>
      </c>
      <c r="C17" s="3">
        <v>494898.7</v>
      </c>
      <c r="D17" s="3">
        <v>1773.83</v>
      </c>
      <c r="E17" s="3">
        <v>0</v>
      </c>
      <c r="F17" s="3">
        <v>0</v>
      </c>
      <c r="G17" s="3">
        <v>248336.27</v>
      </c>
      <c r="H17" s="3">
        <f t="shared" si="0"/>
        <v>3553149.2300000004</v>
      </c>
      <c r="I17" s="18"/>
    </row>
    <row r="18" spans="1:9" x14ac:dyDescent="0.2">
      <c r="A18" s="6" t="s">
        <v>86</v>
      </c>
      <c r="B18" s="3">
        <v>993852.44</v>
      </c>
      <c r="C18" s="3">
        <v>33511.72</v>
      </c>
      <c r="D18" s="3">
        <v>0</v>
      </c>
      <c r="E18" s="3">
        <v>0</v>
      </c>
      <c r="F18" s="3">
        <v>0</v>
      </c>
      <c r="G18" s="3">
        <v>166543.10999999999</v>
      </c>
      <c r="H18" s="3">
        <f t="shared" si="0"/>
        <v>1193907.27</v>
      </c>
      <c r="I18" s="18"/>
    </row>
    <row r="19" spans="1:9" x14ac:dyDescent="0.2">
      <c r="A19" s="6" t="s">
        <v>92</v>
      </c>
      <c r="B19" s="3">
        <v>54301.18</v>
      </c>
      <c r="C19" s="3">
        <v>0</v>
      </c>
      <c r="D19" s="3">
        <v>0</v>
      </c>
      <c r="E19" s="3">
        <v>0</v>
      </c>
      <c r="F19" s="3">
        <v>0</v>
      </c>
      <c r="G19" s="3">
        <v>1043.53</v>
      </c>
      <c r="H19" s="3">
        <f t="shared" si="0"/>
        <v>55344.71</v>
      </c>
      <c r="I19" s="18"/>
    </row>
    <row r="20" spans="1:9" x14ac:dyDescent="0.2">
      <c r="A20" s="6" t="s">
        <v>71</v>
      </c>
      <c r="B20" s="3">
        <v>4311.9799999999996</v>
      </c>
      <c r="C20" s="3">
        <v>0</v>
      </c>
      <c r="D20" s="3">
        <v>0</v>
      </c>
      <c r="E20" s="3">
        <v>0</v>
      </c>
      <c r="F20" s="3">
        <v>0</v>
      </c>
      <c r="G20" s="3">
        <v>0</v>
      </c>
      <c r="H20" s="3">
        <f t="shared" si="0"/>
        <v>4311.9799999999996</v>
      </c>
      <c r="I20" s="18"/>
    </row>
    <row r="21" spans="1:9" x14ac:dyDescent="0.2">
      <c r="A21" s="6" t="s">
        <v>213</v>
      </c>
      <c r="B21" s="3">
        <v>326741.69</v>
      </c>
      <c r="C21" s="3">
        <v>14320.87</v>
      </c>
      <c r="D21" s="3">
        <v>0</v>
      </c>
      <c r="E21" s="3">
        <v>0</v>
      </c>
      <c r="F21" s="3">
        <v>0</v>
      </c>
      <c r="G21" s="3">
        <v>15752.96</v>
      </c>
      <c r="H21" s="3">
        <f t="shared" si="0"/>
        <v>356815.52</v>
      </c>
      <c r="I21" s="18"/>
    </row>
    <row r="22" spans="1:9" x14ac:dyDescent="0.2">
      <c r="A22" s="6" t="s">
        <v>3</v>
      </c>
      <c r="B22" s="3">
        <v>17476.259999999998</v>
      </c>
      <c r="C22" s="3">
        <v>0</v>
      </c>
      <c r="D22" s="3">
        <v>0</v>
      </c>
      <c r="E22" s="3">
        <v>0</v>
      </c>
      <c r="F22" s="3">
        <v>0</v>
      </c>
      <c r="G22" s="3">
        <v>0</v>
      </c>
      <c r="H22" s="3">
        <f t="shared" si="0"/>
        <v>17476.259999999998</v>
      </c>
      <c r="I22" s="18"/>
    </row>
    <row r="23" spans="1:9" x14ac:dyDescent="0.2">
      <c r="A23" s="6" t="s">
        <v>66</v>
      </c>
      <c r="B23" s="3">
        <v>40454.92</v>
      </c>
      <c r="C23" s="3">
        <v>0</v>
      </c>
      <c r="D23" s="3">
        <v>0</v>
      </c>
      <c r="E23" s="3">
        <v>0</v>
      </c>
      <c r="F23" s="3">
        <v>0</v>
      </c>
      <c r="G23" s="3">
        <v>1525.55</v>
      </c>
      <c r="H23" s="3">
        <f t="shared" si="0"/>
        <v>41980.47</v>
      </c>
      <c r="I23" s="18"/>
    </row>
    <row r="24" spans="1:9" x14ac:dyDescent="0.2">
      <c r="A24" s="6" t="s">
        <v>214</v>
      </c>
      <c r="B24" s="3">
        <v>46171.54</v>
      </c>
      <c r="C24" s="3">
        <v>2796.34</v>
      </c>
      <c r="D24" s="3">
        <v>0</v>
      </c>
      <c r="E24" s="3">
        <v>0</v>
      </c>
      <c r="F24" s="3">
        <v>0</v>
      </c>
      <c r="G24" s="3">
        <v>1398.17</v>
      </c>
      <c r="H24" s="3">
        <f t="shared" si="0"/>
        <v>50366.05</v>
      </c>
      <c r="I24" s="18"/>
    </row>
    <row r="25" spans="1:9" x14ac:dyDescent="0.2">
      <c r="A25" s="6" t="s">
        <v>14</v>
      </c>
      <c r="B25" s="3">
        <v>776026.29</v>
      </c>
      <c r="C25" s="3">
        <v>144063.35999999999</v>
      </c>
      <c r="D25" s="3">
        <v>0</v>
      </c>
      <c r="E25" s="3">
        <v>0</v>
      </c>
      <c r="F25" s="3">
        <v>0</v>
      </c>
      <c r="G25" s="3">
        <v>93487.93</v>
      </c>
      <c r="H25" s="3">
        <f t="shared" si="0"/>
        <v>1013577.5800000001</v>
      </c>
      <c r="I25" s="18"/>
    </row>
    <row r="26" spans="1:9" x14ac:dyDescent="0.2">
      <c r="A26" s="6" t="s">
        <v>112</v>
      </c>
      <c r="B26" s="3">
        <v>434241.19</v>
      </c>
      <c r="C26" s="3">
        <v>98303.81</v>
      </c>
      <c r="D26" s="3">
        <v>0</v>
      </c>
      <c r="E26" s="3">
        <v>0</v>
      </c>
      <c r="F26" s="3">
        <v>0</v>
      </c>
      <c r="G26" s="3">
        <v>25278.12</v>
      </c>
      <c r="H26" s="3">
        <f t="shared" si="0"/>
        <v>557823.12</v>
      </c>
      <c r="I26" s="18"/>
    </row>
    <row r="27" spans="1:9" x14ac:dyDescent="0.2">
      <c r="A27" s="6" t="s">
        <v>125</v>
      </c>
      <c r="B27" s="3">
        <v>942249.94</v>
      </c>
      <c r="C27" s="3">
        <v>237805.24</v>
      </c>
      <c r="D27" s="3">
        <v>1374.6</v>
      </c>
      <c r="E27" s="3">
        <v>0</v>
      </c>
      <c r="F27" s="3">
        <v>0</v>
      </c>
      <c r="G27" s="3">
        <v>138834.26999999999</v>
      </c>
      <c r="H27" s="3">
        <f t="shared" si="0"/>
        <v>1320264.05</v>
      </c>
      <c r="I27" s="18"/>
    </row>
    <row r="28" spans="1:9" x14ac:dyDescent="0.2">
      <c r="A28" s="6" t="s">
        <v>30</v>
      </c>
      <c r="B28" s="3">
        <v>105815.13</v>
      </c>
      <c r="C28" s="3">
        <v>5565.37</v>
      </c>
      <c r="D28" s="3">
        <v>0</v>
      </c>
      <c r="E28" s="3">
        <v>0</v>
      </c>
      <c r="F28" s="3">
        <v>0</v>
      </c>
      <c r="G28" s="3">
        <v>14840.98</v>
      </c>
      <c r="H28" s="3">
        <f t="shared" si="0"/>
        <v>126221.48</v>
      </c>
      <c r="I28" s="18"/>
    </row>
    <row r="29" spans="1:9" x14ac:dyDescent="0.2">
      <c r="A29" s="6" t="s">
        <v>100</v>
      </c>
      <c r="B29" s="3">
        <v>117548.04</v>
      </c>
      <c r="C29" s="3">
        <v>13658.93</v>
      </c>
      <c r="D29" s="3">
        <v>0</v>
      </c>
      <c r="E29" s="3">
        <v>0</v>
      </c>
      <c r="F29" s="3">
        <v>0</v>
      </c>
      <c r="G29" s="3">
        <v>12293.04</v>
      </c>
      <c r="H29" s="3">
        <f t="shared" si="0"/>
        <v>143500.01</v>
      </c>
      <c r="I29" s="18"/>
    </row>
    <row r="30" spans="1:9" x14ac:dyDescent="0.2">
      <c r="A30" s="6" t="s">
        <v>62</v>
      </c>
      <c r="B30" s="3">
        <v>754541.08</v>
      </c>
      <c r="C30" s="3">
        <v>82547.899999999994</v>
      </c>
      <c r="D30" s="3">
        <v>1232.06</v>
      </c>
      <c r="E30" s="3">
        <v>0</v>
      </c>
      <c r="F30" s="3">
        <v>0</v>
      </c>
      <c r="G30" s="3">
        <v>76387.61</v>
      </c>
      <c r="H30" s="3">
        <f t="shared" si="0"/>
        <v>914708.65</v>
      </c>
      <c r="I30" s="18"/>
    </row>
    <row r="31" spans="1:9" x14ac:dyDescent="0.2">
      <c r="A31" s="6" t="s">
        <v>130</v>
      </c>
      <c r="B31" s="3">
        <v>446824.93</v>
      </c>
      <c r="C31" s="3">
        <v>106164.68</v>
      </c>
      <c r="D31" s="3">
        <v>4683.74</v>
      </c>
      <c r="E31" s="3">
        <v>0</v>
      </c>
      <c r="F31" s="3">
        <v>0</v>
      </c>
      <c r="G31" s="3">
        <v>70256.039999999994</v>
      </c>
      <c r="H31" s="3">
        <f t="shared" si="0"/>
        <v>627929.39</v>
      </c>
      <c r="I31" s="18"/>
    </row>
    <row r="32" spans="1:9" x14ac:dyDescent="0.2">
      <c r="A32" s="6" t="s">
        <v>20</v>
      </c>
      <c r="B32" s="3">
        <v>120228.31</v>
      </c>
      <c r="C32" s="3">
        <v>24249.49</v>
      </c>
      <c r="D32" s="3">
        <v>0</v>
      </c>
      <c r="E32" s="3">
        <v>0</v>
      </c>
      <c r="F32" s="3">
        <v>0</v>
      </c>
      <c r="G32" s="3">
        <v>23147.24</v>
      </c>
      <c r="H32" s="3">
        <f t="shared" si="0"/>
        <v>167625.03999999998</v>
      </c>
      <c r="I32" s="18"/>
    </row>
    <row r="33" spans="1:9" x14ac:dyDescent="0.2">
      <c r="A33" s="6" t="s">
        <v>12</v>
      </c>
      <c r="B33" s="3">
        <v>122572.11</v>
      </c>
      <c r="C33" s="3">
        <v>15310.93</v>
      </c>
      <c r="D33" s="3">
        <v>0</v>
      </c>
      <c r="E33" s="3">
        <v>0</v>
      </c>
      <c r="F33" s="3">
        <v>0</v>
      </c>
      <c r="G33" s="3">
        <v>8506.07</v>
      </c>
      <c r="H33" s="3">
        <f t="shared" si="0"/>
        <v>146389.11000000002</v>
      </c>
      <c r="I33" s="18"/>
    </row>
    <row r="34" spans="1:9" x14ac:dyDescent="0.2">
      <c r="A34" s="6" t="s">
        <v>45</v>
      </c>
      <c r="B34" s="3">
        <v>24977.46</v>
      </c>
      <c r="C34" s="3">
        <v>1248.01</v>
      </c>
      <c r="D34" s="3">
        <v>0</v>
      </c>
      <c r="E34" s="3">
        <v>0</v>
      </c>
      <c r="F34" s="3">
        <v>0</v>
      </c>
      <c r="G34" s="3">
        <v>3744.03</v>
      </c>
      <c r="H34" s="3">
        <f t="shared" si="0"/>
        <v>29969.499999999996</v>
      </c>
      <c r="I34" s="18"/>
    </row>
    <row r="35" spans="1:9" x14ac:dyDescent="0.2">
      <c r="A35" s="6" t="s">
        <v>25</v>
      </c>
      <c r="B35" s="3">
        <v>685324.51</v>
      </c>
      <c r="C35" s="3">
        <v>77926.14</v>
      </c>
      <c r="D35" s="3">
        <v>0</v>
      </c>
      <c r="E35" s="3">
        <v>0</v>
      </c>
      <c r="F35" s="3">
        <v>0</v>
      </c>
      <c r="G35" s="3">
        <v>100404.84</v>
      </c>
      <c r="H35" s="3">
        <f t="shared" si="0"/>
        <v>863655.49</v>
      </c>
      <c r="I35" s="18"/>
    </row>
    <row r="36" spans="1:9" x14ac:dyDescent="0.2">
      <c r="A36" s="6" t="s">
        <v>24</v>
      </c>
      <c r="B36" s="3">
        <v>203657.17</v>
      </c>
      <c r="C36" s="3">
        <v>28368.959999999999</v>
      </c>
      <c r="D36" s="3">
        <v>0</v>
      </c>
      <c r="E36" s="3">
        <v>0</v>
      </c>
      <c r="F36" s="3">
        <v>0</v>
      </c>
      <c r="G36" s="3">
        <v>14801.2</v>
      </c>
      <c r="H36" s="3">
        <f t="shared" si="0"/>
        <v>246827.33000000002</v>
      </c>
      <c r="I36" s="18"/>
    </row>
    <row r="37" spans="1:9" x14ac:dyDescent="0.2">
      <c r="A37" s="6" t="s">
        <v>126</v>
      </c>
      <c r="B37" s="3">
        <v>151796.15</v>
      </c>
      <c r="C37" s="3">
        <v>31421.759999999998</v>
      </c>
      <c r="D37" s="3">
        <v>0</v>
      </c>
      <c r="E37" s="3">
        <v>0</v>
      </c>
      <c r="F37" s="3">
        <v>0</v>
      </c>
      <c r="G37" s="3">
        <v>6501.05</v>
      </c>
      <c r="H37" s="3">
        <f t="shared" si="0"/>
        <v>189718.96</v>
      </c>
      <c r="I37" s="18"/>
    </row>
    <row r="38" spans="1:9" x14ac:dyDescent="0.2">
      <c r="A38" s="6" t="s">
        <v>7</v>
      </c>
      <c r="B38" s="3">
        <v>1043254.33</v>
      </c>
      <c r="C38" s="3">
        <v>287463.25</v>
      </c>
      <c r="D38" s="3">
        <v>0</v>
      </c>
      <c r="E38" s="3">
        <v>57492.65</v>
      </c>
      <c r="F38" s="3">
        <v>0</v>
      </c>
      <c r="G38" s="3">
        <v>128400.25</v>
      </c>
      <c r="H38" s="3">
        <f t="shared" si="0"/>
        <v>1516610.48</v>
      </c>
      <c r="I38" s="18"/>
    </row>
    <row r="39" spans="1:9" x14ac:dyDescent="0.2">
      <c r="A39" s="6" t="s">
        <v>144</v>
      </c>
      <c r="B39" s="3">
        <v>56891.34</v>
      </c>
      <c r="C39" s="3">
        <v>1496.11</v>
      </c>
      <c r="D39" s="3">
        <v>0</v>
      </c>
      <c r="E39" s="3">
        <v>0</v>
      </c>
      <c r="F39" s="3">
        <v>0</v>
      </c>
      <c r="G39" s="3">
        <v>0</v>
      </c>
      <c r="H39" s="3">
        <f t="shared" si="0"/>
        <v>58387.45</v>
      </c>
      <c r="I39" s="18"/>
    </row>
    <row r="40" spans="1:9" x14ac:dyDescent="0.2">
      <c r="A40" s="6" t="s">
        <v>85</v>
      </c>
      <c r="B40" s="3">
        <v>266804.89</v>
      </c>
      <c r="C40" s="3">
        <v>12400.95</v>
      </c>
      <c r="D40" s="3">
        <v>0</v>
      </c>
      <c r="E40" s="3">
        <v>0</v>
      </c>
      <c r="F40" s="3">
        <v>0</v>
      </c>
      <c r="G40" s="3">
        <v>26042</v>
      </c>
      <c r="H40" s="3">
        <f t="shared" si="0"/>
        <v>305247.84000000003</v>
      </c>
      <c r="I40" s="18"/>
    </row>
    <row r="41" spans="1:9" x14ac:dyDescent="0.2">
      <c r="A41" s="6" t="s">
        <v>215</v>
      </c>
      <c r="B41" s="3">
        <v>527373.57999999996</v>
      </c>
      <c r="C41" s="3">
        <v>60269.66</v>
      </c>
      <c r="D41" s="3">
        <v>0</v>
      </c>
      <c r="E41" s="3">
        <v>0</v>
      </c>
      <c r="F41" s="3">
        <v>0</v>
      </c>
      <c r="G41" s="3">
        <v>63072.9</v>
      </c>
      <c r="H41" s="3">
        <f t="shared" si="0"/>
        <v>650716.14</v>
      </c>
      <c r="I41" s="18"/>
    </row>
    <row r="42" spans="1:9" x14ac:dyDescent="0.2">
      <c r="A42" s="6" t="s">
        <v>216</v>
      </c>
      <c r="B42" s="3">
        <v>64663.38</v>
      </c>
      <c r="C42" s="3">
        <v>0</v>
      </c>
      <c r="D42" s="3">
        <v>0</v>
      </c>
      <c r="E42" s="3">
        <v>0</v>
      </c>
      <c r="F42" s="3">
        <v>0</v>
      </c>
      <c r="G42" s="3">
        <v>5538.74</v>
      </c>
      <c r="H42" s="3">
        <f t="shared" si="0"/>
        <v>70202.12</v>
      </c>
      <c r="I42" s="18"/>
    </row>
    <row r="43" spans="1:9" x14ac:dyDescent="0.2">
      <c r="A43" s="6" t="s">
        <v>69</v>
      </c>
      <c r="B43" s="3">
        <v>116012.03</v>
      </c>
      <c r="C43" s="3">
        <v>12465.79</v>
      </c>
      <c r="D43" s="3">
        <v>0</v>
      </c>
      <c r="E43" s="3">
        <v>0</v>
      </c>
      <c r="F43" s="3">
        <v>0</v>
      </c>
      <c r="G43" s="3">
        <v>3739.74</v>
      </c>
      <c r="H43" s="3">
        <f t="shared" si="0"/>
        <v>132217.56</v>
      </c>
      <c r="I43" s="18"/>
    </row>
    <row r="44" spans="1:9" x14ac:dyDescent="0.2">
      <c r="A44" s="6" t="s">
        <v>129</v>
      </c>
      <c r="B44" s="3">
        <v>558161.07999999996</v>
      </c>
      <c r="C44" s="3">
        <v>105525.07</v>
      </c>
      <c r="D44" s="3">
        <v>0</v>
      </c>
      <c r="E44" s="3">
        <v>20100.009999999998</v>
      </c>
      <c r="F44" s="3">
        <v>0</v>
      </c>
      <c r="G44" s="3">
        <v>38943.78</v>
      </c>
      <c r="H44" s="3">
        <f t="shared" si="0"/>
        <v>722729.94</v>
      </c>
      <c r="I44" s="18"/>
    </row>
    <row r="45" spans="1:9" x14ac:dyDescent="0.2">
      <c r="A45" s="6" t="s">
        <v>127</v>
      </c>
      <c r="B45" s="3">
        <v>1450986.9</v>
      </c>
      <c r="C45" s="3">
        <v>347454.71</v>
      </c>
      <c r="D45" s="3">
        <v>3008.27</v>
      </c>
      <c r="E45" s="3">
        <v>0</v>
      </c>
      <c r="F45" s="3">
        <v>0</v>
      </c>
      <c r="G45" s="3">
        <v>249686.07</v>
      </c>
      <c r="H45" s="3">
        <f t="shared" si="0"/>
        <v>2051135.95</v>
      </c>
      <c r="I45" s="18">
        <v>1</v>
      </c>
    </row>
    <row r="46" spans="1:9" x14ac:dyDescent="0.2">
      <c r="A46" s="6" t="s">
        <v>162</v>
      </c>
      <c r="B46" s="3">
        <v>145906.12</v>
      </c>
      <c r="C46" s="3">
        <v>41658.65</v>
      </c>
      <c r="D46" s="3">
        <v>0</v>
      </c>
      <c r="E46" s="3">
        <v>0</v>
      </c>
      <c r="F46" s="3">
        <v>0</v>
      </c>
      <c r="G46" s="3">
        <v>14878.09</v>
      </c>
      <c r="H46" s="3">
        <f t="shared" si="0"/>
        <v>202442.86</v>
      </c>
      <c r="I46" s="18">
        <v>1</v>
      </c>
    </row>
    <row r="47" spans="1:9" x14ac:dyDescent="0.2">
      <c r="A47" s="6" t="s">
        <v>49</v>
      </c>
      <c r="B47" s="3">
        <v>6780.53</v>
      </c>
      <c r="C47" s="3">
        <v>1935.95</v>
      </c>
      <c r="D47" s="3">
        <v>0</v>
      </c>
      <c r="E47" s="3">
        <v>0</v>
      </c>
      <c r="F47" s="3">
        <v>0</v>
      </c>
      <c r="G47" s="3">
        <v>0</v>
      </c>
      <c r="H47" s="3">
        <f t="shared" si="0"/>
        <v>8716.48</v>
      </c>
      <c r="I47" s="18"/>
    </row>
    <row r="48" spans="1:9" x14ac:dyDescent="0.2">
      <c r="A48" s="6" t="s">
        <v>54</v>
      </c>
      <c r="B48" s="3">
        <v>0</v>
      </c>
      <c r="C48" s="3">
        <v>0</v>
      </c>
      <c r="D48" s="3">
        <v>0</v>
      </c>
      <c r="E48" s="3">
        <v>0</v>
      </c>
      <c r="F48" s="3">
        <v>0</v>
      </c>
      <c r="G48" s="3">
        <v>0</v>
      </c>
      <c r="H48" s="3">
        <f t="shared" si="0"/>
        <v>0</v>
      </c>
      <c r="I48" s="18"/>
    </row>
    <row r="49" spans="1:9" x14ac:dyDescent="0.2">
      <c r="A49" s="6" t="s">
        <v>58</v>
      </c>
      <c r="B49" s="3">
        <v>0</v>
      </c>
      <c r="C49" s="3">
        <v>0</v>
      </c>
      <c r="D49" s="3">
        <v>0</v>
      </c>
      <c r="E49" s="3">
        <v>0</v>
      </c>
      <c r="F49" s="3">
        <v>0</v>
      </c>
      <c r="G49" s="3">
        <v>0</v>
      </c>
      <c r="H49" s="3">
        <f t="shared" si="0"/>
        <v>0</v>
      </c>
      <c r="I49" s="18"/>
    </row>
    <row r="50" spans="1:9" x14ac:dyDescent="0.2">
      <c r="A50" s="6" t="s">
        <v>217</v>
      </c>
      <c r="B50" s="3">
        <v>49941.23</v>
      </c>
      <c r="C50" s="3">
        <v>0</v>
      </c>
      <c r="D50" s="3">
        <v>0</v>
      </c>
      <c r="E50" s="3">
        <v>0</v>
      </c>
      <c r="F50" s="3">
        <v>0</v>
      </c>
      <c r="G50" s="3">
        <v>9073.9500000000007</v>
      </c>
      <c r="H50" s="3">
        <f t="shared" si="0"/>
        <v>59015.180000000008</v>
      </c>
      <c r="I50" s="18"/>
    </row>
    <row r="51" spans="1:9" x14ac:dyDescent="0.2">
      <c r="A51" s="6" t="s">
        <v>218</v>
      </c>
      <c r="B51" s="3">
        <v>917558.02</v>
      </c>
      <c r="C51" s="3">
        <v>149909.79</v>
      </c>
      <c r="D51" s="3">
        <v>0</v>
      </c>
      <c r="E51" s="3">
        <v>0</v>
      </c>
      <c r="F51" s="3">
        <v>0</v>
      </c>
      <c r="G51" s="3">
        <v>240146.74</v>
      </c>
      <c r="H51" s="3">
        <f t="shared" si="0"/>
        <v>1307614.55</v>
      </c>
      <c r="I51" s="18"/>
    </row>
    <row r="52" spans="1:9" x14ac:dyDescent="0.2">
      <c r="A52" s="6" t="s">
        <v>56</v>
      </c>
      <c r="B52" s="3">
        <v>0</v>
      </c>
      <c r="C52" s="3">
        <v>0</v>
      </c>
      <c r="D52" s="3">
        <v>0</v>
      </c>
      <c r="E52" s="3">
        <v>0</v>
      </c>
      <c r="F52" s="3">
        <v>0</v>
      </c>
      <c r="G52" s="3">
        <v>0</v>
      </c>
      <c r="H52" s="3">
        <f t="shared" si="0"/>
        <v>0</v>
      </c>
      <c r="I52" s="18"/>
    </row>
    <row r="53" spans="1:9" x14ac:dyDescent="0.2">
      <c r="A53" s="6" t="s">
        <v>150</v>
      </c>
      <c r="B53" s="3">
        <v>47426.03</v>
      </c>
      <c r="C53" s="3">
        <v>5385.6</v>
      </c>
      <c r="D53" s="3">
        <v>0</v>
      </c>
      <c r="E53" s="3">
        <v>0</v>
      </c>
      <c r="F53" s="3">
        <v>0</v>
      </c>
      <c r="G53" s="3">
        <v>5385.6</v>
      </c>
      <c r="H53" s="3">
        <f t="shared" si="0"/>
        <v>58197.229999999996</v>
      </c>
      <c r="I53" s="18"/>
    </row>
    <row r="54" spans="1:9" x14ac:dyDescent="0.2">
      <c r="A54" s="6" t="s">
        <v>63</v>
      </c>
      <c r="B54" s="3">
        <v>677480.15</v>
      </c>
      <c r="C54" s="3">
        <v>105955.12</v>
      </c>
      <c r="D54" s="3">
        <v>0</v>
      </c>
      <c r="E54" s="3">
        <v>0</v>
      </c>
      <c r="F54" s="3">
        <v>0</v>
      </c>
      <c r="G54" s="3">
        <v>108707.21</v>
      </c>
      <c r="H54" s="3">
        <f t="shared" si="0"/>
        <v>892142.48</v>
      </c>
      <c r="I54" s="18"/>
    </row>
    <row r="55" spans="1:9" x14ac:dyDescent="0.2">
      <c r="A55" s="6" t="s">
        <v>138</v>
      </c>
      <c r="B55" s="3">
        <v>43095.95</v>
      </c>
      <c r="C55" s="3">
        <v>4417.04</v>
      </c>
      <c r="D55" s="3">
        <v>0</v>
      </c>
      <c r="E55" s="3">
        <v>0</v>
      </c>
      <c r="F55" s="3">
        <v>0</v>
      </c>
      <c r="G55" s="3">
        <v>2208.52</v>
      </c>
      <c r="H55" s="3">
        <f t="shared" si="0"/>
        <v>49721.509999999995</v>
      </c>
      <c r="I55" s="18"/>
    </row>
    <row r="56" spans="1:9" x14ac:dyDescent="0.2">
      <c r="A56" s="6" t="s">
        <v>145</v>
      </c>
      <c r="B56" s="3">
        <v>75279.73</v>
      </c>
      <c r="C56" s="3">
        <v>5677.56</v>
      </c>
      <c r="D56" s="3">
        <v>0</v>
      </c>
      <c r="E56" s="3">
        <v>0</v>
      </c>
      <c r="F56" s="3">
        <v>0</v>
      </c>
      <c r="G56" s="3">
        <v>4258.17</v>
      </c>
      <c r="H56" s="3">
        <f t="shared" si="0"/>
        <v>85215.459999999992</v>
      </c>
      <c r="I56" s="18"/>
    </row>
    <row r="57" spans="1:9" x14ac:dyDescent="0.2">
      <c r="A57" s="6" t="s">
        <v>38</v>
      </c>
      <c r="B57" s="3">
        <v>49351.08</v>
      </c>
      <c r="C57" s="3">
        <v>0</v>
      </c>
      <c r="D57" s="3">
        <v>0</v>
      </c>
      <c r="E57" s="3">
        <v>0</v>
      </c>
      <c r="F57" s="3">
        <v>0</v>
      </c>
      <c r="G57" s="3">
        <v>0</v>
      </c>
      <c r="H57" s="3">
        <f t="shared" si="0"/>
        <v>49351.08</v>
      </c>
      <c r="I57" s="18"/>
    </row>
    <row r="58" spans="1:9" x14ac:dyDescent="0.2">
      <c r="A58" s="6" t="s">
        <v>148</v>
      </c>
      <c r="B58" s="3">
        <v>91769.56</v>
      </c>
      <c r="C58" s="3">
        <v>5731.63</v>
      </c>
      <c r="D58" s="3">
        <v>0</v>
      </c>
      <c r="E58" s="3">
        <v>0</v>
      </c>
      <c r="F58" s="3">
        <v>0</v>
      </c>
      <c r="G58" s="3">
        <v>8597.4500000000007</v>
      </c>
      <c r="H58" s="3">
        <f t="shared" si="0"/>
        <v>106098.64</v>
      </c>
      <c r="I58" s="18"/>
    </row>
    <row r="59" spans="1:9" x14ac:dyDescent="0.2">
      <c r="A59" s="6" t="s">
        <v>15</v>
      </c>
      <c r="B59" s="3">
        <v>435780.77</v>
      </c>
      <c r="C59" s="3">
        <v>61770.16</v>
      </c>
      <c r="D59" s="3">
        <v>0</v>
      </c>
      <c r="E59" s="3">
        <v>0</v>
      </c>
      <c r="F59" s="3">
        <v>0</v>
      </c>
      <c r="G59" s="3">
        <v>58681.65</v>
      </c>
      <c r="H59" s="3">
        <f t="shared" si="0"/>
        <v>556232.58000000007</v>
      </c>
      <c r="I59" s="18"/>
    </row>
    <row r="60" spans="1:9" x14ac:dyDescent="0.2">
      <c r="A60" s="6" t="s">
        <v>81</v>
      </c>
      <c r="B60" s="3">
        <v>3157317.74</v>
      </c>
      <c r="C60" s="3">
        <v>92546.85</v>
      </c>
      <c r="D60" s="3">
        <v>4271.3900000000003</v>
      </c>
      <c r="E60" s="3">
        <v>7118.99</v>
      </c>
      <c r="F60" s="3">
        <v>0</v>
      </c>
      <c r="G60" s="3">
        <v>560976.31999999995</v>
      </c>
      <c r="H60" s="3">
        <f t="shared" si="0"/>
        <v>3822231.2900000005</v>
      </c>
      <c r="I60" s="18"/>
    </row>
    <row r="61" spans="1:9" x14ac:dyDescent="0.2">
      <c r="A61" s="6" t="s">
        <v>132</v>
      </c>
      <c r="B61" s="3">
        <v>50441.63</v>
      </c>
      <c r="C61" s="3">
        <v>3252.05</v>
      </c>
      <c r="D61" s="3">
        <v>0</v>
      </c>
      <c r="E61" s="3">
        <v>0</v>
      </c>
      <c r="F61" s="3">
        <v>0</v>
      </c>
      <c r="G61" s="3">
        <v>3252.05</v>
      </c>
      <c r="H61" s="3">
        <f t="shared" si="0"/>
        <v>56945.73</v>
      </c>
      <c r="I61" s="18"/>
    </row>
    <row r="62" spans="1:9" x14ac:dyDescent="0.2">
      <c r="A62" s="6" t="s">
        <v>83</v>
      </c>
      <c r="B62" s="3">
        <v>358717.12</v>
      </c>
      <c r="C62" s="3">
        <v>0</v>
      </c>
      <c r="D62" s="3">
        <v>0</v>
      </c>
      <c r="E62" s="3">
        <v>0</v>
      </c>
      <c r="F62" s="3">
        <v>0</v>
      </c>
      <c r="G62" s="3">
        <v>37807.300000000003</v>
      </c>
      <c r="H62" s="3">
        <f t="shared" si="0"/>
        <v>396524.42</v>
      </c>
      <c r="I62" s="18"/>
    </row>
    <row r="63" spans="1:9" x14ac:dyDescent="0.2">
      <c r="A63" s="6" t="s">
        <v>153</v>
      </c>
      <c r="B63" s="3">
        <v>882548.74</v>
      </c>
      <c r="C63" s="3">
        <v>216033.47</v>
      </c>
      <c r="D63" s="3">
        <v>1187</v>
      </c>
      <c r="E63" s="3">
        <v>24926.94</v>
      </c>
      <c r="F63" s="3">
        <v>0</v>
      </c>
      <c r="G63" s="3">
        <v>118699.71</v>
      </c>
      <c r="H63" s="3">
        <f t="shared" si="0"/>
        <v>1243395.8599999999</v>
      </c>
      <c r="I63" s="18"/>
    </row>
    <row r="64" spans="1:9" x14ac:dyDescent="0.2">
      <c r="A64" s="6" t="s">
        <v>159</v>
      </c>
      <c r="B64" s="3">
        <v>92945.39</v>
      </c>
      <c r="C64" s="3">
        <v>0</v>
      </c>
      <c r="D64" s="3">
        <v>0</v>
      </c>
      <c r="E64" s="3">
        <v>0</v>
      </c>
      <c r="F64" s="3">
        <v>0</v>
      </c>
      <c r="G64" s="3">
        <v>2948.61</v>
      </c>
      <c r="H64" s="3">
        <f t="shared" si="0"/>
        <v>95894</v>
      </c>
      <c r="I64" s="18"/>
    </row>
    <row r="65" spans="1:9" x14ac:dyDescent="0.2">
      <c r="A65" s="6" t="s">
        <v>57</v>
      </c>
      <c r="B65" s="3">
        <v>0</v>
      </c>
      <c r="C65" s="3">
        <v>0</v>
      </c>
      <c r="D65" s="3">
        <v>0</v>
      </c>
      <c r="E65" s="3">
        <v>0</v>
      </c>
      <c r="F65" s="3">
        <v>0</v>
      </c>
      <c r="G65" s="3">
        <v>0</v>
      </c>
      <c r="H65" s="3">
        <f t="shared" si="0"/>
        <v>0</v>
      </c>
      <c r="I65" s="18"/>
    </row>
    <row r="66" spans="1:9" x14ac:dyDescent="0.2">
      <c r="A66" s="6" t="s">
        <v>157</v>
      </c>
      <c r="B66" s="3">
        <v>92663.65</v>
      </c>
      <c r="C66" s="3">
        <v>13228.52</v>
      </c>
      <c r="D66" s="3">
        <v>0</v>
      </c>
      <c r="E66" s="3">
        <v>0</v>
      </c>
      <c r="F66" s="3">
        <v>0</v>
      </c>
      <c r="G66" s="3">
        <v>7937.11</v>
      </c>
      <c r="H66" s="3">
        <f t="shared" ref="H66:H129" si="1">SUM(B66:G66)</f>
        <v>113829.28</v>
      </c>
      <c r="I66" s="18"/>
    </row>
    <row r="67" spans="1:9" x14ac:dyDescent="0.2">
      <c r="A67" s="6" t="s">
        <v>110</v>
      </c>
      <c r="B67" s="3">
        <v>240307.26</v>
      </c>
      <c r="C67" s="3">
        <v>32018.83</v>
      </c>
      <c r="D67" s="3">
        <v>0</v>
      </c>
      <c r="E67" s="3">
        <v>0</v>
      </c>
      <c r="F67" s="3">
        <v>0</v>
      </c>
      <c r="G67" s="3">
        <v>16009.41</v>
      </c>
      <c r="H67" s="3">
        <f t="shared" si="1"/>
        <v>288335.5</v>
      </c>
      <c r="I67" s="18"/>
    </row>
    <row r="68" spans="1:9" x14ac:dyDescent="0.2">
      <c r="A68" s="6" t="s">
        <v>16</v>
      </c>
      <c r="B68" s="3">
        <v>347264.47</v>
      </c>
      <c r="C68" s="3">
        <v>47715.87</v>
      </c>
      <c r="D68" s="3">
        <v>0</v>
      </c>
      <c r="E68" s="3">
        <v>0</v>
      </c>
      <c r="F68" s="3">
        <v>0</v>
      </c>
      <c r="G68" s="3">
        <v>41932.129999999997</v>
      </c>
      <c r="H68" s="3">
        <f t="shared" si="1"/>
        <v>436912.47</v>
      </c>
      <c r="I68" s="18"/>
    </row>
    <row r="69" spans="1:9" x14ac:dyDescent="0.2">
      <c r="A69" s="6" t="s">
        <v>40</v>
      </c>
      <c r="B69" s="3">
        <v>63090.17</v>
      </c>
      <c r="C69" s="3">
        <v>0</v>
      </c>
      <c r="D69" s="3">
        <v>0</v>
      </c>
      <c r="E69" s="3">
        <v>0</v>
      </c>
      <c r="F69" s="3">
        <v>0</v>
      </c>
      <c r="G69" s="3">
        <v>6754.99</v>
      </c>
      <c r="H69" s="3">
        <f t="shared" si="1"/>
        <v>69845.16</v>
      </c>
      <c r="I69" s="18"/>
    </row>
    <row r="70" spans="1:9" x14ac:dyDescent="0.2">
      <c r="A70" s="6" t="s">
        <v>34</v>
      </c>
      <c r="B70" s="3">
        <v>154120.71</v>
      </c>
      <c r="C70" s="3">
        <v>17833.22</v>
      </c>
      <c r="D70" s="3">
        <v>0</v>
      </c>
      <c r="E70" s="3">
        <v>0</v>
      </c>
      <c r="F70" s="3">
        <v>0</v>
      </c>
      <c r="G70" s="3">
        <v>16212.02</v>
      </c>
      <c r="H70" s="3">
        <f t="shared" si="1"/>
        <v>188165.94999999998</v>
      </c>
      <c r="I70" s="18"/>
    </row>
    <row r="71" spans="1:9" x14ac:dyDescent="0.2">
      <c r="A71" s="6" t="s">
        <v>73</v>
      </c>
      <c r="B71" s="3">
        <v>884641.76</v>
      </c>
      <c r="C71" s="3">
        <v>196754.84</v>
      </c>
      <c r="D71" s="3">
        <v>0</v>
      </c>
      <c r="E71" s="3">
        <v>8198.1200000000008</v>
      </c>
      <c r="F71" s="3">
        <v>0</v>
      </c>
      <c r="G71" s="3">
        <v>109308.24</v>
      </c>
      <c r="H71" s="3">
        <f t="shared" si="1"/>
        <v>1198902.9600000002</v>
      </c>
      <c r="I71" s="18"/>
    </row>
    <row r="72" spans="1:9" x14ac:dyDescent="0.2">
      <c r="A72" s="6" t="s">
        <v>219</v>
      </c>
      <c r="B72" s="3">
        <v>1435845.47</v>
      </c>
      <c r="C72" s="3">
        <v>277039.05</v>
      </c>
      <c r="D72" s="3">
        <v>6533.94</v>
      </c>
      <c r="E72" s="3">
        <v>0</v>
      </c>
      <c r="F72" s="3">
        <v>0</v>
      </c>
      <c r="G72" s="3">
        <v>186870.68</v>
      </c>
      <c r="H72" s="3">
        <f t="shared" si="1"/>
        <v>1906289.14</v>
      </c>
      <c r="I72" s="18"/>
    </row>
    <row r="73" spans="1:9" x14ac:dyDescent="0.2">
      <c r="A73" s="6" t="s">
        <v>124</v>
      </c>
      <c r="B73" s="3">
        <v>1749987.12</v>
      </c>
      <c r="C73" s="3">
        <v>363791.61</v>
      </c>
      <c r="D73" s="3">
        <v>1432.25</v>
      </c>
      <c r="E73" s="3">
        <v>0</v>
      </c>
      <c r="F73" s="3">
        <v>0</v>
      </c>
      <c r="G73" s="3">
        <v>339443.35</v>
      </c>
      <c r="H73" s="3">
        <f t="shared" si="1"/>
        <v>2454654.33</v>
      </c>
      <c r="I73" s="18"/>
    </row>
    <row r="74" spans="1:9" x14ac:dyDescent="0.2">
      <c r="A74" s="6" t="s">
        <v>51</v>
      </c>
      <c r="B74" s="3">
        <v>156354.67000000001</v>
      </c>
      <c r="C74" s="3">
        <v>17718.689999999999</v>
      </c>
      <c r="D74" s="3">
        <v>0</v>
      </c>
      <c r="E74" s="3">
        <v>0</v>
      </c>
      <c r="F74" s="3">
        <v>0</v>
      </c>
      <c r="G74" s="3">
        <v>54766.86</v>
      </c>
      <c r="H74" s="3">
        <f t="shared" si="1"/>
        <v>228840.22000000003</v>
      </c>
      <c r="I74" s="18"/>
    </row>
    <row r="75" spans="1:9" x14ac:dyDescent="0.2">
      <c r="A75" s="6" t="s">
        <v>52</v>
      </c>
      <c r="B75" s="3">
        <v>51911.199999999997</v>
      </c>
      <c r="C75" s="3">
        <v>978.78</v>
      </c>
      <c r="D75" s="3">
        <v>0</v>
      </c>
      <c r="E75" s="3">
        <v>0</v>
      </c>
      <c r="F75" s="3">
        <v>0</v>
      </c>
      <c r="G75" s="3">
        <v>0</v>
      </c>
      <c r="H75" s="3">
        <f t="shared" si="1"/>
        <v>52889.979999999996</v>
      </c>
      <c r="I75" s="18"/>
    </row>
    <row r="76" spans="1:9" x14ac:dyDescent="0.2">
      <c r="A76" s="6" t="s">
        <v>220</v>
      </c>
      <c r="B76" s="3">
        <v>11983.95</v>
      </c>
      <c r="C76" s="3">
        <v>2177.39</v>
      </c>
      <c r="D76" s="3">
        <v>0</v>
      </c>
      <c r="E76" s="3">
        <v>0</v>
      </c>
      <c r="F76" s="3">
        <v>0</v>
      </c>
      <c r="G76" s="3">
        <v>0</v>
      </c>
      <c r="H76" s="3">
        <f t="shared" si="1"/>
        <v>14161.34</v>
      </c>
      <c r="I76" s="18"/>
    </row>
    <row r="77" spans="1:9" x14ac:dyDescent="0.2">
      <c r="A77" s="6" t="s">
        <v>107</v>
      </c>
      <c r="B77" s="3">
        <v>21011.87</v>
      </c>
      <c r="C77" s="3">
        <v>0</v>
      </c>
      <c r="D77" s="3">
        <v>0</v>
      </c>
      <c r="E77" s="3">
        <v>0</v>
      </c>
      <c r="F77" s="3">
        <v>0</v>
      </c>
      <c r="G77" s="3">
        <v>1166.52</v>
      </c>
      <c r="H77" s="3">
        <f t="shared" si="1"/>
        <v>22178.39</v>
      </c>
      <c r="I77" s="18"/>
    </row>
    <row r="78" spans="1:9" x14ac:dyDescent="0.2">
      <c r="A78" s="6" t="s">
        <v>95</v>
      </c>
      <c r="B78" s="3">
        <v>130350.95</v>
      </c>
      <c r="C78" s="3">
        <v>24643.95</v>
      </c>
      <c r="D78" s="3">
        <v>0</v>
      </c>
      <c r="E78" s="3">
        <v>0</v>
      </c>
      <c r="F78" s="3">
        <v>0</v>
      </c>
      <c r="G78" s="3">
        <v>9388.17</v>
      </c>
      <c r="H78" s="3">
        <f t="shared" si="1"/>
        <v>164383.07</v>
      </c>
      <c r="I78" s="18"/>
    </row>
    <row r="79" spans="1:9" x14ac:dyDescent="0.2">
      <c r="A79" s="6" t="s">
        <v>136</v>
      </c>
      <c r="B79" s="3">
        <v>23529.01</v>
      </c>
      <c r="C79" s="3">
        <v>1175.6400000000001</v>
      </c>
      <c r="D79" s="3">
        <v>0</v>
      </c>
      <c r="E79" s="3">
        <v>0</v>
      </c>
      <c r="F79" s="3">
        <v>0</v>
      </c>
      <c r="G79" s="3">
        <v>2351.27</v>
      </c>
      <c r="H79" s="3">
        <f t="shared" si="1"/>
        <v>27055.919999999998</v>
      </c>
      <c r="I79" s="18"/>
    </row>
    <row r="80" spans="1:9" x14ac:dyDescent="0.2">
      <c r="A80" s="6" t="s">
        <v>221</v>
      </c>
      <c r="B80" s="3">
        <v>825275.79</v>
      </c>
      <c r="C80" s="3">
        <v>124035.7</v>
      </c>
      <c r="D80" s="3">
        <v>0</v>
      </c>
      <c r="E80" s="3">
        <v>0</v>
      </c>
      <c r="F80" s="3">
        <v>0</v>
      </c>
      <c r="G80" s="3">
        <v>138550.51999999999</v>
      </c>
      <c r="H80" s="3">
        <f t="shared" si="1"/>
        <v>1087862.01</v>
      </c>
      <c r="I80" s="18"/>
    </row>
    <row r="81" spans="1:9" x14ac:dyDescent="0.2">
      <c r="A81" s="6" t="s">
        <v>151</v>
      </c>
      <c r="B81" s="3">
        <v>2891044.76</v>
      </c>
      <c r="C81" s="3">
        <v>568939.97</v>
      </c>
      <c r="D81" s="3">
        <v>3244.9</v>
      </c>
      <c r="E81" s="3">
        <v>0</v>
      </c>
      <c r="F81" s="3">
        <v>0</v>
      </c>
      <c r="G81" s="3">
        <v>426164.16</v>
      </c>
      <c r="H81" s="3">
        <f t="shared" si="1"/>
        <v>3889393.7899999996</v>
      </c>
      <c r="I81" s="18"/>
    </row>
    <row r="82" spans="1:9" x14ac:dyDescent="0.2">
      <c r="A82" s="6" t="s">
        <v>222</v>
      </c>
      <c r="B82" s="3">
        <v>615242.03</v>
      </c>
      <c r="C82" s="3">
        <v>85821.119999999995</v>
      </c>
      <c r="D82" s="3">
        <v>0</v>
      </c>
      <c r="E82" s="3">
        <v>0</v>
      </c>
      <c r="F82" s="3">
        <v>0</v>
      </c>
      <c r="G82" s="3">
        <v>101297.06</v>
      </c>
      <c r="H82" s="3">
        <f t="shared" si="1"/>
        <v>802360.21</v>
      </c>
      <c r="I82" s="18"/>
    </row>
    <row r="83" spans="1:9" x14ac:dyDescent="0.2">
      <c r="A83" s="6" t="s">
        <v>2</v>
      </c>
      <c r="B83" s="3">
        <v>14682.62</v>
      </c>
      <c r="C83" s="3">
        <v>0</v>
      </c>
      <c r="D83" s="3">
        <v>0</v>
      </c>
      <c r="E83" s="3">
        <v>0</v>
      </c>
      <c r="F83" s="3">
        <v>0</v>
      </c>
      <c r="G83" s="3">
        <v>5868.99</v>
      </c>
      <c r="H83" s="3">
        <f t="shared" si="1"/>
        <v>20551.61</v>
      </c>
      <c r="I83" s="18"/>
    </row>
    <row r="84" spans="1:9" x14ac:dyDescent="0.2">
      <c r="A84" s="6" t="s">
        <v>143</v>
      </c>
      <c r="B84" s="3">
        <v>68877.36</v>
      </c>
      <c r="C84" s="3">
        <v>7245.24</v>
      </c>
      <c r="D84" s="3">
        <v>0</v>
      </c>
      <c r="E84" s="3">
        <v>0</v>
      </c>
      <c r="F84" s="3">
        <v>0</v>
      </c>
      <c r="G84" s="3">
        <v>1811.31</v>
      </c>
      <c r="H84" s="3">
        <f t="shared" si="1"/>
        <v>77933.91</v>
      </c>
      <c r="I84" s="18"/>
    </row>
    <row r="85" spans="1:9" x14ac:dyDescent="0.2">
      <c r="A85" s="6" t="s">
        <v>223</v>
      </c>
      <c r="B85" s="3">
        <v>26878.06</v>
      </c>
      <c r="C85" s="3">
        <v>4671.22</v>
      </c>
      <c r="D85" s="3">
        <v>0</v>
      </c>
      <c r="E85" s="3">
        <v>0</v>
      </c>
      <c r="F85" s="3">
        <v>0</v>
      </c>
      <c r="G85" s="3">
        <v>0</v>
      </c>
      <c r="H85" s="3">
        <f t="shared" si="1"/>
        <v>31549.280000000002</v>
      </c>
      <c r="I85" s="18"/>
    </row>
    <row r="86" spans="1:9" x14ac:dyDescent="0.2">
      <c r="A86" s="6" t="s">
        <v>72</v>
      </c>
      <c r="B86" s="3">
        <v>499476.58</v>
      </c>
      <c r="C86" s="3">
        <v>60467.46</v>
      </c>
      <c r="D86" s="3">
        <v>2198.8200000000002</v>
      </c>
      <c r="E86" s="3">
        <v>0</v>
      </c>
      <c r="F86" s="3">
        <v>0</v>
      </c>
      <c r="G86" s="3">
        <v>81356.22</v>
      </c>
      <c r="H86" s="3">
        <f t="shared" si="1"/>
        <v>643499.07999999996</v>
      </c>
      <c r="I86" s="18"/>
    </row>
    <row r="87" spans="1:9" x14ac:dyDescent="0.2">
      <c r="A87" s="6" t="s">
        <v>113</v>
      </c>
      <c r="B87" s="3">
        <v>134628.75</v>
      </c>
      <c r="C87" s="3">
        <v>33926.400000000001</v>
      </c>
      <c r="D87" s="3">
        <v>1169.8800000000001</v>
      </c>
      <c r="E87" s="3">
        <v>0</v>
      </c>
      <c r="F87" s="3">
        <v>0</v>
      </c>
      <c r="G87" s="3">
        <v>7019.25</v>
      </c>
      <c r="H87" s="3">
        <f t="shared" si="1"/>
        <v>176744.28</v>
      </c>
      <c r="I87" s="18"/>
    </row>
    <row r="88" spans="1:9" x14ac:dyDescent="0.2">
      <c r="A88" s="6" t="s">
        <v>17</v>
      </c>
      <c r="B88" s="3">
        <v>23103.31</v>
      </c>
      <c r="C88" s="3">
        <v>1592.23</v>
      </c>
      <c r="D88" s="3">
        <v>0</v>
      </c>
      <c r="E88" s="3">
        <v>0</v>
      </c>
      <c r="F88" s="3">
        <v>0</v>
      </c>
      <c r="G88" s="3">
        <v>3980.58</v>
      </c>
      <c r="H88" s="3">
        <f t="shared" si="1"/>
        <v>28676.120000000003</v>
      </c>
      <c r="I88" s="18"/>
    </row>
    <row r="89" spans="1:9" x14ac:dyDescent="0.2">
      <c r="A89" s="6" t="s">
        <v>46</v>
      </c>
      <c r="B89" s="3">
        <v>124368.59</v>
      </c>
      <c r="C89" s="3">
        <v>20430.02</v>
      </c>
      <c r="D89" s="3">
        <v>0</v>
      </c>
      <c r="E89" s="3">
        <v>0</v>
      </c>
      <c r="F89" s="3">
        <v>0</v>
      </c>
      <c r="G89" s="3">
        <v>27240.03</v>
      </c>
      <c r="H89" s="3">
        <f t="shared" si="1"/>
        <v>172038.63999999998</v>
      </c>
      <c r="I89" s="18"/>
    </row>
    <row r="90" spans="1:9" x14ac:dyDescent="0.2">
      <c r="A90" s="6" t="s">
        <v>101</v>
      </c>
      <c r="B90" s="3">
        <v>10359.709999999999</v>
      </c>
      <c r="C90" s="3">
        <v>0</v>
      </c>
      <c r="D90" s="3">
        <v>0</v>
      </c>
      <c r="E90" s="3">
        <v>0</v>
      </c>
      <c r="F90" s="3">
        <v>0</v>
      </c>
      <c r="G90" s="3">
        <v>6901.7</v>
      </c>
      <c r="H90" s="3">
        <f t="shared" si="1"/>
        <v>17261.41</v>
      </c>
      <c r="I90" s="18"/>
    </row>
    <row r="91" spans="1:9" x14ac:dyDescent="0.2">
      <c r="A91" s="6" t="s">
        <v>146</v>
      </c>
      <c r="B91" s="3">
        <v>63356.95</v>
      </c>
      <c r="C91" s="3">
        <v>4366.43</v>
      </c>
      <c r="D91" s="3">
        <v>0</v>
      </c>
      <c r="E91" s="3">
        <v>0</v>
      </c>
      <c r="F91" s="3">
        <v>0</v>
      </c>
      <c r="G91" s="3">
        <v>2183.21</v>
      </c>
      <c r="H91" s="3">
        <f t="shared" si="1"/>
        <v>69906.590000000011</v>
      </c>
      <c r="I91" s="18"/>
    </row>
    <row r="92" spans="1:9" x14ac:dyDescent="0.2">
      <c r="A92" s="6" t="s">
        <v>88</v>
      </c>
      <c r="B92" s="3">
        <v>298544.2</v>
      </c>
      <c r="C92" s="3">
        <v>40868.199999999997</v>
      </c>
      <c r="D92" s="3">
        <v>0</v>
      </c>
      <c r="E92" s="3">
        <v>0</v>
      </c>
      <c r="F92" s="3">
        <v>0</v>
      </c>
      <c r="G92" s="3">
        <v>57215.48</v>
      </c>
      <c r="H92" s="3">
        <f t="shared" si="1"/>
        <v>396627.88</v>
      </c>
      <c r="I92" s="18"/>
    </row>
    <row r="93" spans="1:9" x14ac:dyDescent="0.2">
      <c r="A93" s="6" t="s">
        <v>102</v>
      </c>
      <c r="B93" s="3">
        <v>1324.65</v>
      </c>
      <c r="C93" s="3">
        <v>0</v>
      </c>
      <c r="D93" s="3">
        <v>0</v>
      </c>
      <c r="E93" s="3">
        <v>0</v>
      </c>
      <c r="F93" s="3">
        <v>0</v>
      </c>
      <c r="G93" s="3">
        <v>0</v>
      </c>
      <c r="H93" s="3">
        <f t="shared" si="1"/>
        <v>1324.65</v>
      </c>
      <c r="I93" s="18"/>
    </row>
    <row r="94" spans="1:9" x14ac:dyDescent="0.2">
      <c r="A94" s="6" t="s">
        <v>74</v>
      </c>
      <c r="B94" s="3">
        <v>1277080.5</v>
      </c>
      <c r="C94" s="3">
        <v>136893.21</v>
      </c>
      <c r="D94" s="3">
        <v>0</v>
      </c>
      <c r="E94" s="3">
        <v>0</v>
      </c>
      <c r="F94" s="3">
        <v>0</v>
      </c>
      <c r="G94" s="3">
        <v>160444.73000000001</v>
      </c>
      <c r="H94" s="3">
        <f t="shared" si="1"/>
        <v>1574418.44</v>
      </c>
      <c r="I94" s="18"/>
    </row>
    <row r="95" spans="1:9" x14ac:dyDescent="0.2">
      <c r="A95" s="6" t="s">
        <v>224</v>
      </c>
      <c r="B95" s="3">
        <v>631961.99</v>
      </c>
      <c r="C95" s="3">
        <v>100654.41</v>
      </c>
      <c r="D95" s="3">
        <v>0</v>
      </c>
      <c r="E95" s="3">
        <v>27598.79</v>
      </c>
      <c r="F95" s="3">
        <v>0</v>
      </c>
      <c r="G95" s="3">
        <v>103901.33</v>
      </c>
      <c r="H95" s="3">
        <f t="shared" si="1"/>
        <v>864116.52</v>
      </c>
      <c r="I95" s="18"/>
    </row>
    <row r="96" spans="1:9" x14ac:dyDescent="0.2">
      <c r="A96" s="6" t="s">
        <v>167</v>
      </c>
      <c r="B96" s="3">
        <v>72698.13</v>
      </c>
      <c r="C96" s="3">
        <v>11243.13</v>
      </c>
      <c r="D96" s="3">
        <v>0</v>
      </c>
      <c r="E96" s="3">
        <v>0</v>
      </c>
      <c r="F96" s="3">
        <v>0</v>
      </c>
      <c r="G96" s="3">
        <v>13837.69</v>
      </c>
      <c r="H96" s="3">
        <f t="shared" si="1"/>
        <v>97778.950000000012</v>
      </c>
      <c r="I96" s="18"/>
    </row>
    <row r="97" spans="1:9" x14ac:dyDescent="0.2">
      <c r="A97" s="6" t="s">
        <v>140</v>
      </c>
      <c r="B97" s="3">
        <v>458652.92</v>
      </c>
      <c r="C97" s="3">
        <v>58482.04</v>
      </c>
      <c r="D97" s="3">
        <v>0</v>
      </c>
      <c r="E97" s="3">
        <v>23120.81</v>
      </c>
      <c r="F97" s="3">
        <v>0</v>
      </c>
      <c r="G97" s="3">
        <v>39441.370000000003</v>
      </c>
      <c r="H97" s="3">
        <f t="shared" si="1"/>
        <v>579697.14</v>
      </c>
      <c r="I97" s="18"/>
    </row>
    <row r="98" spans="1:9" x14ac:dyDescent="0.2">
      <c r="A98" s="6" t="s">
        <v>75</v>
      </c>
      <c r="B98" s="3">
        <v>131123.64000000001</v>
      </c>
      <c r="C98" s="3">
        <v>19654.95</v>
      </c>
      <c r="D98" s="3">
        <v>0</v>
      </c>
      <c r="E98" s="3">
        <v>0</v>
      </c>
      <c r="F98" s="3">
        <v>0</v>
      </c>
      <c r="G98" s="3">
        <v>9827.48</v>
      </c>
      <c r="H98" s="3">
        <f t="shared" si="1"/>
        <v>160606.07000000004</v>
      </c>
      <c r="I98" s="18"/>
    </row>
    <row r="99" spans="1:9" x14ac:dyDescent="0.2">
      <c r="A99" s="6" t="s">
        <v>8</v>
      </c>
      <c r="B99" s="3">
        <v>1015456.67</v>
      </c>
      <c r="C99" s="3">
        <v>336945.65</v>
      </c>
      <c r="D99" s="3">
        <v>0</v>
      </c>
      <c r="E99" s="3">
        <v>0</v>
      </c>
      <c r="F99" s="3">
        <v>0</v>
      </c>
      <c r="G99" s="3">
        <v>113621.21</v>
      </c>
      <c r="H99" s="3">
        <f t="shared" si="1"/>
        <v>1466023.53</v>
      </c>
      <c r="I99" s="18"/>
    </row>
    <row r="100" spans="1:9" x14ac:dyDescent="0.2">
      <c r="A100" s="6" t="s">
        <v>96</v>
      </c>
      <c r="B100" s="3">
        <v>768581.61</v>
      </c>
      <c r="C100" s="3">
        <v>99424.01</v>
      </c>
      <c r="D100" s="3">
        <v>2485.6</v>
      </c>
      <c r="E100" s="3">
        <v>0</v>
      </c>
      <c r="F100" s="3">
        <v>0</v>
      </c>
      <c r="G100" s="3">
        <v>88238.81</v>
      </c>
      <c r="H100" s="3">
        <f t="shared" si="1"/>
        <v>958730.03</v>
      </c>
      <c r="I100" s="18"/>
    </row>
    <row r="101" spans="1:9" x14ac:dyDescent="0.2">
      <c r="A101" s="6" t="s">
        <v>94</v>
      </c>
      <c r="B101" s="3">
        <v>1000759.13</v>
      </c>
      <c r="C101" s="3">
        <v>226566.53</v>
      </c>
      <c r="D101" s="3">
        <v>2886.2</v>
      </c>
      <c r="E101" s="3">
        <v>8658.59</v>
      </c>
      <c r="F101" s="3">
        <v>0</v>
      </c>
      <c r="G101" s="3">
        <v>124106.51</v>
      </c>
      <c r="H101" s="3">
        <f t="shared" si="1"/>
        <v>1362976.96</v>
      </c>
      <c r="I101" s="18"/>
    </row>
    <row r="102" spans="1:9" x14ac:dyDescent="0.2">
      <c r="A102" s="6" t="s">
        <v>50</v>
      </c>
      <c r="B102" s="3">
        <v>6638.15</v>
      </c>
      <c r="C102" s="3">
        <v>3316.78</v>
      </c>
      <c r="D102" s="3">
        <v>0</v>
      </c>
      <c r="E102" s="3">
        <v>0</v>
      </c>
      <c r="F102" s="3">
        <v>0</v>
      </c>
      <c r="G102" s="3">
        <v>0</v>
      </c>
      <c r="H102" s="3">
        <f t="shared" si="1"/>
        <v>9954.93</v>
      </c>
      <c r="I102" s="18"/>
    </row>
    <row r="103" spans="1:9" x14ac:dyDescent="0.2">
      <c r="A103" s="6" t="s">
        <v>89</v>
      </c>
      <c r="B103" s="3">
        <v>122988.23</v>
      </c>
      <c r="C103" s="3">
        <v>3881.15</v>
      </c>
      <c r="D103" s="3">
        <v>0</v>
      </c>
      <c r="E103" s="3">
        <v>6468.59</v>
      </c>
      <c r="F103" s="3">
        <v>0</v>
      </c>
      <c r="G103" s="3">
        <v>11643.47</v>
      </c>
      <c r="H103" s="3">
        <f t="shared" si="1"/>
        <v>144981.44</v>
      </c>
      <c r="I103" s="18"/>
    </row>
    <row r="104" spans="1:9" x14ac:dyDescent="0.2">
      <c r="A104" s="6" t="s">
        <v>105</v>
      </c>
      <c r="B104" s="3">
        <v>490.16</v>
      </c>
      <c r="C104" s="3">
        <v>0</v>
      </c>
      <c r="D104" s="3">
        <v>0</v>
      </c>
      <c r="E104" s="3">
        <v>0</v>
      </c>
      <c r="F104" s="3">
        <v>0</v>
      </c>
      <c r="G104" s="3">
        <v>0</v>
      </c>
      <c r="H104" s="3">
        <f t="shared" si="1"/>
        <v>490.16</v>
      </c>
      <c r="I104" s="18"/>
    </row>
    <row r="105" spans="1:9" x14ac:dyDescent="0.2">
      <c r="A105" s="6" t="s">
        <v>84</v>
      </c>
      <c r="B105" s="3">
        <v>50524.11</v>
      </c>
      <c r="C105" s="3">
        <v>0</v>
      </c>
      <c r="D105" s="3">
        <v>0</v>
      </c>
      <c r="E105" s="3">
        <v>0</v>
      </c>
      <c r="F105" s="3">
        <v>0</v>
      </c>
      <c r="G105" s="3">
        <v>9015.93</v>
      </c>
      <c r="H105" s="3">
        <f t="shared" si="1"/>
        <v>59540.04</v>
      </c>
      <c r="I105" s="18"/>
    </row>
    <row r="106" spans="1:9" x14ac:dyDescent="0.2">
      <c r="A106" s="6" t="s">
        <v>91</v>
      </c>
      <c r="B106" s="3">
        <v>79395.759999999995</v>
      </c>
      <c r="C106" s="3">
        <v>10128.620000000001</v>
      </c>
      <c r="D106" s="3">
        <v>0</v>
      </c>
      <c r="E106" s="3">
        <v>0</v>
      </c>
      <c r="F106" s="3">
        <v>0</v>
      </c>
      <c r="G106" s="3">
        <v>5064.3100000000004</v>
      </c>
      <c r="H106" s="3">
        <f t="shared" si="1"/>
        <v>94588.689999999988</v>
      </c>
      <c r="I106" s="18"/>
    </row>
    <row r="107" spans="1:9" x14ac:dyDescent="0.2">
      <c r="A107" s="6" t="s">
        <v>87</v>
      </c>
      <c r="B107" s="3">
        <v>42965.38</v>
      </c>
      <c r="C107" s="3">
        <v>4155.07</v>
      </c>
      <c r="D107" s="3">
        <v>0</v>
      </c>
      <c r="E107" s="3">
        <v>0</v>
      </c>
      <c r="F107" s="3">
        <v>0</v>
      </c>
      <c r="G107" s="3">
        <v>8310.1299999999992</v>
      </c>
      <c r="H107" s="3">
        <f t="shared" si="1"/>
        <v>55430.579999999994</v>
      </c>
      <c r="I107" s="18"/>
    </row>
    <row r="108" spans="1:9" x14ac:dyDescent="0.2">
      <c r="A108" s="6" t="s">
        <v>165</v>
      </c>
      <c r="B108" s="3">
        <v>1007985.41</v>
      </c>
      <c r="C108" s="3">
        <v>147376.85999999999</v>
      </c>
      <c r="D108" s="3">
        <v>0</v>
      </c>
      <c r="E108" s="3">
        <v>0</v>
      </c>
      <c r="F108" s="3">
        <v>0</v>
      </c>
      <c r="G108" s="3">
        <v>103804.57</v>
      </c>
      <c r="H108" s="3">
        <f t="shared" si="1"/>
        <v>1259166.8400000001</v>
      </c>
      <c r="I108" s="18"/>
    </row>
    <row r="109" spans="1:9" x14ac:dyDescent="0.2">
      <c r="A109" s="6" t="s">
        <v>68</v>
      </c>
      <c r="B109" s="3">
        <v>2106938.86</v>
      </c>
      <c r="C109" s="3">
        <v>615278.43999999994</v>
      </c>
      <c r="D109" s="3">
        <v>4922.2299999999996</v>
      </c>
      <c r="E109" s="3">
        <v>9844.4500000000007</v>
      </c>
      <c r="F109" s="3">
        <v>0</v>
      </c>
      <c r="G109" s="3">
        <v>254725.27</v>
      </c>
      <c r="H109" s="3">
        <f t="shared" si="1"/>
        <v>2991709.25</v>
      </c>
      <c r="I109" s="18"/>
    </row>
    <row r="110" spans="1:9" x14ac:dyDescent="0.2">
      <c r="A110" s="6" t="s">
        <v>225</v>
      </c>
      <c r="B110" s="3">
        <v>265724</v>
      </c>
      <c r="C110" s="3">
        <v>47470.9</v>
      </c>
      <c r="D110" s="3">
        <v>0</v>
      </c>
      <c r="E110" s="3">
        <v>0</v>
      </c>
      <c r="F110" s="3">
        <v>0</v>
      </c>
      <c r="G110" s="3">
        <v>48954.37</v>
      </c>
      <c r="H110" s="3">
        <f t="shared" si="1"/>
        <v>362149.27</v>
      </c>
      <c r="I110" s="18"/>
    </row>
    <row r="111" spans="1:9" x14ac:dyDescent="0.2">
      <c r="A111" s="6" t="s">
        <v>160</v>
      </c>
      <c r="B111" s="3">
        <v>61619.76</v>
      </c>
      <c r="C111" s="3">
        <v>10912.41</v>
      </c>
      <c r="D111" s="3">
        <v>0</v>
      </c>
      <c r="E111" s="3">
        <v>0</v>
      </c>
      <c r="F111" s="3">
        <v>0</v>
      </c>
      <c r="G111" s="3">
        <v>0</v>
      </c>
      <c r="H111" s="3">
        <f t="shared" si="1"/>
        <v>72532.17</v>
      </c>
      <c r="I111" s="18"/>
    </row>
    <row r="112" spans="1:9" x14ac:dyDescent="0.2">
      <c r="A112" s="6" t="s">
        <v>10</v>
      </c>
      <c r="B112" s="3">
        <v>443717.44</v>
      </c>
      <c r="C112" s="3">
        <v>68948.600000000006</v>
      </c>
      <c r="D112" s="3">
        <v>0</v>
      </c>
      <c r="E112" s="3">
        <v>0</v>
      </c>
      <c r="F112" s="3">
        <v>0</v>
      </c>
      <c r="G112" s="3">
        <v>55872.14</v>
      </c>
      <c r="H112" s="3">
        <f t="shared" si="1"/>
        <v>568538.18000000005</v>
      </c>
      <c r="I112" s="18"/>
    </row>
    <row r="113" spans="1:9" x14ac:dyDescent="0.2">
      <c r="A113" s="6" t="s">
        <v>4</v>
      </c>
      <c r="B113" s="3">
        <v>68171.289999999994</v>
      </c>
      <c r="C113" s="3">
        <v>14341.93</v>
      </c>
      <c r="D113" s="3">
        <v>0</v>
      </c>
      <c r="E113" s="3">
        <v>0</v>
      </c>
      <c r="F113" s="3">
        <v>0</v>
      </c>
      <c r="G113" s="3">
        <v>3585.48</v>
      </c>
      <c r="H113" s="3">
        <f t="shared" si="1"/>
        <v>86098.7</v>
      </c>
      <c r="I113" s="18"/>
    </row>
    <row r="114" spans="1:9" x14ac:dyDescent="0.2">
      <c r="A114" s="6" t="s">
        <v>48</v>
      </c>
      <c r="B114" s="3">
        <v>8416.6200000000008</v>
      </c>
      <c r="C114" s="3">
        <v>2803.6</v>
      </c>
      <c r="D114" s="3">
        <v>0</v>
      </c>
      <c r="E114" s="3">
        <v>0</v>
      </c>
      <c r="F114" s="3">
        <v>0</v>
      </c>
      <c r="G114" s="3">
        <v>1401.8</v>
      </c>
      <c r="H114" s="3">
        <f t="shared" si="1"/>
        <v>12622.02</v>
      </c>
      <c r="I114" s="18"/>
    </row>
    <row r="115" spans="1:9" x14ac:dyDescent="0.2">
      <c r="A115" s="6" t="s">
        <v>120</v>
      </c>
      <c r="B115" s="3">
        <v>341128.55</v>
      </c>
      <c r="C115" s="3">
        <v>43795.26</v>
      </c>
      <c r="D115" s="3">
        <v>0</v>
      </c>
      <c r="E115" s="3">
        <v>0</v>
      </c>
      <c r="F115" s="3">
        <v>0</v>
      </c>
      <c r="G115" s="3">
        <v>50897.19</v>
      </c>
      <c r="H115" s="3">
        <f t="shared" si="1"/>
        <v>435821</v>
      </c>
      <c r="I115" s="18"/>
    </row>
    <row r="116" spans="1:9" x14ac:dyDescent="0.2">
      <c r="A116" s="6" t="s">
        <v>118</v>
      </c>
      <c r="B116" s="3">
        <v>128134.83</v>
      </c>
      <c r="C116" s="3">
        <v>15243.61</v>
      </c>
      <c r="D116" s="3">
        <v>0</v>
      </c>
      <c r="E116" s="3">
        <v>0</v>
      </c>
      <c r="F116" s="3">
        <v>0</v>
      </c>
      <c r="G116" s="3">
        <v>13719.24</v>
      </c>
      <c r="H116" s="3">
        <f t="shared" si="1"/>
        <v>157097.68</v>
      </c>
      <c r="I116" s="18"/>
    </row>
    <row r="117" spans="1:9" x14ac:dyDescent="0.2">
      <c r="A117" s="6" t="s">
        <v>28</v>
      </c>
      <c r="B117" s="3">
        <v>122929.87</v>
      </c>
      <c r="C117" s="3">
        <v>14039.42</v>
      </c>
      <c r="D117" s="3">
        <v>0</v>
      </c>
      <c r="E117" s="3">
        <v>0</v>
      </c>
      <c r="F117" s="3">
        <v>0</v>
      </c>
      <c r="G117" s="3">
        <v>21059.13</v>
      </c>
      <c r="H117" s="3">
        <f t="shared" si="1"/>
        <v>158028.42000000001</v>
      </c>
      <c r="I117" s="18"/>
    </row>
    <row r="118" spans="1:9" x14ac:dyDescent="0.2">
      <c r="A118" s="6" t="s">
        <v>134</v>
      </c>
      <c r="B118" s="3">
        <v>126637.91</v>
      </c>
      <c r="C118" s="3">
        <v>33574.589999999997</v>
      </c>
      <c r="D118" s="3">
        <v>0</v>
      </c>
      <c r="E118" s="3">
        <v>0</v>
      </c>
      <c r="F118" s="3">
        <v>0</v>
      </c>
      <c r="G118" s="3">
        <v>7747.98</v>
      </c>
      <c r="H118" s="3">
        <f t="shared" si="1"/>
        <v>167960.48</v>
      </c>
      <c r="I118" s="18"/>
    </row>
    <row r="119" spans="1:9" x14ac:dyDescent="0.2">
      <c r="A119" s="6" t="s">
        <v>135</v>
      </c>
      <c r="B119" s="3">
        <v>101748.85</v>
      </c>
      <c r="C119" s="3">
        <v>21246.26</v>
      </c>
      <c r="D119" s="3">
        <v>0</v>
      </c>
      <c r="E119" s="3">
        <v>0</v>
      </c>
      <c r="F119" s="3">
        <v>0</v>
      </c>
      <c r="G119" s="3">
        <v>10623.13</v>
      </c>
      <c r="H119" s="3">
        <f t="shared" si="1"/>
        <v>133618.23999999999</v>
      </c>
      <c r="I119" s="18"/>
    </row>
    <row r="120" spans="1:9" x14ac:dyDescent="0.2">
      <c r="A120" s="6" t="s">
        <v>163</v>
      </c>
      <c r="B120" s="3">
        <v>746381.21</v>
      </c>
      <c r="C120" s="3">
        <v>175577.81</v>
      </c>
      <c r="D120" s="3">
        <v>2722.14</v>
      </c>
      <c r="E120" s="3">
        <v>0</v>
      </c>
      <c r="F120" s="3">
        <v>0</v>
      </c>
      <c r="G120" s="3">
        <v>93913.71</v>
      </c>
      <c r="H120" s="3">
        <f t="shared" si="1"/>
        <v>1018594.87</v>
      </c>
      <c r="I120" s="18"/>
    </row>
    <row r="121" spans="1:9" x14ac:dyDescent="0.2">
      <c r="A121" s="6" t="s">
        <v>26</v>
      </c>
      <c r="B121" s="3">
        <v>624836.35</v>
      </c>
      <c r="C121" s="3">
        <v>109331.54</v>
      </c>
      <c r="D121" s="3">
        <v>0</v>
      </c>
      <c r="E121" s="3">
        <v>10933.15</v>
      </c>
      <c r="F121" s="3">
        <v>0</v>
      </c>
      <c r="G121" s="3">
        <v>38873.43</v>
      </c>
      <c r="H121" s="3">
        <f t="shared" si="1"/>
        <v>783974.47000000009</v>
      </c>
      <c r="I121" s="18"/>
    </row>
    <row r="122" spans="1:9" x14ac:dyDescent="0.2">
      <c r="A122" s="6" t="s">
        <v>9</v>
      </c>
      <c r="B122" s="3">
        <v>2512812.9300000002</v>
      </c>
      <c r="C122" s="3">
        <v>433160.68</v>
      </c>
      <c r="D122" s="3">
        <v>2092.56</v>
      </c>
      <c r="E122" s="3">
        <v>0</v>
      </c>
      <c r="F122" s="3">
        <v>0</v>
      </c>
      <c r="G122" s="3">
        <v>336902.75</v>
      </c>
      <c r="H122" s="3">
        <f t="shared" si="1"/>
        <v>3284968.9200000004</v>
      </c>
      <c r="I122" s="18"/>
    </row>
    <row r="123" spans="1:9" x14ac:dyDescent="0.2">
      <c r="A123" s="6" t="s">
        <v>36</v>
      </c>
      <c r="B123" s="3">
        <v>49286.25</v>
      </c>
      <c r="C123" s="3">
        <v>8443.23</v>
      </c>
      <c r="D123" s="3">
        <v>0</v>
      </c>
      <c r="E123" s="3">
        <v>0</v>
      </c>
      <c r="F123" s="3">
        <v>0</v>
      </c>
      <c r="G123" s="3">
        <v>8443.23</v>
      </c>
      <c r="H123" s="3">
        <f t="shared" si="1"/>
        <v>66172.709999999992</v>
      </c>
      <c r="I123" s="18"/>
    </row>
    <row r="124" spans="1:9" x14ac:dyDescent="0.2">
      <c r="A124" s="6" t="s">
        <v>77</v>
      </c>
      <c r="B124" s="3">
        <v>49818.98</v>
      </c>
      <c r="C124" s="3">
        <v>5185.8900000000003</v>
      </c>
      <c r="D124" s="3">
        <v>0</v>
      </c>
      <c r="E124" s="3">
        <v>0</v>
      </c>
      <c r="F124" s="3">
        <v>0</v>
      </c>
      <c r="G124" s="3">
        <v>2074.36</v>
      </c>
      <c r="H124" s="3">
        <f t="shared" si="1"/>
        <v>57079.23</v>
      </c>
      <c r="I124" s="18"/>
    </row>
    <row r="125" spans="1:9" x14ac:dyDescent="0.2">
      <c r="A125" s="6" t="s">
        <v>114</v>
      </c>
      <c r="B125" s="3">
        <v>263906.01</v>
      </c>
      <c r="C125" s="3">
        <v>58728.37</v>
      </c>
      <c r="D125" s="3">
        <v>2216.16</v>
      </c>
      <c r="E125" s="3">
        <v>0</v>
      </c>
      <c r="F125" s="3">
        <v>0</v>
      </c>
      <c r="G125" s="3">
        <v>25485.9</v>
      </c>
      <c r="H125" s="3">
        <f t="shared" si="1"/>
        <v>350336.44</v>
      </c>
      <c r="I125" s="18"/>
    </row>
    <row r="126" spans="1:9" x14ac:dyDescent="0.2">
      <c r="A126" s="6" t="s">
        <v>142</v>
      </c>
      <c r="B126" s="3">
        <v>49601.9</v>
      </c>
      <c r="C126" s="3">
        <v>7289.36</v>
      </c>
      <c r="D126" s="3">
        <v>0</v>
      </c>
      <c r="E126" s="3">
        <v>0</v>
      </c>
      <c r="F126" s="3">
        <v>0</v>
      </c>
      <c r="G126" s="3">
        <v>2915.74</v>
      </c>
      <c r="H126" s="3">
        <f t="shared" si="1"/>
        <v>59807</v>
      </c>
      <c r="I126" s="18"/>
    </row>
    <row r="127" spans="1:9" x14ac:dyDescent="0.2">
      <c r="A127" s="6" t="s">
        <v>116</v>
      </c>
      <c r="B127" s="3">
        <v>474029.28</v>
      </c>
      <c r="C127" s="3">
        <v>66097.91</v>
      </c>
      <c r="D127" s="3">
        <v>0</v>
      </c>
      <c r="E127" s="3">
        <v>0</v>
      </c>
      <c r="F127" s="3">
        <v>0</v>
      </c>
      <c r="G127" s="3">
        <v>17901.52</v>
      </c>
      <c r="H127" s="3">
        <f t="shared" si="1"/>
        <v>558028.71000000008</v>
      </c>
      <c r="I127" s="18"/>
    </row>
    <row r="128" spans="1:9" x14ac:dyDescent="0.2">
      <c r="A128" s="6" t="s">
        <v>226</v>
      </c>
      <c r="B128" s="3">
        <v>525660.36</v>
      </c>
      <c r="C128" s="3">
        <v>71690.67</v>
      </c>
      <c r="D128" s="3">
        <v>0</v>
      </c>
      <c r="E128" s="3">
        <v>13034.67</v>
      </c>
      <c r="F128" s="3">
        <v>0</v>
      </c>
      <c r="G128" s="3">
        <v>97760.01</v>
      </c>
      <c r="H128" s="3">
        <f t="shared" si="1"/>
        <v>708145.71000000008</v>
      </c>
      <c r="I128" s="18"/>
    </row>
    <row r="129" spans="1:9" x14ac:dyDescent="0.2">
      <c r="A129" s="6" t="s">
        <v>103</v>
      </c>
      <c r="B129" s="3">
        <v>236082.74</v>
      </c>
      <c r="C129" s="3">
        <v>2621.33</v>
      </c>
      <c r="D129" s="3">
        <v>0</v>
      </c>
      <c r="E129" s="3">
        <v>0</v>
      </c>
      <c r="F129" s="3">
        <v>0</v>
      </c>
      <c r="G129" s="3">
        <v>34077.269999999997</v>
      </c>
      <c r="H129" s="3">
        <f t="shared" si="1"/>
        <v>272781.33999999997</v>
      </c>
      <c r="I129" s="18"/>
    </row>
    <row r="130" spans="1:9" x14ac:dyDescent="0.2">
      <c r="A130" s="6" t="s">
        <v>33</v>
      </c>
      <c r="B130" s="3">
        <v>108502.5</v>
      </c>
      <c r="C130" s="3">
        <v>13900.96</v>
      </c>
      <c r="D130" s="3">
        <v>0</v>
      </c>
      <c r="E130" s="3">
        <v>0</v>
      </c>
      <c r="F130" s="3">
        <v>0</v>
      </c>
      <c r="G130" s="3">
        <v>5560.39</v>
      </c>
      <c r="H130" s="3">
        <f t="shared" ref="H130:H193" si="2">SUM(B130:G130)</f>
        <v>127963.84999999999</v>
      </c>
      <c r="I130" s="18"/>
    </row>
    <row r="131" spans="1:9" x14ac:dyDescent="0.2">
      <c r="A131" s="6" t="s">
        <v>90</v>
      </c>
      <c r="B131" s="3">
        <v>156330.34</v>
      </c>
      <c r="C131" s="3">
        <v>17535.16</v>
      </c>
      <c r="D131" s="3">
        <v>0</v>
      </c>
      <c r="E131" s="3">
        <v>0</v>
      </c>
      <c r="F131" s="3">
        <v>0</v>
      </c>
      <c r="G131" s="3">
        <v>20723.37</v>
      </c>
      <c r="H131" s="3">
        <f t="shared" si="2"/>
        <v>194588.87</v>
      </c>
      <c r="I131" s="18"/>
    </row>
    <row r="132" spans="1:9" x14ac:dyDescent="0.2">
      <c r="A132" s="6" t="s">
        <v>227</v>
      </c>
      <c r="B132" s="3">
        <v>502524.63</v>
      </c>
      <c r="C132" s="3">
        <v>9626.4</v>
      </c>
      <c r="D132" s="3">
        <v>0</v>
      </c>
      <c r="E132" s="3">
        <v>0</v>
      </c>
      <c r="F132" s="3">
        <v>0</v>
      </c>
      <c r="G132" s="3">
        <v>94659.63</v>
      </c>
      <c r="H132" s="3">
        <f t="shared" si="2"/>
        <v>606810.66</v>
      </c>
      <c r="I132" s="18"/>
    </row>
    <row r="133" spans="1:9" x14ac:dyDescent="0.2">
      <c r="A133" s="6" t="s">
        <v>13</v>
      </c>
      <c r="B133" s="3">
        <v>1269547.27</v>
      </c>
      <c r="C133" s="3">
        <v>226675.36</v>
      </c>
      <c r="D133" s="3">
        <v>0</v>
      </c>
      <c r="E133" s="3">
        <v>0</v>
      </c>
      <c r="F133" s="3">
        <v>1186.78</v>
      </c>
      <c r="G133" s="3">
        <v>141227.04999999999</v>
      </c>
      <c r="H133" s="3">
        <f t="shared" si="2"/>
        <v>1638636.46</v>
      </c>
      <c r="I133" s="18"/>
    </row>
    <row r="134" spans="1:9" x14ac:dyDescent="0.2">
      <c r="A134" s="6" t="s">
        <v>11</v>
      </c>
      <c r="B134" s="3">
        <v>631950.05000000005</v>
      </c>
      <c r="C134" s="3">
        <v>145042.70000000001</v>
      </c>
      <c r="D134" s="3">
        <v>1283.56</v>
      </c>
      <c r="E134" s="3">
        <v>0</v>
      </c>
      <c r="F134" s="3">
        <v>0</v>
      </c>
      <c r="G134" s="3">
        <v>88565.89</v>
      </c>
      <c r="H134" s="3">
        <f t="shared" si="2"/>
        <v>866842.20000000007</v>
      </c>
      <c r="I134" s="18"/>
    </row>
    <row r="135" spans="1:9" x14ac:dyDescent="0.2">
      <c r="A135" s="6" t="s">
        <v>76</v>
      </c>
      <c r="B135" s="3">
        <v>32196.240000000002</v>
      </c>
      <c r="C135" s="3">
        <v>1398.87</v>
      </c>
      <c r="D135" s="3">
        <v>0</v>
      </c>
      <c r="E135" s="3">
        <v>0</v>
      </c>
      <c r="F135" s="3">
        <v>0</v>
      </c>
      <c r="G135" s="3">
        <v>1398.87</v>
      </c>
      <c r="H135" s="3">
        <f t="shared" si="2"/>
        <v>34993.980000000003</v>
      </c>
      <c r="I135" s="18"/>
    </row>
    <row r="136" spans="1:9" x14ac:dyDescent="0.2">
      <c r="A136" s="6" t="s">
        <v>122</v>
      </c>
      <c r="B136" s="3">
        <v>519268.13</v>
      </c>
      <c r="C136" s="3">
        <v>114086.44</v>
      </c>
      <c r="D136" s="3">
        <v>0</v>
      </c>
      <c r="E136" s="3">
        <v>2453.4699999999998</v>
      </c>
      <c r="F136" s="3">
        <v>0</v>
      </c>
      <c r="G136" s="3">
        <v>63790.27</v>
      </c>
      <c r="H136" s="3">
        <f t="shared" si="2"/>
        <v>699598.31</v>
      </c>
      <c r="I136" s="18"/>
    </row>
    <row r="137" spans="1:9" x14ac:dyDescent="0.2">
      <c r="A137" s="6" t="s">
        <v>228</v>
      </c>
      <c r="B137" s="3">
        <v>546714.4</v>
      </c>
      <c r="C137" s="3">
        <v>91985.24</v>
      </c>
      <c r="D137" s="3">
        <v>1393.72</v>
      </c>
      <c r="E137" s="3">
        <v>19512.02</v>
      </c>
      <c r="F137" s="3">
        <v>0</v>
      </c>
      <c r="G137" s="3">
        <v>79441.8</v>
      </c>
      <c r="H137" s="3">
        <f t="shared" si="2"/>
        <v>739047.18</v>
      </c>
      <c r="I137" s="18"/>
    </row>
    <row r="138" spans="1:9" x14ac:dyDescent="0.2">
      <c r="A138" s="6" t="s">
        <v>131</v>
      </c>
      <c r="B138" s="3">
        <v>33406.61</v>
      </c>
      <c r="C138" s="3">
        <v>11475.59</v>
      </c>
      <c r="D138" s="3">
        <v>0</v>
      </c>
      <c r="E138" s="3">
        <v>0</v>
      </c>
      <c r="F138" s="3">
        <v>0</v>
      </c>
      <c r="G138" s="3">
        <v>0</v>
      </c>
      <c r="H138" s="3">
        <f t="shared" si="2"/>
        <v>44882.2</v>
      </c>
      <c r="I138" s="18"/>
    </row>
    <row r="139" spans="1:9" x14ac:dyDescent="0.2">
      <c r="A139" s="6" t="s">
        <v>6</v>
      </c>
      <c r="B139" s="3">
        <v>227882.13</v>
      </c>
      <c r="C139" s="3">
        <v>61310.48</v>
      </c>
      <c r="D139" s="3">
        <v>0</v>
      </c>
      <c r="E139" s="3">
        <v>0</v>
      </c>
      <c r="F139" s="3">
        <v>0</v>
      </c>
      <c r="G139" s="3">
        <v>26275.919999999998</v>
      </c>
      <c r="H139" s="3">
        <f t="shared" si="2"/>
        <v>315468.52999999997</v>
      </c>
      <c r="I139" s="18"/>
    </row>
    <row r="140" spans="1:9" x14ac:dyDescent="0.2">
      <c r="A140" s="6" t="s">
        <v>60</v>
      </c>
      <c r="B140" s="3">
        <v>535044.03</v>
      </c>
      <c r="C140" s="3">
        <v>43425.32</v>
      </c>
      <c r="D140" s="3">
        <v>0</v>
      </c>
      <c r="E140" s="3">
        <v>0</v>
      </c>
      <c r="F140" s="3">
        <v>0</v>
      </c>
      <c r="G140" s="3">
        <v>54281.65</v>
      </c>
      <c r="H140" s="3">
        <f t="shared" si="2"/>
        <v>632751</v>
      </c>
      <c r="I140" s="18"/>
    </row>
    <row r="141" spans="1:9" x14ac:dyDescent="0.2">
      <c r="A141" s="6" t="s">
        <v>137</v>
      </c>
      <c r="B141" s="3">
        <v>66914.490000000005</v>
      </c>
      <c r="C141" s="3">
        <v>1807.25</v>
      </c>
      <c r="D141" s="3">
        <v>0</v>
      </c>
      <c r="E141" s="3">
        <v>0</v>
      </c>
      <c r="F141" s="3">
        <v>0</v>
      </c>
      <c r="G141" s="3">
        <v>12650.75</v>
      </c>
      <c r="H141" s="3">
        <f t="shared" si="2"/>
        <v>81372.490000000005</v>
      </c>
      <c r="I141" s="18"/>
    </row>
    <row r="142" spans="1:9" x14ac:dyDescent="0.2">
      <c r="A142" s="6" t="s">
        <v>53</v>
      </c>
      <c r="B142" s="3">
        <v>0</v>
      </c>
      <c r="C142" s="3">
        <v>0</v>
      </c>
      <c r="D142" s="3">
        <v>0</v>
      </c>
      <c r="E142" s="3">
        <v>0</v>
      </c>
      <c r="F142" s="3">
        <v>0</v>
      </c>
      <c r="G142" s="3">
        <v>0</v>
      </c>
      <c r="H142" s="3">
        <f t="shared" si="2"/>
        <v>0</v>
      </c>
      <c r="I142" s="18"/>
    </row>
    <row r="143" spans="1:9" x14ac:dyDescent="0.2">
      <c r="A143" s="6" t="s">
        <v>229</v>
      </c>
      <c r="B143" s="3">
        <v>40012.31</v>
      </c>
      <c r="C143" s="3">
        <v>2757.56</v>
      </c>
      <c r="D143" s="3">
        <v>0</v>
      </c>
      <c r="E143" s="3">
        <v>0</v>
      </c>
      <c r="F143" s="3">
        <v>0</v>
      </c>
      <c r="G143" s="3">
        <v>1378.78</v>
      </c>
      <c r="H143" s="3">
        <f t="shared" si="2"/>
        <v>44148.649999999994</v>
      </c>
      <c r="I143" s="18"/>
    </row>
    <row r="144" spans="1:9" x14ac:dyDescent="0.2">
      <c r="A144" s="6" t="s">
        <v>67</v>
      </c>
      <c r="B144" s="3">
        <v>6969.85</v>
      </c>
      <c r="C144" s="3">
        <v>0</v>
      </c>
      <c r="D144" s="3">
        <v>0</v>
      </c>
      <c r="E144" s="3">
        <v>0</v>
      </c>
      <c r="F144" s="3">
        <v>0</v>
      </c>
      <c r="G144" s="3">
        <v>0</v>
      </c>
      <c r="H144" s="3">
        <f t="shared" si="2"/>
        <v>6969.85</v>
      </c>
      <c r="I144" s="18"/>
    </row>
    <row r="145" spans="1:9" x14ac:dyDescent="0.2">
      <c r="A145" s="6" t="s">
        <v>80</v>
      </c>
      <c r="B145" s="3">
        <v>209205.37</v>
      </c>
      <c r="C145" s="3">
        <v>5807.24</v>
      </c>
      <c r="D145" s="3">
        <v>0</v>
      </c>
      <c r="E145" s="3">
        <v>0</v>
      </c>
      <c r="F145" s="3">
        <v>0</v>
      </c>
      <c r="G145" s="3">
        <v>17421.73</v>
      </c>
      <c r="H145" s="3">
        <f t="shared" si="2"/>
        <v>232434.34</v>
      </c>
      <c r="I145" s="18"/>
    </row>
    <row r="146" spans="1:9" x14ac:dyDescent="0.2">
      <c r="A146" s="6" t="s">
        <v>78</v>
      </c>
      <c r="B146" s="3">
        <v>2642.81</v>
      </c>
      <c r="C146" s="3">
        <v>880.33</v>
      </c>
      <c r="D146" s="3">
        <v>0</v>
      </c>
      <c r="E146" s="3">
        <v>0</v>
      </c>
      <c r="F146" s="3">
        <v>0</v>
      </c>
      <c r="G146" s="3">
        <v>0</v>
      </c>
      <c r="H146" s="3">
        <f t="shared" si="2"/>
        <v>3523.14</v>
      </c>
      <c r="I146" s="18"/>
    </row>
    <row r="147" spans="1:9" x14ac:dyDescent="0.2">
      <c r="A147" s="6" t="s">
        <v>230</v>
      </c>
      <c r="B147" s="3">
        <v>65133.25</v>
      </c>
      <c r="C147" s="3">
        <v>0</v>
      </c>
      <c r="D147" s="3">
        <v>0</v>
      </c>
      <c r="E147" s="3">
        <v>0</v>
      </c>
      <c r="F147" s="3">
        <v>0</v>
      </c>
      <c r="G147" s="3">
        <v>13017.65</v>
      </c>
      <c r="H147" s="3">
        <f t="shared" si="2"/>
        <v>78150.899999999994</v>
      </c>
      <c r="I147" s="18"/>
    </row>
    <row r="148" spans="1:9" x14ac:dyDescent="0.2">
      <c r="A148" s="6" t="s">
        <v>121</v>
      </c>
      <c r="B148" s="3">
        <v>8020745.5199999996</v>
      </c>
      <c r="C148" s="3">
        <v>1486881.79</v>
      </c>
      <c r="D148" s="3">
        <v>8724.3700000000008</v>
      </c>
      <c r="E148" s="3">
        <v>48607.199999999997</v>
      </c>
      <c r="F148" s="3">
        <v>4985.3600000000006</v>
      </c>
      <c r="G148" s="3">
        <v>1070604.74</v>
      </c>
      <c r="H148" s="3">
        <f t="shared" si="2"/>
        <v>10640548.979999997</v>
      </c>
      <c r="I148" s="18">
        <v>1</v>
      </c>
    </row>
    <row r="149" spans="1:9" x14ac:dyDescent="0.2">
      <c r="A149" s="6" t="s">
        <v>27</v>
      </c>
      <c r="B149" s="3">
        <v>25298.959999999999</v>
      </c>
      <c r="C149" s="3">
        <v>1264.07</v>
      </c>
      <c r="D149" s="3">
        <v>0</v>
      </c>
      <c r="E149" s="3">
        <v>0</v>
      </c>
      <c r="F149" s="3">
        <v>0</v>
      </c>
      <c r="G149" s="3">
        <v>1264.07</v>
      </c>
      <c r="H149" s="3">
        <f t="shared" si="2"/>
        <v>27827.1</v>
      </c>
      <c r="I149" s="18"/>
    </row>
    <row r="150" spans="1:9" x14ac:dyDescent="0.2">
      <c r="A150" s="6" t="s">
        <v>47</v>
      </c>
      <c r="B150" s="3">
        <v>33507.449999999997</v>
      </c>
      <c r="C150" s="3">
        <v>0</v>
      </c>
      <c r="D150" s="3">
        <v>0</v>
      </c>
      <c r="E150" s="3">
        <v>0</v>
      </c>
      <c r="F150" s="3">
        <v>0</v>
      </c>
      <c r="G150" s="3">
        <v>2391.7399999999998</v>
      </c>
      <c r="H150" s="3">
        <f t="shared" si="2"/>
        <v>35899.189999999995</v>
      </c>
      <c r="I150" s="18"/>
    </row>
    <row r="151" spans="1:9" x14ac:dyDescent="0.2">
      <c r="A151" s="6" t="s">
        <v>65</v>
      </c>
      <c r="B151" s="3">
        <v>38489.61</v>
      </c>
      <c r="C151" s="3">
        <v>0</v>
      </c>
      <c r="D151" s="3">
        <v>0</v>
      </c>
      <c r="E151" s="3">
        <v>0</v>
      </c>
      <c r="F151" s="3">
        <v>0</v>
      </c>
      <c r="G151" s="3">
        <v>0</v>
      </c>
      <c r="H151" s="3">
        <f t="shared" si="2"/>
        <v>38489.61</v>
      </c>
      <c r="I151" s="18"/>
    </row>
    <row r="152" spans="1:9" x14ac:dyDescent="0.2">
      <c r="A152" s="6" t="s">
        <v>21</v>
      </c>
      <c r="B152" s="3">
        <v>193277.17</v>
      </c>
      <c r="C152" s="3">
        <v>3762.54</v>
      </c>
      <c r="D152" s="3">
        <v>0</v>
      </c>
      <c r="E152" s="3">
        <v>0</v>
      </c>
      <c r="F152" s="3">
        <v>0</v>
      </c>
      <c r="G152" s="3">
        <v>26337.759999999998</v>
      </c>
      <c r="H152" s="3">
        <f t="shared" si="2"/>
        <v>223377.47000000003</v>
      </c>
      <c r="I152" s="18"/>
    </row>
    <row r="153" spans="1:9" x14ac:dyDescent="0.2">
      <c r="A153" s="6" t="s">
        <v>31</v>
      </c>
      <c r="B153" s="3">
        <v>1038941.56</v>
      </c>
      <c r="C153" s="3">
        <v>170735.68</v>
      </c>
      <c r="D153" s="3">
        <v>1255.4100000000001</v>
      </c>
      <c r="E153" s="3">
        <v>5021.6400000000003</v>
      </c>
      <c r="F153" s="3">
        <v>0</v>
      </c>
      <c r="G153" s="3">
        <v>130562.58</v>
      </c>
      <c r="H153" s="3">
        <f t="shared" si="2"/>
        <v>1346516.8699999999</v>
      </c>
      <c r="I153" s="18"/>
    </row>
    <row r="154" spans="1:9" x14ac:dyDescent="0.2">
      <c r="A154" s="6" t="s">
        <v>41</v>
      </c>
      <c r="B154" s="3">
        <v>133481.87</v>
      </c>
      <c r="C154" s="3">
        <v>19810.34</v>
      </c>
      <c r="D154" s="3">
        <v>0</v>
      </c>
      <c r="E154" s="3">
        <v>0</v>
      </c>
      <c r="F154" s="3">
        <v>0</v>
      </c>
      <c r="G154" s="3">
        <v>18489.650000000001</v>
      </c>
      <c r="H154" s="3">
        <f t="shared" si="2"/>
        <v>171781.86</v>
      </c>
      <c r="I154" s="18"/>
    </row>
    <row r="155" spans="1:9" x14ac:dyDescent="0.2">
      <c r="A155" s="6" t="s">
        <v>123</v>
      </c>
      <c r="B155" s="3">
        <v>1617963.42</v>
      </c>
      <c r="C155" s="3">
        <v>333878.01</v>
      </c>
      <c r="D155" s="3">
        <v>0</v>
      </c>
      <c r="E155" s="3">
        <v>5473.41</v>
      </c>
      <c r="F155" s="3">
        <v>0</v>
      </c>
      <c r="G155" s="3">
        <v>228788.54</v>
      </c>
      <c r="H155" s="3">
        <f t="shared" si="2"/>
        <v>2186103.38</v>
      </c>
      <c r="I155" s="18"/>
    </row>
    <row r="156" spans="1:9" x14ac:dyDescent="0.2">
      <c r="A156" s="6" t="s">
        <v>39</v>
      </c>
      <c r="B156" s="3">
        <v>66609.16</v>
      </c>
      <c r="C156" s="3">
        <v>15661.91</v>
      </c>
      <c r="D156" s="3">
        <v>0</v>
      </c>
      <c r="E156" s="3">
        <v>0</v>
      </c>
      <c r="F156" s="3">
        <v>0</v>
      </c>
      <c r="G156" s="3">
        <v>7830.96</v>
      </c>
      <c r="H156" s="3">
        <f t="shared" si="2"/>
        <v>90102.030000000013</v>
      </c>
      <c r="I156" s="18"/>
    </row>
    <row r="157" spans="1:9" x14ac:dyDescent="0.2">
      <c r="A157" s="6" t="s">
        <v>128</v>
      </c>
      <c r="B157" s="3">
        <v>86445.06</v>
      </c>
      <c r="C157" s="3">
        <v>0</v>
      </c>
      <c r="D157" s="3">
        <v>0</v>
      </c>
      <c r="E157" s="3">
        <v>0</v>
      </c>
      <c r="F157" s="3">
        <v>0</v>
      </c>
      <c r="G157" s="3">
        <v>1629.91</v>
      </c>
      <c r="H157" s="3">
        <f t="shared" si="2"/>
        <v>88074.97</v>
      </c>
      <c r="I157" s="18"/>
    </row>
    <row r="158" spans="1:9" x14ac:dyDescent="0.2">
      <c r="A158" s="6" t="s">
        <v>64</v>
      </c>
      <c r="B158" s="3">
        <v>181099.18</v>
      </c>
      <c r="C158" s="3">
        <v>29780.54</v>
      </c>
      <c r="D158" s="3">
        <v>0</v>
      </c>
      <c r="E158" s="3">
        <v>0</v>
      </c>
      <c r="F158" s="3">
        <v>0</v>
      </c>
      <c r="G158" s="3">
        <v>17181.080000000002</v>
      </c>
      <c r="H158" s="3">
        <f t="shared" si="2"/>
        <v>228060.79999999999</v>
      </c>
      <c r="I158" s="18"/>
    </row>
    <row r="159" spans="1:9" x14ac:dyDescent="0.2">
      <c r="A159" s="6" t="s">
        <v>115</v>
      </c>
      <c r="B159" s="3">
        <v>7342417.6100000003</v>
      </c>
      <c r="C159" s="3">
        <v>224783.73</v>
      </c>
      <c r="D159" s="3">
        <v>36904.79</v>
      </c>
      <c r="E159" s="3">
        <v>3354.98</v>
      </c>
      <c r="F159" s="3">
        <v>3354.98</v>
      </c>
      <c r="G159" s="3">
        <v>602778.26</v>
      </c>
      <c r="H159" s="3">
        <f t="shared" si="2"/>
        <v>8213594.3500000015</v>
      </c>
      <c r="I159" s="18"/>
    </row>
    <row r="160" spans="1:9" x14ac:dyDescent="0.2">
      <c r="A160" s="6" t="s">
        <v>99</v>
      </c>
      <c r="B160" s="3">
        <v>556587.32999999996</v>
      </c>
      <c r="C160" s="3">
        <v>86993.43</v>
      </c>
      <c r="D160" s="3">
        <v>0</v>
      </c>
      <c r="E160" s="3">
        <v>0</v>
      </c>
      <c r="F160" s="3">
        <v>0</v>
      </c>
      <c r="G160" s="3">
        <v>0</v>
      </c>
      <c r="H160" s="3">
        <f t="shared" si="2"/>
        <v>643580.76</v>
      </c>
      <c r="I160" s="18"/>
    </row>
    <row r="161" spans="1:9" x14ac:dyDescent="0.2">
      <c r="A161" s="6" t="s">
        <v>19</v>
      </c>
      <c r="B161" s="3">
        <v>339115.61</v>
      </c>
      <c r="C161" s="3">
        <v>58263.8</v>
      </c>
      <c r="D161" s="3">
        <v>2378.11</v>
      </c>
      <c r="E161" s="3">
        <v>0</v>
      </c>
      <c r="F161" s="3">
        <v>0</v>
      </c>
      <c r="G161" s="3">
        <v>40427.94</v>
      </c>
      <c r="H161" s="3">
        <f t="shared" si="2"/>
        <v>440185.45999999996</v>
      </c>
      <c r="I161" s="18"/>
    </row>
    <row r="162" spans="1:9" x14ac:dyDescent="0.2">
      <c r="A162" s="6" t="s">
        <v>98</v>
      </c>
      <c r="B162" s="3">
        <v>125666.74</v>
      </c>
      <c r="C162" s="3">
        <v>19434.98</v>
      </c>
      <c r="D162" s="3">
        <v>0</v>
      </c>
      <c r="E162" s="3">
        <v>0</v>
      </c>
      <c r="F162" s="3">
        <v>0</v>
      </c>
      <c r="G162" s="3">
        <v>1495</v>
      </c>
      <c r="H162" s="3">
        <f t="shared" si="2"/>
        <v>146596.72</v>
      </c>
      <c r="I162" s="18"/>
    </row>
    <row r="163" spans="1:9" x14ac:dyDescent="0.2">
      <c r="A163" s="6" t="s">
        <v>18</v>
      </c>
      <c r="B163" s="3">
        <v>271434.96000000002</v>
      </c>
      <c r="C163" s="3">
        <v>24552.560000000001</v>
      </c>
      <c r="D163" s="3">
        <v>0</v>
      </c>
      <c r="E163" s="3">
        <v>0</v>
      </c>
      <c r="F163" s="3">
        <v>0</v>
      </c>
      <c r="G163" s="3">
        <v>44428.45</v>
      </c>
      <c r="H163" s="3">
        <f t="shared" si="2"/>
        <v>340415.97000000003</v>
      </c>
      <c r="I163" s="18"/>
    </row>
    <row r="164" spans="1:9" x14ac:dyDescent="0.2">
      <c r="A164" s="6" t="s">
        <v>166</v>
      </c>
      <c r="B164" s="3">
        <v>141186.76</v>
      </c>
      <c r="C164" s="3">
        <v>33802.620000000003</v>
      </c>
      <c r="D164" s="3">
        <v>0</v>
      </c>
      <c r="E164" s="3">
        <v>0</v>
      </c>
      <c r="F164" s="3">
        <v>0</v>
      </c>
      <c r="G164" s="3">
        <v>24984.54</v>
      </c>
      <c r="H164" s="3">
        <f t="shared" si="2"/>
        <v>199973.92</v>
      </c>
      <c r="I164" s="18"/>
    </row>
    <row r="165" spans="1:9" x14ac:dyDescent="0.2">
      <c r="A165" s="6" t="s">
        <v>231</v>
      </c>
      <c r="B165" s="3">
        <v>38753.61</v>
      </c>
      <c r="C165" s="3">
        <v>12908.94</v>
      </c>
      <c r="D165" s="3">
        <v>0</v>
      </c>
      <c r="E165" s="3">
        <v>0</v>
      </c>
      <c r="F165" s="3">
        <v>0</v>
      </c>
      <c r="G165" s="3">
        <v>10327.16</v>
      </c>
      <c r="H165" s="3">
        <f t="shared" si="2"/>
        <v>61989.710000000006</v>
      </c>
      <c r="I165" s="18"/>
    </row>
    <row r="166" spans="1:9" x14ac:dyDescent="0.2">
      <c r="A166" s="6" t="s">
        <v>156</v>
      </c>
      <c r="B166" s="3">
        <v>657443.38</v>
      </c>
      <c r="C166" s="3">
        <v>107103.58</v>
      </c>
      <c r="D166" s="3">
        <v>0</v>
      </c>
      <c r="E166" s="3">
        <v>0</v>
      </c>
      <c r="F166" s="3">
        <v>0</v>
      </c>
      <c r="G166" s="3">
        <v>67919.34</v>
      </c>
      <c r="H166" s="3">
        <f t="shared" si="2"/>
        <v>832466.29999999993</v>
      </c>
      <c r="I166" s="18"/>
    </row>
    <row r="167" spans="1:9" x14ac:dyDescent="0.2">
      <c r="A167" s="6" t="s">
        <v>111</v>
      </c>
      <c r="B167" s="3">
        <v>584099.81000000006</v>
      </c>
      <c r="C167" s="3">
        <v>89500.08</v>
      </c>
      <c r="D167" s="3">
        <v>0</v>
      </c>
      <c r="E167" s="3">
        <v>0</v>
      </c>
      <c r="F167" s="3">
        <v>0</v>
      </c>
      <c r="G167" s="3">
        <v>27239.15</v>
      </c>
      <c r="H167" s="3">
        <f t="shared" si="2"/>
        <v>700839.04</v>
      </c>
      <c r="I167" s="18"/>
    </row>
    <row r="168" spans="1:9" x14ac:dyDescent="0.2">
      <c r="A168" s="6" t="s">
        <v>32</v>
      </c>
      <c r="B168" s="3">
        <v>168721.02</v>
      </c>
      <c r="C168" s="3">
        <v>18182.830000000002</v>
      </c>
      <c r="D168" s="3">
        <v>0</v>
      </c>
      <c r="E168" s="3">
        <v>0</v>
      </c>
      <c r="F168" s="3">
        <v>0</v>
      </c>
      <c r="G168" s="3">
        <v>14876.86</v>
      </c>
      <c r="H168" s="3">
        <f t="shared" si="2"/>
        <v>201780.70999999996</v>
      </c>
      <c r="I168" s="18"/>
    </row>
    <row r="169" spans="1:9" x14ac:dyDescent="0.2">
      <c r="A169" s="6" t="s">
        <v>93</v>
      </c>
      <c r="B169" s="3">
        <v>276289.93</v>
      </c>
      <c r="C169" s="3">
        <v>0</v>
      </c>
      <c r="D169" s="3">
        <v>0</v>
      </c>
      <c r="E169" s="3">
        <v>0</v>
      </c>
      <c r="F169" s="3">
        <v>0</v>
      </c>
      <c r="G169" s="3">
        <v>37460.67</v>
      </c>
      <c r="H169" s="3">
        <f t="shared" si="2"/>
        <v>313750.59999999998</v>
      </c>
      <c r="I169" s="18"/>
    </row>
    <row r="170" spans="1:9" x14ac:dyDescent="0.2">
      <c r="A170" s="6" t="s">
        <v>59</v>
      </c>
      <c r="B170" s="3">
        <v>0</v>
      </c>
      <c r="C170" s="3">
        <v>0</v>
      </c>
      <c r="D170" s="3">
        <v>0</v>
      </c>
      <c r="E170" s="3">
        <v>0</v>
      </c>
      <c r="F170" s="3">
        <v>0</v>
      </c>
      <c r="G170" s="3">
        <v>0</v>
      </c>
      <c r="H170" s="3">
        <f t="shared" si="2"/>
        <v>0</v>
      </c>
      <c r="I170" s="18"/>
    </row>
    <row r="171" spans="1:9" x14ac:dyDescent="0.2">
      <c r="A171" s="6" t="s">
        <v>232</v>
      </c>
      <c r="B171" s="3">
        <v>556255.53</v>
      </c>
      <c r="C171" s="3">
        <v>4455.88</v>
      </c>
      <c r="D171" s="3">
        <v>0</v>
      </c>
      <c r="E171" s="3">
        <v>0</v>
      </c>
      <c r="F171" s="3">
        <v>0</v>
      </c>
      <c r="G171" s="3">
        <v>81319.820000000007</v>
      </c>
      <c r="H171" s="3">
        <f t="shared" si="2"/>
        <v>642031.23</v>
      </c>
      <c r="I171" s="18"/>
    </row>
    <row r="172" spans="1:9" x14ac:dyDescent="0.2">
      <c r="A172" s="6" t="s">
        <v>35</v>
      </c>
      <c r="B172" s="3">
        <v>320511.53999999998</v>
      </c>
      <c r="C172" s="3">
        <v>26904.36</v>
      </c>
      <c r="D172" s="3">
        <v>0</v>
      </c>
      <c r="E172" s="3">
        <v>0</v>
      </c>
      <c r="F172" s="3">
        <v>0</v>
      </c>
      <c r="G172" s="3">
        <v>39715.97</v>
      </c>
      <c r="H172" s="3">
        <f t="shared" si="2"/>
        <v>387131.87</v>
      </c>
      <c r="I172" s="18"/>
    </row>
    <row r="173" spans="1:9" x14ac:dyDescent="0.2">
      <c r="A173" s="6" t="s">
        <v>233</v>
      </c>
      <c r="B173" s="3">
        <v>62302.97</v>
      </c>
      <c r="C173" s="3">
        <v>0</v>
      </c>
      <c r="D173" s="3">
        <v>0</v>
      </c>
      <c r="E173" s="3">
        <v>0</v>
      </c>
      <c r="F173" s="3">
        <v>0</v>
      </c>
      <c r="G173" s="3">
        <v>1945.62</v>
      </c>
      <c r="H173" s="3">
        <f t="shared" si="2"/>
        <v>64248.590000000004</v>
      </c>
      <c r="I173" s="18"/>
    </row>
    <row r="174" spans="1:9" x14ac:dyDescent="0.2">
      <c r="A174" s="6" t="s">
        <v>158</v>
      </c>
      <c r="B174" s="3">
        <v>8914.07</v>
      </c>
      <c r="C174" s="3">
        <v>2226.98</v>
      </c>
      <c r="D174" s="3">
        <v>0</v>
      </c>
      <c r="E174" s="3">
        <v>0</v>
      </c>
      <c r="F174" s="3">
        <v>0</v>
      </c>
      <c r="G174" s="3">
        <v>0</v>
      </c>
      <c r="H174" s="3">
        <f t="shared" si="2"/>
        <v>11141.05</v>
      </c>
      <c r="I174" s="18"/>
    </row>
    <row r="175" spans="1:9" x14ac:dyDescent="0.2">
      <c r="A175" s="6" t="s">
        <v>82</v>
      </c>
      <c r="B175" s="3">
        <v>1940055.9</v>
      </c>
      <c r="C175" s="3">
        <v>38401.919999999998</v>
      </c>
      <c r="D175" s="3">
        <v>8145.86</v>
      </c>
      <c r="E175" s="3">
        <v>45384.09</v>
      </c>
      <c r="F175" s="3">
        <v>0</v>
      </c>
      <c r="G175" s="3">
        <v>386346.61</v>
      </c>
      <c r="H175" s="3">
        <f t="shared" si="2"/>
        <v>2418334.38</v>
      </c>
      <c r="I175" s="18"/>
    </row>
    <row r="176" spans="1:9" x14ac:dyDescent="0.2">
      <c r="A176" s="6" t="s">
        <v>23</v>
      </c>
      <c r="B176" s="3">
        <v>482742.44</v>
      </c>
      <c r="C176" s="3">
        <v>78502.22</v>
      </c>
      <c r="D176" s="3">
        <v>1266.1600000000001</v>
      </c>
      <c r="E176" s="3">
        <v>0</v>
      </c>
      <c r="F176" s="3">
        <v>0</v>
      </c>
      <c r="G176" s="3">
        <v>94962.37</v>
      </c>
      <c r="H176" s="3">
        <f t="shared" si="2"/>
        <v>657473.19000000006</v>
      </c>
      <c r="I176" s="18"/>
    </row>
    <row r="177" spans="1:9" x14ac:dyDescent="0.2">
      <c r="A177" s="6" t="s">
        <v>117</v>
      </c>
      <c r="B177" s="3">
        <v>38745.26</v>
      </c>
      <c r="C177" s="3">
        <v>4555.12</v>
      </c>
      <c r="D177" s="3">
        <v>0</v>
      </c>
      <c r="E177" s="3">
        <v>0</v>
      </c>
      <c r="F177" s="3">
        <v>0</v>
      </c>
      <c r="G177" s="3">
        <v>9110.23</v>
      </c>
      <c r="H177" s="3">
        <f t="shared" si="2"/>
        <v>52410.61</v>
      </c>
      <c r="I177" s="18"/>
    </row>
    <row r="178" spans="1:9" x14ac:dyDescent="0.2">
      <c r="A178" s="6" t="s">
        <v>139</v>
      </c>
      <c r="B178" s="3">
        <v>82818.03</v>
      </c>
      <c r="C178" s="3">
        <v>10509.31</v>
      </c>
      <c r="D178" s="3">
        <v>0</v>
      </c>
      <c r="E178" s="3">
        <v>0</v>
      </c>
      <c r="F178" s="3">
        <v>0</v>
      </c>
      <c r="G178" s="3">
        <v>9195.64</v>
      </c>
      <c r="H178" s="3">
        <f t="shared" si="2"/>
        <v>102522.98</v>
      </c>
      <c r="I178" s="18"/>
    </row>
    <row r="179" spans="1:9" x14ac:dyDescent="0.2">
      <c r="A179" s="6" t="s">
        <v>55</v>
      </c>
      <c r="B179" s="3">
        <v>0</v>
      </c>
      <c r="C179" s="3">
        <v>0</v>
      </c>
      <c r="D179" s="3">
        <v>0</v>
      </c>
      <c r="E179" s="3">
        <v>0</v>
      </c>
      <c r="F179" s="3">
        <v>0</v>
      </c>
      <c r="G179" s="3">
        <v>0</v>
      </c>
      <c r="H179" s="3">
        <f t="shared" si="2"/>
        <v>0</v>
      </c>
      <c r="I179" s="18"/>
    </row>
    <row r="180" spans="1:9" x14ac:dyDescent="0.2">
      <c r="A180" s="6" t="s">
        <v>43</v>
      </c>
      <c r="B180" s="3">
        <v>219017.66</v>
      </c>
      <c r="C180" s="3">
        <v>23762.63</v>
      </c>
      <c r="D180" s="3">
        <v>2501.33</v>
      </c>
      <c r="E180" s="3">
        <v>16258.64</v>
      </c>
      <c r="F180" s="3">
        <v>0</v>
      </c>
      <c r="G180" s="3">
        <v>23762.63</v>
      </c>
      <c r="H180" s="3">
        <f t="shared" si="2"/>
        <v>285302.89</v>
      </c>
      <c r="I180" s="18"/>
    </row>
    <row r="181" spans="1:9" x14ac:dyDescent="0.2">
      <c r="A181" s="6" t="s">
        <v>97</v>
      </c>
      <c r="B181" s="3">
        <v>437824.03</v>
      </c>
      <c r="C181" s="3">
        <v>70419.02</v>
      </c>
      <c r="D181" s="3">
        <v>0</v>
      </c>
      <c r="E181" s="3">
        <v>0</v>
      </c>
      <c r="F181" s="3">
        <v>0</v>
      </c>
      <c r="G181" s="3">
        <v>36941.129999999997</v>
      </c>
      <c r="H181" s="3">
        <f t="shared" si="2"/>
        <v>545184.18000000005</v>
      </c>
      <c r="I181" s="18"/>
    </row>
    <row r="182" spans="1:9" x14ac:dyDescent="0.2">
      <c r="A182" s="6" t="s">
        <v>234</v>
      </c>
      <c r="B182" s="3">
        <v>844491.18</v>
      </c>
      <c r="C182" s="3">
        <v>204200.34</v>
      </c>
      <c r="D182" s="3">
        <v>1807.08</v>
      </c>
      <c r="E182" s="3">
        <v>0</v>
      </c>
      <c r="F182" s="3">
        <v>0</v>
      </c>
      <c r="G182" s="3">
        <v>128302.87</v>
      </c>
      <c r="H182" s="3">
        <f t="shared" si="2"/>
        <v>1178801.4700000002</v>
      </c>
      <c r="I182" s="18"/>
    </row>
    <row r="183" spans="1:9" x14ac:dyDescent="0.2">
      <c r="A183" s="6" t="s">
        <v>154</v>
      </c>
      <c r="B183" s="3">
        <v>1709513.71</v>
      </c>
      <c r="C183" s="3">
        <v>409335.15</v>
      </c>
      <c r="D183" s="3">
        <v>4531.38</v>
      </c>
      <c r="E183" s="3">
        <v>13594.16</v>
      </c>
      <c r="F183" s="3">
        <v>0</v>
      </c>
      <c r="G183" s="3">
        <v>294540.06</v>
      </c>
      <c r="H183" s="3">
        <f t="shared" si="2"/>
        <v>2431514.46</v>
      </c>
      <c r="I183" s="18"/>
    </row>
    <row r="184" spans="1:9" x14ac:dyDescent="0.2">
      <c r="A184" s="6" t="s">
        <v>133</v>
      </c>
      <c r="B184" s="3">
        <v>371969.19</v>
      </c>
      <c r="C184" s="3">
        <v>83935</v>
      </c>
      <c r="D184" s="3">
        <v>0</v>
      </c>
      <c r="E184" s="3">
        <v>0</v>
      </c>
      <c r="F184" s="3">
        <v>0</v>
      </c>
      <c r="G184" s="3">
        <v>51959.76</v>
      </c>
      <c r="H184" s="3">
        <f t="shared" si="2"/>
        <v>507863.95</v>
      </c>
      <c r="I184" s="18"/>
    </row>
    <row r="185" spans="1:9" x14ac:dyDescent="0.2">
      <c r="A185" s="6" t="s">
        <v>149</v>
      </c>
      <c r="B185" s="3">
        <v>2301.09</v>
      </c>
      <c r="C185" s="3">
        <v>0</v>
      </c>
      <c r="D185" s="3">
        <v>0</v>
      </c>
      <c r="E185" s="3">
        <v>0</v>
      </c>
      <c r="F185" s="3">
        <v>0</v>
      </c>
      <c r="G185" s="3">
        <v>0</v>
      </c>
      <c r="H185" s="3">
        <f t="shared" si="2"/>
        <v>2301.09</v>
      </c>
      <c r="I185" s="18"/>
    </row>
    <row r="186" spans="1:9" x14ac:dyDescent="0.2">
      <c r="A186" s="6" t="s">
        <v>235</v>
      </c>
      <c r="B186" s="3">
        <v>7498.7</v>
      </c>
      <c r="C186" s="3">
        <v>0</v>
      </c>
      <c r="D186" s="3">
        <v>0</v>
      </c>
      <c r="E186" s="3">
        <v>0</v>
      </c>
      <c r="F186" s="3">
        <v>0</v>
      </c>
      <c r="G186" s="3">
        <v>0</v>
      </c>
      <c r="H186" s="3">
        <f t="shared" si="2"/>
        <v>7498.7</v>
      </c>
      <c r="I186" s="18"/>
    </row>
    <row r="187" spans="1:9" x14ac:dyDescent="0.2">
      <c r="A187" s="6" t="s">
        <v>236</v>
      </c>
      <c r="B187" s="3">
        <v>179647.63</v>
      </c>
      <c r="C187" s="3">
        <v>39168.76</v>
      </c>
      <c r="D187" s="3">
        <v>0</v>
      </c>
      <c r="E187" s="3">
        <v>0</v>
      </c>
      <c r="F187" s="3">
        <v>0</v>
      </c>
      <c r="G187" s="3">
        <v>45696.89</v>
      </c>
      <c r="H187" s="3">
        <f t="shared" si="2"/>
        <v>264513.28000000003</v>
      </c>
      <c r="I187" s="18"/>
    </row>
    <row r="188" spans="1:9" x14ac:dyDescent="0.2">
      <c r="A188" s="6" t="s">
        <v>141</v>
      </c>
      <c r="B188" s="3">
        <v>62143.78</v>
      </c>
      <c r="C188" s="3">
        <v>5175.07</v>
      </c>
      <c r="D188" s="3">
        <v>0</v>
      </c>
      <c r="E188" s="3">
        <v>0</v>
      </c>
      <c r="F188" s="3">
        <v>0</v>
      </c>
      <c r="G188" s="3">
        <v>8625.1200000000008</v>
      </c>
      <c r="H188" s="3">
        <f t="shared" si="2"/>
        <v>75943.97</v>
      </c>
      <c r="I188" s="18"/>
    </row>
    <row r="189" spans="1:9" x14ac:dyDescent="0.2">
      <c r="A189" s="6" t="s">
        <v>109</v>
      </c>
      <c r="B189" s="3">
        <v>180998.99</v>
      </c>
      <c r="C189" s="3">
        <v>4375.9799999999996</v>
      </c>
      <c r="D189" s="3">
        <v>0</v>
      </c>
      <c r="E189" s="3">
        <v>0</v>
      </c>
      <c r="F189" s="3">
        <v>0</v>
      </c>
      <c r="G189" s="3">
        <v>17503.93</v>
      </c>
      <c r="H189" s="3">
        <f t="shared" si="2"/>
        <v>202878.9</v>
      </c>
      <c r="I189" s="18"/>
    </row>
    <row r="190" spans="1:9" x14ac:dyDescent="0.2">
      <c r="A190" s="6" t="s">
        <v>22</v>
      </c>
      <c r="B190" s="3">
        <v>103291.02</v>
      </c>
      <c r="C190" s="3">
        <v>16056.39</v>
      </c>
      <c r="D190" s="3">
        <v>0</v>
      </c>
      <c r="E190" s="3">
        <v>0</v>
      </c>
      <c r="F190" s="3">
        <v>0</v>
      </c>
      <c r="G190" s="3">
        <v>12615.73</v>
      </c>
      <c r="H190" s="3">
        <f t="shared" si="2"/>
        <v>131963.14000000001</v>
      </c>
      <c r="I190" s="18"/>
    </row>
    <row r="191" spans="1:9" x14ac:dyDescent="0.2">
      <c r="A191" s="6" t="s">
        <v>147</v>
      </c>
      <c r="B191" s="3">
        <v>60052.4</v>
      </c>
      <c r="C191" s="3">
        <v>0</v>
      </c>
      <c r="D191" s="3">
        <v>0</v>
      </c>
      <c r="E191" s="3">
        <v>0</v>
      </c>
      <c r="F191" s="3">
        <v>0</v>
      </c>
      <c r="G191" s="3">
        <v>0</v>
      </c>
      <c r="H191" s="3">
        <f t="shared" si="2"/>
        <v>60052.4</v>
      </c>
      <c r="I191" s="18"/>
    </row>
    <row r="192" spans="1:9" x14ac:dyDescent="0.2">
      <c r="A192" s="6" t="s">
        <v>237</v>
      </c>
      <c r="B192" s="3">
        <v>149165.66</v>
      </c>
      <c r="C192" s="3">
        <v>33510.19</v>
      </c>
      <c r="D192" s="3">
        <v>0</v>
      </c>
      <c r="E192" s="3">
        <v>0</v>
      </c>
      <c r="F192" s="3">
        <v>0</v>
      </c>
      <c r="G192" s="3">
        <v>31199.14</v>
      </c>
      <c r="H192" s="3">
        <f t="shared" si="2"/>
        <v>213874.99</v>
      </c>
      <c r="I192" s="18"/>
    </row>
    <row r="193" spans="1:9" x14ac:dyDescent="0.2">
      <c r="A193" s="6" t="s">
        <v>238</v>
      </c>
      <c r="B193" s="3">
        <v>1310642.72</v>
      </c>
      <c r="C193" s="3">
        <v>261114.05</v>
      </c>
      <c r="D193" s="3">
        <v>0</v>
      </c>
      <c r="E193" s="3">
        <v>0</v>
      </c>
      <c r="F193" s="3">
        <v>0</v>
      </c>
      <c r="G193" s="3">
        <v>120834.69</v>
      </c>
      <c r="H193" s="3">
        <f t="shared" si="2"/>
        <v>1692591.46</v>
      </c>
      <c r="I193" s="18"/>
    </row>
    <row r="194" spans="1:9" x14ac:dyDescent="0.2">
      <c r="A194" s="6" t="s">
        <v>164</v>
      </c>
      <c r="B194" s="3">
        <v>179212.16</v>
      </c>
      <c r="C194" s="3">
        <v>21873.38</v>
      </c>
      <c r="D194" s="3">
        <v>0</v>
      </c>
      <c r="E194" s="3">
        <v>0</v>
      </c>
      <c r="F194" s="3">
        <v>0</v>
      </c>
      <c r="G194" s="3">
        <v>30075.9</v>
      </c>
      <c r="H194" s="3">
        <f t="shared" ref="H194:H202" si="3">SUM(B194:G194)</f>
        <v>231161.44</v>
      </c>
      <c r="I194" s="18"/>
    </row>
    <row r="195" spans="1:9" x14ac:dyDescent="0.2">
      <c r="A195" s="6" t="s">
        <v>42</v>
      </c>
      <c r="B195" s="3">
        <v>259416.33</v>
      </c>
      <c r="C195" s="3">
        <v>20147.96</v>
      </c>
      <c r="D195" s="3">
        <v>0</v>
      </c>
      <c r="E195" s="3">
        <v>0</v>
      </c>
      <c r="F195" s="3">
        <v>0</v>
      </c>
      <c r="G195" s="3">
        <v>52384.69</v>
      </c>
      <c r="H195" s="3">
        <f t="shared" si="3"/>
        <v>331948.98</v>
      </c>
      <c r="I195" s="18"/>
    </row>
    <row r="196" spans="1:9" x14ac:dyDescent="0.2">
      <c r="A196" s="6" t="s">
        <v>119</v>
      </c>
      <c r="B196" s="3">
        <v>852141.38</v>
      </c>
      <c r="C196" s="3">
        <v>124231.8</v>
      </c>
      <c r="D196" s="3">
        <v>3388.14</v>
      </c>
      <c r="E196" s="3">
        <v>0</v>
      </c>
      <c r="F196" s="3">
        <v>0</v>
      </c>
      <c r="G196" s="3">
        <v>67762.8</v>
      </c>
      <c r="H196" s="3">
        <f t="shared" si="3"/>
        <v>1047524.1200000001</v>
      </c>
      <c r="I196" s="18"/>
    </row>
    <row r="197" spans="1:9" x14ac:dyDescent="0.2">
      <c r="A197" s="6" t="s">
        <v>239</v>
      </c>
      <c r="B197" s="3">
        <v>184682.84</v>
      </c>
      <c r="C197" s="3">
        <v>32468.05</v>
      </c>
      <c r="D197" s="3">
        <v>0</v>
      </c>
      <c r="E197" s="3">
        <v>0</v>
      </c>
      <c r="F197" s="3">
        <v>0</v>
      </c>
      <c r="G197" s="3">
        <v>13670.76</v>
      </c>
      <c r="H197" s="3">
        <f t="shared" si="3"/>
        <v>230821.65</v>
      </c>
      <c r="I197" s="18"/>
    </row>
    <row r="198" spans="1:9" x14ac:dyDescent="0.2">
      <c r="A198" s="6" t="s">
        <v>37</v>
      </c>
      <c r="B198" s="3">
        <v>48041.35</v>
      </c>
      <c r="C198" s="3">
        <v>5648.02</v>
      </c>
      <c r="D198" s="3">
        <v>0</v>
      </c>
      <c r="E198" s="3">
        <v>0</v>
      </c>
      <c r="F198" s="3">
        <v>0</v>
      </c>
      <c r="G198" s="3">
        <v>8472.0300000000007</v>
      </c>
      <c r="H198" s="3">
        <f t="shared" si="3"/>
        <v>62161.399999999994</v>
      </c>
      <c r="I198" s="18"/>
    </row>
    <row r="199" spans="1:9" x14ac:dyDescent="0.2">
      <c r="A199" s="6" t="s">
        <v>240</v>
      </c>
      <c r="B199" s="3">
        <v>59401.53</v>
      </c>
      <c r="C199" s="3">
        <v>0</v>
      </c>
      <c r="D199" s="3">
        <v>0</v>
      </c>
      <c r="E199" s="3">
        <v>0</v>
      </c>
      <c r="F199" s="3">
        <v>0</v>
      </c>
      <c r="G199" s="3">
        <v>0</v>
      </c>
      <c r="H199" s="3">
        <f t="shared" si="3"/>
        <v>59401.53</v>
      </c>
      <c r="I199" s="18"/>
    </row>
    <row r="200" spans="1:9" x14ac:dyDescent="0.2">
      <c r="A200" s="6" t="s">
        <v>241</v>
      </c>
      <c r="B200" s="3">
        <v>259392.4</v>
      </c>
      <c r="C200" s="3">
        <v>0</v>
      </c>
      <c r="D200" s="3">
        <v>0</v>
      </c>
      <c r="E200" s="3">
        <v>0</v>
      </c>
      <c r="F200" s="3">
        <v>0</v>
      </c>
      <c r="G200" s="3">
        <v>0</v>
      </c>
      <c r="H200" s="3">
        <f t="shared" si="3"/>
        <v>259392.4</v>
      </c>
      <c r="I200" s="18"/>
    </row>
    <row r="201" spans="1:9" x14ac:dyDescent="0.2">
      <c r="A201" s="6" t="s">
        <v>242</v>
      </c>
      <c r="B201" s="3">
        <v>47638.78</v>
      </c>
      <c r="C201" s="3">
        <v>0</v>
      </c>
      <c r="D201" s="3">
        <v>0</v>
      </c>
      <c r="E201" s="3">
        <v>0</v>
      </c>
      <c r="F201" s="3">
        <v>0</v>
      </c>
      <c r="G201" s="3">
        <v>0</v>
      </c>
      <c r="H201" s="3">
        <f t="shared" si="3"/>
        <v>47638.78</v>
      </c>
      <c r="I201" s="18"/>
    </row>
    <row r="202" spans="1:9" x14ac:dyDescent="0.2">
      <c r="A202" s="6" t="s">
        <v>184</v>
      </c>
      <c r="B202" s="3">
        <v>20858.95</v>
      </c>
      <c r="C202" s="3">
        <v>0</v>
      </c>
      <c r="D202" s="3">
        <v>0</v>
      </c>
      <c r="E202" s="3">
        <v>0</v>
      </c>
      <c r="F202" s="3">
        <v>0</v>
      </c>
      <c r="G202" s="3">
        <v>0</v>
      </c>
      <c r="H202" s="3">
        <f t="shared" si="3"/>
        <v>20858.95</v>
      </c>
      <c r="I202" s="18"/>
    </row>
    <row r="203" spans="1:9" s="8" customFormat="1" x14ac:dyDescent="0.2">
      <c r="A203" s="6" t="s">
        <v>186</v>
      </c>
      <c r="B203" s="4">
        <f>SUBTOTAL(109,Sect611[District])</f>
        <v>93187596.409999996</v>
      </c>
      <c r="C203" s="4">
        <f>SUBTOTAL(109,Sect611[Regional])</f>
        <v>14395964.760000007</v>
      </c>
      <c r="D203" s="4">
        <f>SUBTOTAL(109,Sect611[OSD])</f>
        <v>134492.24000000002</v>
      </c>
      <c r="E203" s="4">
        <f>SUBTOTAL(109,Sect611[LTCT])</f>
        <v>449972.13999999996</v>
      </c>
      <c r="F203" s="4">
        <f>SUBTOTAL(109,Sect611[Hospital])</f>
        <v>9527.1200000000008</v>
      </c>
      <c r="G203" s="4">
        <f>SUBTOTAL(109,Sect611[ECSE])</f>
        <v>11849078.329999998</v>
      </c>
      <c r="H203" s="4">
        <f>SUBTOTAL(109,Sect611[Gross Total])</f>
        <v>120026631.00000003</v>
      </c>
      <c r="I203" s="16">
        <f>SUBTOTAL(109,Sect611[Sig Dis])</f>
        <v>3</v>
      </c>
    </row>
    <row r="204" spans="1:9" hidden="1" x14ac:dyDescent="0.2">
      <c r="A204" s="8"/>
      <c r="B204" s="8"/>
      <c r="C204" s="8"/>
      <c r="D204" s="8"/>
      <c r="E204" s="8"/>
      <c r="F204" s="8"/>
      <c r="G204" s="8"/>
      <c r="H204" s="8"/>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04"/>
  <sheetViews>
    <sheetView workbookViewId="0">
      <pane ySplit="1" topLeftCell="A161" activePane="bottomLeft" state="frozen"/>
      <selection pane="bottomLeft" activeCell="B24" sqref="B24"/>
    </sheetView>
  </sheetViews>
  <sheetFormatPr defaultColWidth="0" defaultRowHeight="12.75" zeroHeight="1" x14ac:dyDescent="0.2"/>
  <cols>
    <col min="1" max="1" width="30.28515625" style="6" customWidth="1"/>
    <col min="2" max="8" width="16.28515625" style="6" customWidth="1"/>
    <col min="9" max="9" width="9.28515625" style="6" customWidth="1"/>
    <col min="10" max="10" width="9.28515625" style="8" hidden="1" customWidth="1"/>
    <col min="11" max="16384" width="7.28515625" style="6" hidden="1"/>
  </cols>
  <sheetData>
    <row r="1" spans="1:10" x14ac:dyDescent="0.2">
      <c r="A1" s="6" t="s">
        <v>0</v>
      </c>
      <c r="B1" s="7" t="s">
        <v>176</v>
      </c>
      <c r="C1" s="7" t="s">
        <v>177</v>
      </c>
      <c r="D1" s="7" t="s">
        <v>170</v>
      </c>
      <c r="E1" s="7" t="s">
        <v>171</v>
      </c>
      <c r="F1" s="7" t="s">
        <v>178</v>
      </c>
      <c r="G1" s="7" t="s">
        <v>179</v>
      </c>
      <c r="H1" s="7" t="s">
        <v>180</v>
      </c>
      <c r="I1" s="8"/>
      <c r="J1" s="6"/>
    </row>
    <row r="2" spans="1:10" x14ac:dyDescent="0.2">
      <c r="A2" s="6" t="s">
        <v>79</v>
      </c>
      <c r="B2" s="3">
        <v>0</v>
      </c>
      <c r="C2" s="3">
        <v>0</v>
      </c>
      <c r="D2" s="3">
        <v>0</v>
      </c>
      <c r="E2" s="3">
        <v>0</v>
      </c>
      <c r="F2" s="3">
        <v>0</v>
      </c>
      <c r="G2" s="3">
        <v>243.89</v>
      </c>
      <c r="H2" s="3">
        <f t="shared" ref="H2:H65" si="0">SUM(B2:G2)</f>
        <v>243.89</v>
      </c>
      <c r="I2" s="8"/>
      <c r="J2" s="6"/>
    </row>
    <row r="3" spans="1:10" x14ac:dyDescent="0.2">
      <c r="A3" s="6" t="s">
        <v>106</v>
      </c>
      <c r="B3" s="3">
        <v>0</v>
      </c>
      <c r="C3" s="3">
        <v>0</v>
      </c>
      <c r="D3" s="3">
        <v>0</v>
      </c>
      <c r="E3" s="3">
        <v>0</v>
      </c>
      <c r="F3" s="3">
        <v>0</v>
      </c>
      <c r="G3" s="3">
        <v>363</v>
      </c>
      <c r="H3" s="3">
        <f t="shared" si="0"/>
        <v>363</v>
      </c>
      <c r="I3" s="8"/>
      <c r="J3" s="6"/>
    </row>
    <row r="4" spans="1:10" x14ac:dyDescent="0.2">
      <c r="A4" s="6" t="s">
        <v>5</v>
      </c>
      <c r="B4" s="3">
        <v>0</v>
      </c>
      <c r="C4" s="3">
        <v>0</v>
      </c>
      <c r="D4" s="3">
        <v>0</v>
      </c>
      <c r="E4" s="3">
        <v>0</v>
      </c>
      <c r="F4" s="3">
        <v>0</v>
      </c>
      <c r="G4" s="3">
        <v>1533.57</v>
      </c>
      <c r="H4" s="3">
        <f t="shared" si="0"/>
        <v>1533.57</v>
      </c>
      <c r="I4" s="8"/>
      <c r="J4" s="6"/>
    </row>
    <row r="5" spans="1:10" x14ac:dyDescent="0.2">
      <c r="A5" s="6" t="s">
        <v>161</v>
      </c>
      <c r="B5" s="3">
        <v>645.88</v>
      </c>
      <c r="C5" s="3">
        <v>0</v>
      </c>
      <c r="D5" s="3">
        <v>0</v>
      </c>
      <c r="E5" s="3">
        <v>0</v>
      </c>
      <c r="F5" s="3">
        <v>0</v>
      </c>
      <c r="G5" s="3">
        <v>7389</v>
      </c>
      <c r="H5" s="3">
        <f t="shared" si="0"/>
        <v>8034.88</v>
      </c>
      <c r="I5" s="8"/>
      <c r="J5" s="6"/>
    </row>
    <row r="6" spans="1:10" x14ac:dyDescent="0.2">
      <c r="A6" s="6" t="s">
        <v>104</v>
      </c>
      <c r="B6" s="3">
        <v>846.63</v>
      </c>
      <c r="C6" s="3">
        <v>0</v>
      </c>
      <c r="D6" s="3">
        <v>0</v>
      </c>
      <c r="E6" s="3">
        <v>0</v>
      </c>
      <c r="F6" s="3">
        <v>0</v>
      </c>
      <c r="G6" s="3">
        <v>0</v>
      </c>
      <c r="H6" s="3">
        <f t="shared" si="0"/>
        <v>846.63</v>
      </c>
      <c r="I6" s="8"/>
      <c r="J6" s="6"/>
    </row>
    <row r="7" spans="1:10" x14ac:dyDescent="0.2">
      <c r="A7" s="6" t="s">
        <v>44</v>
      </c>
      <c r="B7" s="3">
        <v>415.43</v>
      </c>
      <c r="C7" s="3">
        <v>0</v>
      </c>
      <c r="D7" s="3">
        <v>0</v>
      </c>
      <c r="E7" s="3">
        <v>0</v>
      </c>
      <c r="F7" s="3">
        <v>0</v>
      </c>
      <c r="G7" s="3">
        <v>198.02</v>
      </c>
      <c r="H7" s="3">
        <f t="shared" si="0"/>
        <v>613.45000000000005</v>
      </c>
      <c r="I7" s="8"/>
      <c r="J7" s="6"/>
    </row>
    <row r="8" spans="1:10" x14ac:dyDescent="0.2">
      <c r="A8" s="6" t="s">
        <v>108</v>
      </c>
      <c r="B8" s="3">
        <v>8.11</v>
      </c>
      <c r="C8" s="3">
        <v>0</v>
      </c>
      <c r="D8" s="3">
        <v>0</v>
      </c>
      <c r="E8" s="3">
        <v>0</v>
      </c>
      <c r="F8" s="3">
        <v>0</v>
      </c>
      <c r="G8" s="3">
        <v>0</v>
      </c>
      <c r="H8" s="3">
        <f t="shared" si="0"/>
        <v>8.11</v>
      </c>
      <c r="I8" s="8"/>
      <c r="J8" s="6"/>
    </row>
    <row r="9" spans="1:10" x14ac:dyDescent="0.2">
      <c r="A9" s="6" t="s">
        <v>61</v>
      </c>
      <c r="B9" s="3">
        <v>2728.15</v>
      </c>
      <c r="C9" s="3">
        <v>650.22</v>
      </c>
      <c r="D9" s="3">
        <v>0</v>
      </c>
      <c r="E9" s="3">
        <v>0</v>
      </c>
      <c r="F9" s="3">
        <v>0</v>
      </c>
      <c r="G9" s="3">
        <v>12354.14</v>
      </c>
      <c r="H9" s="3">
        <f t="shared" si="0"/>
        <v>15732.509999999998</v>
      </c>
      <c r="I9" s="8"/>
      <c r="J9" s="6"/>
    </row>
    <row r="10" spans="1:10" x14ac:dyDescent="0.2">
      <c r="A10" s="6" t="s">
        <v>70</v>
      </c>
      <c r="B10" s="3">
        <v>2.33</v>
      </c>
      <c r="C10" s="3">
        <v>0</v>
      </c>
      <c r="D10" s="3">
        <v>0</v>
      </c>
      <c r="E10" s="3">
        <v>0</v>
      </c>
      <c r="F10" s="3">
        <v>0</v>
      </c>
      <c r="G10" s="3">
        <v>0</v>
      </c>
      <c r="H10" s="3">
        <f t="shared" si="0"/>
        <v>2.33</v>
      </c>
      <c r="I10" s="8"/>
      <c r="J10" s="6"/>
    </row>
    <row r="11" spans="1:10" x14ac:dyDescent="0.2">
      <c r="A11" s="6" t="s">
        <v>210</v>
      </c>
      <c r="B11" s="3">
        <v>1717.23</v>
      </c>
      <c r="C11" s="3">
        <v>297.66000000000003</v>
      </c>
      <c r="D11" s="3">
        <v>0</v>
      </c>
      <c r="E11" s="3">
        <v>0</v>
      </c>
      <c r="F11" s="3">
        <v>0</v>
      </c>
      <c r="G11" s="3">
        <v>6399.63</v>
      </c>
      <c r="H11" s="3">
        <f t="shared" si="0"/>
        <v>8414.52</v>
      </c>
      <c r="I11" s="8"/>
      <c r="J11" s="6"/>
    </row>
    <row r="12" spans="1:10" x14ac:dyDescent="0.2">
      <c r="A12" s="6" t="s">
        <v>211</v>
      </c>
      <c r="B12" s="3">
        <v>0</v>
      </c>
      <c r="C12" s="3">
        <v>0</v>
      </c>
      <c r="D12" s="3">
        <v>0</v>
      </c>
      <c r="E12" s="3">
        <v>0</v>
      </c>
      <c r="F12" s="3">
        <v>0</v>
      </c>
      <c r="G12" s="3">
        <v>5016.59</v>
      </c>
      <c r="H12" s="3">
        <f t="shared" si="0"/>
        <v>5016.59</v>
      </c>
      <c r="I12" s="8"/>
      <c r="J12" s="6"/>
    </row>
    <row r="13" spans="1:10" x14ac:dyDescent="0.2">
      <c r="A13" s="6" t="s">
        <v>1</v>
      </c>
      <c r="B13" s="3">
        <v>0</v>
      </c>
      <c r="C13" s="3">
        <v>0</v>
      </c>
      <c r="D13" s="3">
        <v>0</v>
      </c>
      <c r="E13" s="3">
        <v>0</v>
      </c>
      <c r="F13" s="3">
        <v>0</v>
      </c>
      <c r="G13" s="3">
        <v>8920.76</v>
      </c>
      <c r="H13" s="3">
        <f t="shared" si="0"/>
        <v>8920.76</v>
      </c>
      <c r="I13" s="8"/>
      <c r="J13" s="6"/>
    </row>
    <row r="14" spans="1:10" x14ac:dyDescent="0.2">
      <c r="A14" s="6" t="s">
        <v>29</v>
      </c>
      <c r="B14" s="3">
        <v>1346.09</v>
      </c>
      <c r="C14" s="3">
        <v>0</v>
      </c>
      <c r="D14" s="3">
        <v>0</v>
      </c>
      <c r="E14" s="3">
        <v>0</v>
      </c>
      <c r="F14" s="3">
        <v>0</v>
      </c>
      <c r="G14" s="3">
        <v>4277.6400000000003</v>
      </c>
      <c r="H14" s="3">
        <f t="shared" si="0"/>
        <v>5623.7300000000005</v>
      </c>
      <c r="I14" s="8"/>
      <c r="J14" s="6"/>
    </row>
    <row r="15" spans="1:10" x14ac:dyDescent="0.2">
      <c r="A15" s="6" t="s">
        <v>152</v>
      </c>
      <c r="B15" s="3">
        <v>694.8</v>
      </c>
      <c r="C15" s="3">
        <v>94.63</v>
      </c>
      <c r="D15" s="3">
        <v>0</v>
      </c>
      <c r="E15" s="3">
        <v>0</v>
      </c>
      <c r="F15" s="3">
        <v>0</v>
      </c>
      <c r="G15" s="3">
        <v>1040.8900000000001</v>
      </c>
      <c r="H15" s="3">
        <f t="shared" si="0"/>
        <v>1830.3200000000002</v>
      </c>
      <c r="I15" s="8"/>
      <c r="J15" s="6"/>
    </row>
    <row r="16" spans="1:10" x14ac:dyDescent="0.2">
      <c r="A16" s="6" t="s">
        <v>155</v>
      </c>
      <c r="B16" s="3">
        <v>23829.33</v>
      </c>
      <c r="C16" s="3">
        <v>5478.01</v>
      </c>
      <c r="D16" s="3">
        <v>0</v>
      </c>
      <c r="E16" s="3">
        <v>0</v>
      </c>
      <c r="F16" s="3">
        <v>0</v>
      </c>
      <c r="G16" s="3">
        <v>94898.51</v>
      </c>
      <c r="H16" s="3">
        <f t="shared" si="0"/>
        <v>124205.85</v>
      </c>
      <c r="I16" s="8"/>
      <c r="J16" s="6"/>
    </row>
    <row r="17" spans="1:10" x14ac:dyDescent="0.2">
      <c r="A17" s="6" t="s">
        <v>212</v>
      </c>
      <c r="B17" s="3">
        <v>17114.23</v>
      </c>
      <c r="C17" s="3">
        <v>4242.1099999999997</v>
      </c>
      <c r="D17" s="3">
        <v>0</v>
      </c>
      <c r="E17" s="3">
        <v>0</v>
      </c>
      <c r="F17" s="3">
        <v>0</v>
      </c>
      <c r="G17" s="3">
        <v>45684.28</v>
      </c>
      <c r="H17" s="3">
        <f t="shared" si="0"/>
        <v>67040.62</v>
      </c>
      <c r="I17" s="8"/>
      <c r="J17" s="6"/>
    </row>
    <row r="18" spans="1:10" x14ac:dyDescent="0.2">
      <c r="A18" s="6" t="s">
        <v>86</v>
      </c>
      <c r="B18" s="3">
        <v>6759.99</v>
      </c>
      <c r="C18" s="3">
        <v>0</v>
      </c>
      <c r="D18" s="3">
        <v>0</v>
      </c>
      <c r="E18" s="3">
        <v>0</v>
      </c>
      <c r="F18" s="3">
        <v>0</v>
      </c>
      <c r="G18" s="3">
        <v>22019.119999999999</v>
      </c>
      <c r="H18" s="3">
        <f t="shared" si="0"/>
        <v>28779.11</v>
      </c>
      <c r="I18" s="8"/>
      <c r="J18" s="6"/>
    </row>
    <row r="19" spans="1:10" x14ac:dyDescent="0.2">
      <c r="A19" s="6" t="s">
        <v>92</v>
      </c>
      <c r="B19" s="3">
        <v>290.85000000000002</v>
      </c>
      <c r="C19" s="3">
        <v>0</v>
      </c>
      <c r="D19" s="3">
        <v>0</v>
      </c>
      <c r="E19" s="3">
        <v>0</v>
      </c>
      <c r="F19" s="3">
        <v>0</v>
      </c>
      <c r="G19" s="3">
        <v>277.27999999999997</v>
      </c>
      <c r="H19" s="3">
        <f t="shared" si="0"/>
        <v>568.13</v>
      </c>
      <c r="I19" s="8"/>
      <c r="J19" s="6"/>
    </row>
    <row r="20" spans="1:10" x14ac:dyDescent="0.2">
      <c r="A20" s="6" t="s">
        <v>71</v>
      </c>
      <c r="B20" s="3">
        <v>0</v>
      </c>
      <c r="C20" s="3">
        <v>0</v>
      </c>
      <c r="D20" s="3">
        <v>0</v>
      </c>
      <c r="E20" s="3">
        <v>0</v>
      </c>
      <c r="F20" s="3">
        <v>0</v>
      </c>
      <c r="G20" s="3">
        <v>0</v>
      </c>
      <c r="H20" s="3">
        <f t="shared" si="0"/>
        <v>0</v>
      </c>
      <c r="I20" s="8"/>
      <c r="J20" s="6"/>
    </row>
    <row r="21" spans="1:10" x14ac:dyDescent="0.2">
      <c r="A21" s="6" t="s">
        <v>213</v>
      </c>
      <c r="B21" s="3">
        <v>6898.92</v>
      </c>
      <c r="C21" s="3">
        <v>0</v>
      </c>
      <c r="D21" s="3">
        <v>0</v>
      </c>
      <c r="E21" s="3">
        <v>0</v>
      </c>
      <c r="F21" s="3">
        <v>0</v>
      </c>
      <c r="G21" s="3">
        <v>8038.64</v>
      </c>
      <c r="H21" s="3">
        <f t="shared" si="0"/>
        <v>14937.560000000001</v>
      </c>
      <c r="I21" s="8"/>
      <c r="J21" s="6"/>
    </row>
    <row r="22" spans="1:10" x14ac:dyDescent="0.2">
      <c r="A22" s="6" t="s">
        <v>3</v>
      </c>
      <c r="B22" s="3">
        <v>302.08999999999997</v>
      </c>
      <c r="C22" s="3">
        <v>0</v>
      </c>
      <c r="D22" s="3">
        <v>0</v>
      </c>
      <c r="E22" s="3">
        <v>0</v>
      </c>
      <c r="F22" s="3">
        <v>0</v>
      </c>
      <c r="G22" s="3">
        <v>0</v>
      </c>
      <c r="H22" s="3">
        <f t="shared" si="0"/>
        <v>302.08999999999997</v>
      </c>
      <c r="I22" s="8"/>
      <c r="J22" s="6"/>
    </row>
    <row r="23" spans="1:10" x14ac:dyDescent="0.2">
      <c r="A23" s="6" t="s">
        <v>66</v>
      </c>
      <c r="B23" s="3">
        <v>292.25</v>
      </c>
      <c r="C23" s="3">
        <v>0</v>
      </c>
      <c r="D23" s="3">
        <v>0</v>
      </c>
      <c r="E23" s="3">
        <v>0</v>
      </c>
      <c r="F23" s="3">
        <v>0</v>
      </c>
      <c r="G23" s="3">
        <v>278.61</v>
      </c>
      <c r="H23" s="3">
        <f t="shared" si="0"/>
        <v>570.86</v>
      </c>
      <c r="I23" s="8"/>
      <c r="J23" s="6"/>
    </row>
    <row r="24" spans="1:10" x14ac:dyDescent="0.2">
      <c r="A24" s="6" t="s">
        <v>214</v>
      </c>
      <c r="B24" s="3">
        <v>0</v>
      </c>
      <c r="C24" s="3">
        <v>0</v>
      </c>
      <c r="D24" s="3">
        <v>0</v>
      </c>
      <c r="E24" s="3">
        <v>0</v>
      </c>
      <c r="F24" s="3">
        <v>0</v>
      </c>
      <c r="G24" s="3">
        <v>335.08</v>
      </c>
      <c r="H24" s="3">
        <f t="shared" si="0"/>
        <v>335.08</v>
      </c>
      <c r="I24" s="8"/>
      <c r="J24" s="6"/>
    </row>
    <row r="25" spans="1:10" x14ac:dyDescent="0.2">
      <c r="A25" s="6" t="s">
        <v>14</v>
      </c>
      <c r="B25" s="3">
        <v>4130.87</v>
      </c>
      <c r="C25" s="3">
        <v>750.13</v>
      </c>
      <c r="D25" s="3">
        <v>0</v>
      </c>
      <c r="E25" s="3">
        <v>0</v>
      </c>
      <c r="F25" s="3">
        <v>0</v>
      </c>
      <c r="G25" s="3">
        <v>11439.41</v>
      </c>
      <c r="H25" s="3">
        <f t="shared" si="0"/>
        <v>16320.41</v>
      </c>
      <c r="I25" s="8"/>
      <c r="J25" s="6"/>
    </row>
    <row r="26" spans="1:10" x14ac:dyDescent="0.2">
      <c r="A26" s="6" t="s">
        <v>112</v>
      </c>
      <c r="B26" s="3">
        <v>6574.92</v>
      </c>
      <c r="C26" s="3">
        <v>0</v>
      </c>
      <c r="D26" s="3">
        <v>0</v>
      </c>
      <c r="E26" s="3">
        <v>0</v>
      </c>
      <c r="F26" s="3">
        <v>0</v>
      </c>
      <c r="G26" s="3">
        <v>6268.19</v>
      </c>
      <c r="H26" s="3">
        <f t="shared" si="0"/>
        <v>12843.11</v>
      </c>
      <c r="I26" s="8"/>
      <c r="J26" s="6"/>
    </row>
    <row r="27" spans="1:10" x14ac:dyDescent="0.2">
      <c r="A27" s="6" t="s">
        <v>125</v>
      </c>
      <c r="B27" s="3">
        <v>7103.29</v>
      </c>
      <c r="C27" s="3">
        <v>3269.19</v>
      </c>
      <c r="D27" s="3">
        <v>0</v>
      </c>
      <c r="E27" s="3">
        <v>0</v>
      </c>
      <c r="F27" s="3">
        <v>0</v>
      </c>
      <c r="G27" s="3">
        <v>23584.9</v>
      </c>
      <c r="H27" s="3">
        <f t="shared" si="0"/>
        <v>33957.380000000005</v>
      </c>
      <c r="I27" s="8"/>
      <c r="J27" s="6"/>
    </row>
    <row r="28" spans="1:10" x14ac:dyDescent="0.2">
      <c r="A28" s="6" t="s">
        <v>30</v>
      </c>
      <c r="B28" s="3">
        <v>0</v>
      </c>
      <c r="C28" s="3">
        <v>0</v>
      </c>
      <c r="D28" s="3">
        <v>0</v>
      </c>
      <c r="E28" s="3">
        <v>0</v>
      </c>
      <c r="F28" s="3">
        <v>0</v>
      </c>
      <c r="G28" s="3">
        <v>3215.28</v>
      </c>
      <c r="H28" s="3">
        <f t="shared" si="0"/>
        <v>3215.28</v>
      </c>
      <c r="I28" s="8"/>
      <c r="J28" s="6"/>
    </row>
    <row r="29" spans="1:10" x14ac:dyDescent="0.2">
      <c r="A29" s="6" t="s">
        <v>100</v>
      </c>
      <c r="B29" s="3">
        <v>719.13</v>
      </c>
      <c r="C29" s="3">
        <v>342.79</v>
      </c>
      <c r="D29" s="3">
        <v>0</v>
      </c>
      <c r="E29" s="3">
        <v>0</v>
      </c>
      <c r="F29" s="3">
        <v>0</v>
      </c>
      <c r="G29" s="3">
        <v>3085.12</v>
      </c>
      <c r="H29" s="3">
        <f t="shared" si="0"/>
        <v>4147.04</v>
      </c>
      <c r="I29" s="8"/>
      <c r="J29" s="6"/>
    </row>
    <row r="30" spans="1:10" x14ac:dyDescent="0.2">
      <c r="A30" s="6" t="s">
        <v>62</v>
      </c>
      <c r="B30" s="3">
        <v>10548.05</v>
      </c>
      <c r="C30" s="3">
        <v>0</v>
      </c>
      <c r="D30" s="3">
        <v>0</v>
      </c>
      <c r="E30" s="3">
        <v>0</v>
      </c>
      <c r="F30" s="3">
        <v>0</v>
      </c>
      <c r="G30" s="3">
        <v>21498.94</v>
      </c>
      <c r="H30" s="3">
        <f t="shared" si="0"/>
        <v>32046.989999999998</v>
      </c>
      <c r="I30" s="8"/>
      <c r="J30" s="6"/>
    </row>
    <row r="31" spans="1:10" x14ac:dyDescent="0.2">
      <c r="A31" s="6" t="s">
        <v>130</v>
      </c>
      <c r="B31" s="3">
        <v>3145.68</v>
      </c>
      <c r="C31" s="3">
        <v>272.63</v>
      </c>
      <c r="D31" s="3">
        <v>0</v>
      </c>
      <c r="E31" s="3">
        <v>0</v>
      </c>
      <c r="F31" s="3">
        <v>0</v>
      </c>
      <c r="G31" s="3">
        <v>12268.35</v>
      </c>
      <c r="H31" s="3">
        <f t="shared" si="0"/>
        <v>15686.66</v>
      </c>
      <c r="I31" s="8"/>
      <c r="J31" s="6"/>
    </row>
    <row r="32" spans="1:10" x14ac:dyDescent="0.2">
      <c r="A32" s="6" t="s">
        <v>20</v>
      </c>
      <c r="B32" s="3">
        <v>1861.78</v>
      </c>
      <c r="C32" s="3">
        <v>0</v>
      </c>
      <c r="D32" s="3">
        <v>0</v>
      </c>
      <c r="E32" s="3">
        <v>0</v>
      </c>
      <c r="F32" s="3">
        <v>0</v>
      </c>
      <c r="G32" s="3">
        <v>6212.22</v>
      </c>
      <c r="H32" s="3">
        <f t="shared" si="0"/>
        <v>8074</v>
      </c>
      <c r="I32" s="8"/>
      <c r="J32" s="6"/>
    </row>
    <row r="33" spans="1:10" x14ac:dyDescent="0.2">
      <c r="A33" s="6" t="s">
        <v>12</v>
      </c>
      <c r="B33" s="3">
        <v>1648.81</v>
      </c>
      <c r="C33" s="3">
        <v>0</v>
      </c>
      <c r="D33" s="3">
        <v>0</v>
      </c>
      <c r="E33" s="3">
        <v>0</v>
      </c>
      <c r="F33" s="3">
        <v>0</v>
      </c>
      <c r="G33" s="3">
        <v>3929.73</v>
      </c>
      <c r="H33" s="3">
        <f t="shared" si="0"/>
        <v>5578.54</v>
      </c>
      <c r="I33" s="8"/>
      <c r="J33" s="6"/>
    </row>
    <row r="34" spans="1:10" x14ac:dyDescent="0.2">
      <c r="A34" s="6" t="s">
        <v>45</v>
      </c>
      <c r="B34" s="3">
        <v>0</v>
      </c>
      <c r="C34" s="3">
        <v>0</v>
      </c>
      <c r="D34" s="3">
        <v>0</v>
      </c>
      <c r="E34" s="3">
        <v>0</v>
      </c>
      <c r="F34" s="3">
        <v>0</v>
      </c>
      <c r="G34" s="3">
        <v>862.25</v>
      </c>
      <c r="H34" s="3">
        <f t="shared" si="0"/>
        <v>862.25</v>
      </c>
      <c r="I34" s="8"/>
      <c r="J34" s="6"/>
    </row>
    <row r="35" spans="1:10" x14ac:dyDescent="0.2">
      <c r="A35" s="6" t="s">
        <v>25</v>
      </c>
      <c r="B35" s="3">
        <v>6714.22</v>
      </c>
      <c r="C35" s="3">
        <v>2036.68</v>
      </c>
      <c r="D35" s="3">
        <v>0</v>
      </c>
      <c r="E35" s="3">
        <v>0</v>
      </c>
      <c r="F35" s="3">
        <v>0</v>
      </c>
      <c r="G35" s="3">
        <v>19493.91</v>
      </c>
      <c r="H35" s="3">
        <f t="shared" si="0"/>
        <v>28244.809999999998</v>
      </c>
      <c r="I35" s="8"/>
      <c r="J35" s="6"/>
    </row>
    <row r="36" spans="1:10" x14ac:dyDescent="0.2">
      <c r="A36" s="6" t="s">
        <v>24</v>
      </c>
      <c r="B36" s="3">
        <v>3979.36</v>
      </c>
      <c r="C36" s="3">
        <v>758.74</v>
      </c>
      <c r="D36" s="3">
        <v>0</v>
      </c>
      <c r="E36" s="3">
        <v>0</v>
      </c>
      <c r="F36" s="3">
        <v>0</v>
      </c>
      <c r="G36" s="3">
        <v>4552.46</v>
      </c>
      <c r="H36" s="3">
        <f t="shared" si="0"/>
        <v>9290.5600000000013</v>
      </c>
      <c r="I36" s="8"/>
      <c r="J36" s="6"/>
    </row>
    <row r="37" spans="1:10" x14ac:dyDescent="0.2">
      <c r="A37" s="6" t="s">
        <v>126</v>
      </c>
      <c r="B37" s="3">
        <v>867.88</v>
      </c>
      <c r="C37" s="3">
        <v>413.7</v>
      </c>
      <c r="D37" s="3">
        <v>0</v>
      </c>
      <c r="E37" s="3">
        <v>0</v>
      </c>
      <c r="F37" s="3">
        <v>0</v>
      </c>
      <c r="G37" s="3">
        <v>2482.19</v>
      </c>
      <c r="H37" s="3">
        <f t="shared" si="0"/>
        <v>3763.77</v>
      </c>
      <c r="I37" s="8"/>
      <c r="J37" s="6"/>
    </row>
    <row r="38" spans="1:10" x14ac:dyDescent="0.2">
      <c r="A38" s="6" t="s">
        <v>7</v>
      </c>
      <c r="B38" s="3">
        <v>12388.85</v>
      </c>
      <c r="C38" s="3">
        <v>3126.41</v>
      </c>
      <c r="D38" s="3">
        <v>0</v>
      </c>
      <c r="E38" s="3">
        <v>0</v>
      </c>
      <c r="F38" s="3">
        <v>0</v>
      </c>
      <c r="G38" s="3">
        <v>23274.37</v>
      </c>
      <c r="H38" s="3">
        <f t="shared" si="0"/>
        <v>38789.629999999997</v>
      </c>
      <c r="I38" s="8"/>
      <c r="J38" s="6"/>
    </row>
    <row r="39" spans="1:10" x14ac:dyDescent="0.2">
      <c r="A39" s="6" t="s">
        <v>144</v>
      </c>
      <c r="B39" s="3">
        <v>1620.83</v>
      </c>
      <c r="C39" s="3">
        <v>0</v>
      </c>
      <c r="D39" s="3">
        <v>0</v>
      </c>
      <c r="E39" s="3">
        <v>0</v>
      </c>
      <c r="F39" s="3">
        <v>0</v>
      </c>
      <c r="G39" s="3">
        <v>0</v>
      </c>
      <c r="H39" s="3">
        <f t="shared" si="0"/>
        <v>1620.83</v>
      </c>
      <c r="I39" s="8"/>
      <c r="J39" s="6"/>
    </row>
    <row r="40" spans="1:10" x14ac:dyDescent="0.2">
      <c r="A40" s="6" t="s">
        <v>85</v>
      </c>
      <c r="B40" s="3">
        <v>3374.79</v>
      </c>
      <c r="C40" s="3">
        <v>247.49</v>
      </c>
      <c r="D40" s="3">
        <v>0</v>
      </c>
      <c r="E40" s="3">
        <v>0</v>
      </c>
      <c r="F40" s="3">
        <v>0</v>
      </c>
      <c r="G40" s="3">
        <v>5197.26</v>
      </c>
      <c r="H40" s="3">
        <f t="shared" si="0"/>
        <v>8819.5400000000009</v>
      </c>
      <c r="I40" s="8"/>
      <c r="J40" s="6"/>
    </row>
    <row r="41" spans="1:10" x14ac:dyDescent="0.2">
      <c r="A41" s="6" t="s">
        <v>215</v>
      </c>
      <c r="B41" s="3">
        <v>4469.6499999999996</v>
      </c>
      <c r="C41" s="3">
        <v>1278.3399999999999</v>
      </c>
      <c r="D41" s="3">
        <v>0</v>
      </c>
      <c r="E41" s="3">
        <v>0</v>
      </c>
      <c r="F41" s="3">
        <v>0</v>
      </c>
      <c r="G41" s="3">
        <v>19175.099999999999</v>
      </c>
      <c r="H41" s="3">
        <f t="shared" si="0"/>
        <v>24923.089999999997</v>
      </c>
      <c r="I41" s="8"/>
      <c r="J41" s="6"/>
    </row>
    <row r="42" spans="1:10" x14ac:dyDescent="0.2">
      <c r="A42" s="6" t="s">
        <v>216</v>
      </c>
      <c r="B42" s="3">
        <v>0</v>
      </c>
      <c r="C42" s="3">
        <v>0</v>
      </c>
      <c r="D42" s="3">
        <v>0</v>
      </c>
      <c r="E42" s="3">
        <v>0</v>
      </c>
      <c r="F42" s="3">
        <v>0</v>
      </c>
      <c r="G42" s="3">
        <v>1145.3499999999999</v>
      </c>
      <c r="H42" s="3">
        <f t="shared" si="0"/>
        <v>1145.3499999999999</v>
      </c>
      <c r="I42" s="8"/>
      <c r="J42" s="6"/>
    </row>
    <row r="43" spans="1:10" x14ac:dyDescent="0.2">
      <c r="A43" s="6" t="s">
        <v>69</v>
      </c>
      <c r="B43" s="3">
        <v>3002.19</v>
      </c>
      <c r="C43" s="3">
        <v>0</v>
      </c>
      <c r="D43" s="3">
        <v>0</v>
      </c>
      <c r="E43" s="3">
        <v>0</v>
      </c>
      <c r="F43" s="3">
        <v>0</v>
      </c>
      <c r="G43" s="3">
        <v>1226.6300000000001</v>
      </c>
      <c r="H43" s="3">
        <f t="shared" si="0"/>
        <v>4228.82</v>
      </c>
      <c r="I43" s="8"/>
      <c r="J43" s="6"/>
    </row>
    <row r="44" spans="1:10" x14ac:dyDescent="0.2">
      <c r="A44" s="6" t="s">
        <v>129</v>
      </c>
      <c r="B44" s="3">
        <v>7770.2</v>
      </c>
      <c r="C44" s="3">
        <v>529.12</v>
      </c>
      <c r="D44" s="3">
        <v>0</v>
      </c>
      <c r="E44" s="3">
        <v>0</v>
      </c>
      <c r="F44" s="3">
        <v>0</v>
      </c>
      <c r="G44" s="3">
        <v>16402.77</v>
      </c>
      <c r="H44" s="3">
        <f t="shared" si="0"/>
        <v>24702.09</v>
      </c>
      <c r="I44" s="8"/>
      <c r="J44" s="6"/>
    </row>
    <row r="45" spans="1:10" x14ac:dyDescent="0.2">
      <c r="A45" s="6" t="s">
        <v>127</v>
      </c>
      <c r="B45" s="3">
        <v>15057.28</v>
      </c>
      <c r="C45" s="3">
        <v>1213.08</v>
      </c>
      <c r="D45" s="3">
        <v>0</v>
      </c>
      <c r="E45" s="3">
        <v>0</v>
      </c>
      <c r="F45" s="3">
        <v>0</v>
      </c>
      <c r="G45" s="3">
        <v>33561.980000000003</v>
      </c>
      <c r="H45" s="3">
        <f t="shared" si="0"/>
        <v>49832.340000000004</v>
      </c>
      <c r="I45" s="8"/>
      <c r="J45" s="6"/>
    </row>
    <row r="46" spans="1:10" x14ac:dyDescent="0.2">
      <c r="A46" s="6" t="s">
        <v>162</v>
      </c>
      <c r="B46" s="3">
        <v>1901.44</v>
      </c>
      <c r="C46" s="3">
        <v>258.95999999999998</v>
      </c>
      <c r="D46" s="3">
        <v>0</v>
      </c>
      <c r="E46" s="3">
        <v>0</v>
      </c>
      <c r="F46" s="3">
        <v>0</v>
      </c>
      <c r="G46" s="3">
        <v>2589.62</v>
      </c>
      <c r="H46" s="3">
        <f t="shared" si="0"/>
        <v>4750.0200000000004</v>
      </c>
      <c r="I46" s="8"/>
      <c r="J46" s="6"/>
    </row>
    <row r="47" spans="1:10" x14ac:dyDescent="0.2">
      <c r="A47" s="6" t="s">
        <v>49</v>
      </c>
      <c r="B47" s="3">
        <v>2046.13</v>
      </c>
      <c r="C47" s="3">
        <v>0</v>
      </c>
      <c r="D47" s="3">
        <v>0</v>
      </c>
      <c r="E47" s="3">
        <v>0</v>
      </c>
      <c r="F47" s="3">
        <v>0</v>
      </c>
      <c r="G47" s="3">
        <v>0</v>
      </c>
      <c r="H47" s="3">
        <f t="shared" si="0"/>
        <v>2046.13</v>
      </c>
      <c r="I47" s="8"/>
      <c r="J47" s="6"/>
    </row>
    <row r="48" spans="1:10" x14ac:dyDescent="0.2">
      <c r="A48" s="6" t="s">
        <v>54</v>
      </c>
      <c r="B48" s="3">
        <v>0</v>
      </c>
      <c r="C48" s="3">
        <v>0</v>
      </c>
      <c r="D48" s="3">
        <v>0</v>
      </c>
      <c r="E48" s="3">
        <v>0</v>
      </c>
      <c r="F48" s="3">
        <v>0</v>
      </c>
      <c r="G48" s="3">
        <v>0</v>
      </c>
      <c r="H48" s="3">
        <f t="shared" si="0"/>
        <v>0</v>
      </c>
      <c r="I48" s="8"/>
      <c r="J48" s="6"/>
    </row>
    <row r="49" spans="1:10" x14ac:dyDescent="0.2">
      <c r="A49" s="6" t="s">
        <v>58</v>
      </c>
      <c r="B49" s="3">
        <v>0</v>
      </c>
      <c r="C49" s="3">
        <v>0</v>
      </c>
      <c r="D49" s="3">
        <v>0</v>
      </c>
      <c r="E49" s="3">
        <v>0</v>
      </c>
      <c r="F49" s="3">
        <v>0</v>
      </c>
      <c r="G49" s="3">
        <v>0</v>
      </c>
      <c r="H49" s="3">
        <f t="shared" si="0"/>
        <v>0</v>
      </c>
      <c r="I49" s="8"/>
      <c r="J49" s="6"/>
    </row>
    <row r="50" spans="1:10" x14ac:dyDescent="0.2">
      <c r="A50" s="6" t="s">
        <v>217</v>
      </c>
      <c r="B50" s="3">
        <v>0</v>
      </c>
      <c r="C50" s="3">
        <v>0</v>
      </c>
      <c r="D50" s="3">
        <v>0</v>
      </c>
      <c r="E50" s="3">
        <v>0</v>
      </c>
      <c r="F50" s="3">
        <v>0</v>
      </c>
      <c r="G50" s="3">
        <v>1542.03</v>
      </c>
      <c r="H50" s="3">
        <f t="shared" si="0"/>
        <v>1542.03</v>
      </c>
      <c r="I50" s="8"/>
      <c r="J50" s="6"/>
    </row>
    <row r="51" spans="1:10" x14ac:dyDescent="0.2">
      <c r="A51" s="6" t="s">
        <v>218</v>
      </c>
      <c r="B51" s="3">
        <v>9648.26</v>
      </c>
      <c r="C51" s="3">
        <v>1174.23</v>
      </c>
      <c r="D51" s="3">
        <v>0</v>
      </c>
      <c r="E51" s="3">
        <v>0</v>
      </c>
      <c r="F51" s="3">
        <v>0</v>
      </c>
      <c r="G51" s="3">
        <v>32291.37</v>
      </c>
      <c r="H51" s="3">
        <f t="shared" si="0"/>
        <v>43113.86</v>
      </c>
      <c r="I51" s="8"/>
      <c r="J51" s="6"/>
    </row>
    <row r="52" spans="1:10" x14ac:dyDescent="0.2">
      <c r="A52" s="6" t="s">
        <v>56</v>
      </c>
      <c r="B52" s="3">
        <v>0</v>
      </c>
      <c r="C52" s="3">
        <v>0</v>
      </c>
      <c r="D52" s="3">
        <v>0</v>
      </c>
      <c r="E52" s="3">
        <v>0</v>
      </c>
      <c r="F52" s="3">
        <v>0</v>
      </c>
      <c r="G52" s="3">
        <v>0</v>
      </c>
      <c r="H52" s="3">
        <f t="shared" si="0"/>
        <v>0</v>
      </c>
      <c r="I52" s="8"/>
      <c r="J52" s="6"/>
    </row>
    <row r="53" spans="1:10" x14ac:dyDescent="0.2">
      <c r="A53" s="6" t="s">
        <v>150</v>
      </c>
      <c r="B53" s="3">
        <v>727.04</v>
      </c>
      <c r="C53" s="3">
        <v>0</v>
      </c>
      <c r="D53" s="3">
        <v>0</v>
      </c>
      <c r="E53" s="3">
        <v>0</v>
      </c>
      <c r="F53" s="3">
        <v>0</v>
      </c>
      <c r="G53" s="3">
        <v>866.41</v>
      </c>
      <c r="H53" s="3">
        <f t="shared" si="0"/>
        <v>1593.4499999999998</v>
      </c>
      <c r="I53" s="8"/>
      <c r="J53" s="6"/>
    </row>
    <row r="54" spans="1:10" x14ac:dyDescent="0.2">
      <c r="A54" s="6" t="s">
        <v>63</v>
      </c>
      <c r="B54" s="3">
        <v>4854.0200000000004</v>
      </c>
      <c r="C54" s="3">
        <v>201.2</v>
      </c>
      <c r="D54" s="3">
        <v>0</v>
      </c>
      <c r="E54" s="3">
        <v>0</v>
      </c>
      <c r="F54" s="3">
        <v>0</v>
      </c>
      <c r="G54" s="3">
        <v>15894.7</v>
      </c>
      <c r="H54" s="3">
        <f t="shared" si="0"/>
        <v>20949.920000000002</v>
      </c>
      <c r="I54" s="8"/>
      <c r="J54" s="6"/>
    </row>
    <row r="55" spans="1:10" x14ac:dyDescent="0.2">
      <c r="A55" s="6" t="s">
        <v>138</v>
      </c>
      <c r="B55" s="3">
        <v>0</v>
      </c>
      <c r="C55" s="3">
        <v>0</v>
      </c>
      <c r="D55" s="3">
        <v>0</v>
      </c>
      <c r="E55" s="3">
        <v>0</v>
      </c>
      <c r="F55" s="3">
        <v>0</v>
      </c>
      <c r="G55" s="3">
        <v>569.79</v>
      </c>
      <c r="H55" s="3">
        <f t="shared" si="0"/>
        <v>569.79</v>
      </c>
      <c r="I55" s="8"/>
      <c r="J55" s="6"/>
    </row>
    <row r="56" spans="1:10" x14ac:dyDescent="0.2">
      <c r="A56" s="6" t="s">
        <v>145</v>
      </c>
      <c r="B56" s="3">
        <v>394.49</v>
      </c>
      <c r="C56" s="3">
        <v>0</v>
      </c>
      <c r="D56" s="3">
        <v>0</v>
      </c>
      <c r="E56" s="3">
        <v>0</v>
      </c>
      <c r="F56" s="3">
        <v>0</v>
      </c>
      <c r="G56" s="3">
        <v>225.65</v>
      </c>
      <c r="H56" s="3">
        <f t="shared" si="0"/>
        <v>620.14</v>
      </c>
      <c r="I56" s="8"/>
      <c r="J56" s="6"/>
    </row>
    <row r="57" spans="1:10" x14ac:dyDescent="0.2">
      <c r="A57" s="6" t="s">
        <v>38</v>
      </c>
      <c r="B57" s="3">
        <v>0</v>
      </c>
      <c r="C57" s="3">
        <v>0</v>
      </c>
      <c r="D57" s="3">
        <v>0</v>
      </c>
      <c r="E57" s="3">
        <v>0</v>
      </c>
      <c r="F57" s="3">
        <v>0</v>
      </c>
      <c r="G57" s="3">
        <v>0</v>
      </c>
      <c r="H57" s="3">
        <f t="shared" si="0"/>
        <v>0</v>
      </c>
      <c r="I57" s="8"/>
      <c r="J57" s="6"/>
    </row>
    <row r="58" spans="1:10" x14ac:dyDescent="0.2">
      <c r="A58" s="6" t="s">
        <v>148</v>
      </c>
      <c r="B58" s="3">
        <v>672.38</v>
      </c>
      <c r="C58" s="3">
        <v>0</v>
      </c>
      <c r="D58" s="3">
        <v>0</v>
      </c>
      <c r="E58" s="3">
        <v>0</v>
      </c>
      <c r="F58" s="3">
        <v>0</v>
      </c>
      <c r="G58" s="3">
        <v>1923.04</v>
      </c>
      <c r="H58" s="3">
        <f t="shared" si="0"/>
        <v>2595.42</v>
      </c>
      <c r="I58" s="8"/>
      <c r="J58" s="6"/>
    </row>
    <row r="59" spans="1:10" x14ac:dyDescent="0.2">
      <c r="A59" s="6" t="s">
        <v>15</v>
      </c>
      <c r="B59" s="3">
        <v>2902.96</v>
      </c>
      <c r="C59" s="3">
        <v>638.66</v>
      </c>
      <c r="D59" s="3">
        <v>0</v>
      </c>
      <c r="E59" s="3">
        <v>0</v>
      </c>
      <c r="F59" s="3">
        <v>0</v>
      </c>
      <c r="G59" s="3">
        <v>8089.7</v>
      </c>
      <c r="H59" s="3">
        <f t="shared" si="0"/>
        <v>11631.32</v>
      </c>
      <c r="I59" s="8"/>
      <c r="J59" s="6"/>
    </row>
    <row r="60" spans="1:10" x14ac:dyDescent="0.2">
      <c r="A60" s="6" t="s">
        <v>81</v>
      </c>
      <c r="B60" s="3">
        <v>31197.95</v>
      </c>
      <c r="C60" s="3">
        <v>421.88</v>
      </c>
      <c r="D60" s="3">
        <v>0</v>
      </c>
      <c r="E60" s="3">
        <v>0</v>
      </c>
      <c r="F60" s="3">
        <v>0</v>
      </c>
      <c r="G60" s="3">
        <v>83110.22</v>
      </c>
      <c r="H60" s="3">
        <f t="shared" si="0"/>
        <v>114730.05</v>
      </c>
      <c r="I60" s="8"/>
      <c r="J60" s="6"/>
    </row>
    <row r="61" spans="1:10" x14ac:dyDescent="0.2">
      <c r="A61" s="6" t="s">
        <v>132</v>
      </c>
      <c r="B61" s="3">
        <v>363.96</v>
      </c>
      <c r="C61" s="3">
        <v>0</v>
      </c>
      <c r="D61" s="3">
        <v>0</v>
      </c>
      <c r="E61" s="3">
        <v>0</v>
      </c>
      <c r="F61" s="3">
        <v>0</v>
      </c>
      <c r="G61" s="3">
        <v>693.95</v>
      </c>
      <c r="H61" s="3">
        <f t="shared" si="0"/>
        <v>1057.9100000000001</v>
      </c>
      <c r="I61" s="8"/>
      <c r="J61" s="6"/>
    </row>
    <row r="62" spans="1:10" x14ac:dyDescent="0.2">
      <c r="A62" s="6" t="s">
        <v>83</v>
      </c>
      <c r="B62" s="3">
        <v>2658.73</v>
      </c>
      <c r="C62" s="3">
        <v>0</v>
      </c>
      <c r="D62" s="3">
        <v>0</v>
      </c>
      <c r="E62" s="3">
        <v>0</v>
      </c>
      <c r="F62" s="3">
        <v>0</v>
      </c>
      <c r="G62" s="3">
        <v>5264.36</v>
      </c>
      <c r="H62" s="3">
        <f t="shared" si="0"/>
        <v>7923.09</v>
      </c>
      <c r="I62" s="8"/>
      <c r="J62" s="6"/>
    </row>
    <row r="63" spans="1:10" x14ac:dyDescent="0.2">
      <c r="A63" s="6" t="s">
        <v>153</v>
      </c>
      <c r="B63" s="3">
        <v>5491.32</v>
      </c>
      <c r="C63" s="3">
        <v>1745.05</v>
      </c>
      <c r="D63" s="3">
        <v>0</v>
      </c>
      <c r="E63" s="3">
        <v>0</v>
      </c>
      <c r="F63" s="3">
        <v>0</v>
      </c>
      <c r="G63" s="3">
        <v>15864.05</v>
      </c>
      <c r="H63" s="3">
        <f t="shared" si="0"/>
        <v>23100.42</v>
      </c>
      <c r="I63" s="8"/>
      <c r="J63" s="6"/>
    </row>
    <row r="64" spans="1:10" x14ac:dyDescent="0.2">
      <c r="A64" s="6" t="s">
        <v>159</v>
      </c>
      <c r="B64" s="3">
        <v>642.45000000000005</v>
      </c>
      <c r="C64" s="3">
        <v>0</v>
      </c>
      <c r="D64" s="3">
        <v>0</v>
      </c>
      <c r="E64" s="3">
        <v>0</v>
      </c>
      <c r="F64" s="3">
        <v>0</v>
      </c>
      <c r="G64" s="3">
        <v>408.32</v>
      </c>
      <c r="H64" s="3">
        <f t="shared" si="0"/>
        <v>1050.77</v>
      </c>
      <c r="I64" s="8"/>
      <c r="J64" s="6"/>
    </row>
    <row r="65" spans="1:10" x14ac:dyDescent="0.2">
      <c r="A65" s="6" t="s">
        <v>57</v>
      </c>
      <c r="B65" s="3">
        <v>0</v>
      </c>
      <c r="C65" s="3">
        <v>0</v>
      </c>
      <c r="D65" s="3">
        <v>0</v>
      </c>
      <c r="E65" s="3">
        <v>0</v>
      </c>
      <c r="F65" s="3">
        <v>0</v>
      </c>
      <c r="G65" s="3">
        <v>0</v>
      </c>
      <c r="H65" s="3">
        <f t="shared" si="0"/>
        <v>0</v>
      </c>
      <c r="I65" s="8"/>
      <c r="J65" s="6"/>
    </row>
    <row r="66" spans="1:10" x14ac:dyDescent="0.2">
      <c r="A66" s="6" t="s">
        <v>157</v>
      </c>
      <c r="B66" s="3">
        <v>0</v>
      </c>
      <c r="C66" s="3">
        <v>0</v>
      </c>
      <c r="D66" s="3">
        <v>0</v>
      </c>
      <c r="E66" s="3">
        <v>0</v>
      </c>
      <c r="F66" s="3">
        <v>0</v>
      </c>
      <c r="G66" s="3">
        <v>2587.62</v>
      </c>
      <c r="H66" s="3">
        <f t="shared" ref="H66:H129" si="1">SUM(B66:G66)</f>
        <v>2587.62</v>
      </c>
      <c r="I66" s="8"/>
      <c r="J66" s="6"/>
    </row>
    <row r="67" spans="1:10" x14ac:dyDescent="0.2">
      <c r="A67" s="6" t="s">
        <v>110</v>
      </c>
      <c r="B67" s="3">
        <v>2370.86</v>
      </c>
      <c r="C67" s="3">
        <v>251.14</v>
      </c>
      <c r="D67" s="3">
        <v>0</v>
      </c>
      <c r="E67" s="3">
        <v>0</v>
      </c>
      <c r="F67" s="3">
        <v>0</v>
      </c>
      <c r="G67" s="3">
        <v>1381.26</v>
      </c>
      <c r="H67" s="3">
        <f t="shared" si="1"/>
        <v>4003.26</v>
      </c>
      <c r="I67" s="8"/>
      <c r="J67" s="6"/>
    </row>
    <row r="68" spans="1:10" x14ac:dyDescent="0.2">
      <c r="A68" s="6" t="s">
        <v>16</v>
      </c>
      <c r="B68" s="3">
        <v>0</v>
      </c>
      <c r="C68" s="3">
        <v>119.59</v>
      </c>
      <c r="D68" s="3">
        <v>0</v>
      </c>
      <c r="E68" s="3">
        <v>0</v>
      </c>
      <c r="F68" s="3">
        <v>0</v>
      </c>
      <c r="G68" s="3">
        <v>3468.16</v>
      </c>
      <c r="H68" s="3">
        <f t="shared" si="1"/>
        <v>3587.75</v>
      </c>
      <c r="I68" s="8"/>
      <c r="J68" s="6"/>
    </row>
    <row r="69" spans="1:10" x14ac:dyDescent="0.2">
      <c r="A69" s="6" t="s">
        <v>40</v>
      </c>
      <c r="B69" s="3">
        <v>276.16000000000003</v>
      </c>
      <c r="C69" s="3">
        <v>0</v>
      </c>
      <c r="D69" s="3">
        <v>0</v>
      </c>
      <c r="E69" s="3">
        <v>0</v>
      </c>
      <c r="F69" s="3">
        <v>0</v>
      </c>
      <c r="G69" s="3">
        <v>315.93</v>
      </c>
      <c r="H69" s="3">
        <f t="shared" si="1"/>
        <v>592.09</v>
      </c>
      <c r="I69" s="8"/>
      <c r="J69" s="6"/>
    </row>
    <row r="70" spans="1:10" x14ac:dyDescent="0.2">
      <c r="A70" s="6" t="s">
        <v>34</v>
      </c>
      <c r="B70" s="3">
        <v>2273.87</v>
      </c>
      <c r="C70" s="3">
        <v>333.51</v>
      </c>
      <c r="D70" s="3">
        <v>0</v>
      </c>
      <c r="E70" s="3">
        <v>0</v>
      </c>
      <c r="F70" s="3">
        <v>0</v>
      </c>
      <c r="G70" s="3">
        <v>1667.53</v>
      </c>
      <c r="H70" s="3">
        <f t="shared" si="1"/>
        <v>4274.91</v>
      </c>
      <c r="I70" s="8"/>
      <c r="J70" s="6"/>
    </row>
    <row r="71" spans="1:10" x14ac:dyDescent="0.2">
      <c r="A71" s="6" t="s">
        <v>73</v>
      </c>
      <c r="B71" s="3">
        <v>7093.81</v>
      </c>
      <c r="C71" s="3">
        <v>1972.5</v>
      </c>
      <c r="D71" s="3">
        <v>0</v>
      </c>
      <c r="E71" s="3">
        <v>0</v>
      </c>
      <c r="F71" s="3">
        <v>0</v>
      </c>
      <c r="G71" s="3">
        <v>22542.880000000001</v>
      </c>
      <c r="H71" s="3">
        <f t="shared" si="1"/>
        <v>31609.190000000002</v>
      </c>
      <c r="I71" s="8"/>
      <c r="J71" s="6"/>
    </row>
    <row r="72" spans="1:10" x14ac:dyDescent="0.2">
      <c r="A72" s="6" t="s">
        <v>219</v>
      </c>
      <c r="B72" s="3">
        <v>14848.2</v>
      </c>
      <c r="C72" s="3">
        <v>3067.02</v>
      </c>
      <c r="D72" s="3">
        <v>0</v>
      </c>
      <c r="E72" s="3">
        <v>0</v>
      </c>
      <c r="F72" s="3">
        <v>0</v>
      </c>
      <c r="G72" s="3">
        <v>33737.25</v>
      </c>
      <c r="H72" s="3">
        <f t="shared" si="1"/>
        <v>51652.47</v>
      </c>
      <c r="I72" s="8"/>
      <c r="J72" s="6"/>
    </row>
    <row r="73" spans="1:10" x14ac:dyDescent="0.2">
      <c r="A73" s="6" t="s">
        <v>124</v>
      </c>
      <c r="B73" s="3">
        <v>12890.69</v>
      </c>
      <c r="C73" s="3">
        <v>2880.31</v>
      </c>
      <c r="D73" s="3">
        <v>0</v>
      </c>
      <c r="E73" s="3">
        <v>0</v>
      </c>
      <c r="F73" s="3">
        <v>0</v>
      </c>
      <c r="G73" s="3">
        <v>45508.86</v>
      </c>
      <c r="H73" s="3">
        <f t="shared" si="1"/>
        <v>61279.86</v>
      </c>
      <c r="I73" s="8"/>
      <c r="J73" s="6"/>
    </row>
    <row r="74" spans="1:10" x14ac:dyDescent="0.2">
      <c r="A74" s="6" t="s">
        <v>51</v>
      </c>
      <c r="B74" s="3">
        <v>0</v>
      </c>
      <c r="C74" s="3">
        <v>0</v>
      </c>
      <c r="D74" s="3">
        <v>0</v>
      </c>
      <c r="E74" s="3">
        <v>0</v>
      </c>
      <c r="F74" s="3">
        <v>0</v>
      </c>
      <c r="G74" s="3">
        <v>8720.26</v>
      </c>
      <c r="H74" s="3">
        <f t="shared" si="1"/>
        <v>8720.26</v>
      </c>
      <c r="I74" s="8"/>
      <c r="J74" s="6"/>
    </row>
    <row r="75" spans="1:10" x14ac:dyDescent="0.2">
      <c r="A75" s="6" t="s">
        <v>52</v>
      </c>
      <c r="B75" s="3">
        <v>0</v>
      </c>
      <c r="C75" s="3">
        <v>0</v>
      </c>
      <c r="D75" s="3">
        <v>0</v>
      </c>
      <c r="E75" s="3">
        <v>0</v>
      </c>
      <c r="F75" s="3">
        <v>0</v>
      </c>
      <c r="G75" s="3">
        <v>0</v>
      </c>
      <c r="H75" s="3">
        <f t="shared" si="1"/>
        <v>0</v>
      </c>
      <c r="I75" s="8"/>
      <c r="J75" s="6"/>
    </row>
    <row r="76" spans="1:10" x14ac:dyDescent="0.2">
      <c r="A76" s="6" t="s">
        <v>220</v>
      </c>
      <c r="B76" s="3">
        <v>0</v>
      </c>
      <c r="C76" s="3">
        <v>0</v>
      </c>
      <c r="D76" s="3">
        <v>0</v>
      </c>
      <c r="E76" s="3">
        <v>0</v>
      </c>
      <c r="F76" s="3">
        <v>0</v>
      </c>
      <c r="G76" s="3">
        <v>0</v>
      </c>
      <c r="H76" s="3">
        <f t="shared" si="1"/>
        <v>0</v>
      </c>
      <c r="I76" s="8"/>
      <c r="J76" s="6"/>
    </row>
    <row r="77" spans="1:10" x14ac:dyDescent="0.2">
      <c r="A77" s="6" t="s">
        <v>107</v>
      </c>
      <c r="B77" s="3">
        <v>0</v>
      </c>
      <c r="C77" s="3">
        <v>0</v>
      </c>
      <c r="D77" s="3">
        <v>0</v>
      </c>
      <c r="E77" s="3">
        <v>0</v>
      </c>
      <c r="F77" s="3">
        <v>0</v>
      </c>
      <c r="G77" s="3">
        <v>1003.34</v>
      </c>
      <c r="H77" s="3">
        <f t="shared" si="1"/>
        <v>1003.34</v>
      </c>
      <c r="I77" s="8"/>
      <c r="J77" s="6"/>
    </row>
    <row r="78" spans="1:10" x14ac:dyDescent="0.2">
      <c r="A78" s="6" t="s">
        <v>95</v>
      </c>
      <c r="B78" s="3">
        <v>182.33</v>
      </c>
      <c r="C78" s="3">
        <v>173.82</v>
      </c>
      <c r="D78" s="3">
        <v>0</v>
      </c>
      <c r="E78" s="3">
        <v>0</v>
      </c>
      <c r="F78" s="3">
        <v>0</v>
      </c>
      <c r="G78" s="3">
        <v>1390.56</v>
      </c>
      <c r="H78" s="3">
        <f t="shared" si="1"/>
        <v>1746.71</v>
      </c>
      <c r="I78" s="8"/>
      <c r="J78" s="6"/>
    </row>
    <row r="79" spans="1:10" x14ac:dyDescent="0.2">
      <c r="A79" s="6" t="s">
        <v>136</v>
      </c>
      <c r="B79" s="3">
        <v>0</v>
      </c>
      <c r="C79" s="3">
        <v>0</v>
      </c>
      <c r="D79" s="3">
        <v>0</v>
      </c>
      <c r="E79" s="3">
        <v>0</v>
      </c>
      <c r="F79" s="3">
        <v>0</v>
      </c>
      <c r="G79" s="3">
        <v>1020.81</v>
      </c>
      <c r="H79" s="3">
        <f t="shared" si="1"/>
        <v>1020.81</v>
      </c>
      <c r="I79" s="8"/>
      <c r="J79" s="6"/>
    </row>
    <row r="80" spans="1:10" x14ac:dyDescent="0.2">
      <c r="A80" s="6" t="s">
        <v>221</v>
      </c>
      <c r="B80" s="3">
        <v>3994.03</v>
      </c>
      <c r="C80" s="3">
        <v>801.62</v>
      </c>
      <c r="D80" s="3">
        <v>0</v>
      </c>
      <c r="E80" s="3">
        <v>0</v>
      </c>
      <c r="F80" s="3">
        <v>0</v>
      </c>
      <c r="G80" s="3">
        <v>21042.57</v>
      </c>
      <c r="H80" s="3">
        <f t="shared" si="1"/>
        <v>25838.22</v>
      </c>
      <c r="I80" s="8"/>
      <c r="J80" s="6"/>
    </row>
    <row r="81" spans="1:10" x14ac:dyDescent="0.2">
      <c r="A81" s="6" t="s">
        <v>151</v>
      </c>
      <c r="B81" s="3">
        <v>19871.439999999999</v>
      </c>
      <c r="C81" s="3">
        <v>3177.01</v>
      </c>
      <c r="D81" s="3">
        <v>117.67</v>
      </c>
      <c r="E81" s="3">
        <v>0</v>
      </c>
      <c r="F81" s="3">
        <v>0</v>
      </c>
      <c r="G81" s="3">
        <v>46360.800000000003</v>
      </c>
      <c r="H81" s="3">
        <f t="shared" si="1"/>
        <v>69526.92</v>
      </c>
      <c r="I81" s="8"/>
      <c r="J81" s="6"/>
    </row>
    <row r="82" spans="1:10" x14ac:dyDescent="0.2">
      <c r="A82" s="6" t="s">
        <v>222</v>
      </c>
      <c r="B82" s="3">
        <v>7270.17</v>
      </c>
      <c r="C82" s="3">
        <v>385.06</v>
      </c>
      <c r="D82" s="3">
        <v>0</v>
      </c>
      <c r="E82" s="3">
        <v>0</v>
      </c>
      <c r="F82" s="3">
        <v>0</v>
      </c>
      <c r="G82" s="3">
        <v>13861.99</v>
      </c>
      <c r="H82" s="3">
        <f t="shared" si="1"/>
        <v>21517.22</v>
      </c>
      <c r="I82" s="8"/>
      <c r="J82" s="6"/>
    </row>
    <row r="83" spans="1:10" x14ac:dyDescent="0.2">
      <c r="A83" s="6" t="s">
        <v>2</v>
      </c>
      <c r="B83" s="3">
        <v>0</v>
      </c>
      <c r="C83" s="3">
        <v>0</v>
      </c>
      <c r="D83" s="3">
        <v>0</v>
      </c>
      <c r="E83" s="3">
        <v>0</v>
      </c>
      <c r="F83" s="3">
        <v>0</v>
      </c>
      <c r="G83" s="3">
        <v>516.5</v>
      </c>
      <c r="H83" s="3">
        <f t="shared" si="1"/>
        <v>516.5</v>
      </c>
      <c r="I83" s="8"/>
      <c r="J83" s="6"/>
    </row>
    <row r="84" spans="1:10" x14ac:dyDescent="0.2">
      <c r="A84" s="6" t="s">
        <v>143</v>
      </c>
      <c r="B84" s="3">
        <v>298.77999999999997</v>
      </c>
      <c r="C84" s="3">
        <v>0</v>
      </c>
      <c r="D84" s="3">
        <v>0</v>
      </c>
      <c r="E84" s="3">
        <v>0</v>
      </c>
      <c r="F84" s="3">
        <v>0</v>
      </c>
      <c r="G84" s="3">
        <v>284.83999999999997</v>
      </c>
      <c r="H84" s="3">
        <f t="shared" si="1"/>
        <v>583.61999999999989</v>
      </c>
      <c r="I84" s="8"/>
      <c r="J84" s="6"/>
    </row>
    <row r="85" spans="1:10" x14ac:dyDescent="0.2">
      <c r="A85" s="6" t="s">
        <v>223</v>
      </c>
      <c r="B85" s="3">
        <v>561.69000000000005</v>
      </c>
      <c r="C85" s="3">
        <v>0</v>
      </c>
      <c r="D85" s="3">
        <v>0</v>
      </c>
      <c r="E85" s="3">
        <v>0</v>
      </c>
      <c r="F85" s="3">
        <v>0</v>
      </c>
      <c r="G85" s="3">
        <v>0</v>
      </c>
      <c r="H85" s="3">
        <f t="shared" si="1"/>
        <v>561.69000000000005</v>
      </c>
      <c r="I85" s="8"/>
      <c r="J85" s="6"/>
    </row>
    <row r="86" spans="1:10" x14ac:dyDescent="0.2">
      <c r="A86" s="6" t="s">
        <v>72</v>
      </c>
      <c r="B86" s="3">
        <v>10526.12</v>
      </c>
      <c r="C86" s="3">
        <v>371.67</v>
      </c>
      <c r="D86" s="3">
        <v>371.67</v>
      </c>
      <c r="E86" s="3">
        <v>0</v>
      </c>
      <c r="F86" s="3">
        <v>0</v>
      </c>
      <c r="G86" s="3">
        <v>27503.47</v>
      </c>
      <c r="H86" s="3">
        <f t="shared" si="1"/>
        <v>38772.93</v>
      </c>
      <c r="I86" s="8"/>
      <c r="J86" s="6"/>
    </row>
    <row r="87" spans="1:10" x14ac:dyDescent="0.2">
      <c r="A87" s="6" t="s">
        <v>113</v>
      </c>
      <c r="B87" s="3">
        <v>702.05</v>
      </c>
      <c r="C87" s="3">
        <v>0</v>
      </c>
      <c r="D87" s="3">
        <v>0</v>
      </c>
      <c r="E87" s="3">
        <v>0</v>
      </c>
      <c r="F87" s="3">
        <v>0</v>
      </c>
      <c r="G87" s="3">
        <v>2007.89</v>
      </c>
      <c r="H87" s="3">
        <f t="shared" si="1"/>
        <v>2709.94</v>
      </c>
      <c r="I87" s="8"/>
      <c r="J87" s="6"/>
    </row>
    <row r="88" spans="1:10" x14ac:dyDescent="0.2">
      <c r="A88" s="6" t="s">
        <v>17</v>
      </c>
      <c r="B88" s="3">
        <v>305.27</v>
      </c>
      <c r="C88" s="3">
        <v>0</v>
      </c>
      <c r="D88" s="3">
        <v>0</v>
      </c>
      <c r="E88" s="3">
        <v>0</v>
      </c>
      <c r="F88" s="3">
        <v>0</v>
      </c>
      <c r="G88" s="3">
        <v>727.58</v>
      </c>
      <c r="H88" s="3">
        <f t="shared" si="1"/>
        <v>1032.8499999999999</v>
      </c>
      <c r="I88" s="8"/>
      <c r="J88" s="6"/>
    </row>
    <row r="89" spans="1:10" x14ac:dyDescent="0.2">
      <c r="A89" s="6" t="s">
        <v>46</v>
      </c>
      <c r="B89" s="3">
        <v>305.11</v>
      </c>
      <c r="C89" s="3">
        <v>581.75</v>
      </c>
      <c r="D89" s="3">
        <v>0</v>
      </c>
      <c r="E89" s="3">
        <v>0</v>
      </c>
      <c r="F89" s="3">
        <v>0</v>
      </c>
      <c r="G89" s="3">
        <v>4653.9799999999996</v>
      </c>
      <c r="H89" s="3">
        <f t="shared" si="1"/>
        <v>5540.8399999999992</v>
      </c>
      <c r="I89" s="8"/>
      <c r="J89" s="6"/>
    </row>
    <row r="90" spans="1:10" x14ac:dyDescent="0.2">
      <c r="A90" s="6" t="s">
        <v>101</v>
      </c>
      <c r="B90" s="3">
        <v>0</v>
      </c>
      <c r="C90" s="3">
        <v>0</v>
      </c>
      <c r="D90" s="3">
        <v>0</v>
      </c>
      <c r="E90" s="3">
        <v>0</v>
      </c>
      <c r="F90" s="3">
        <v>0</v>
      </c>
      <c r="G90" s="3">
        <v>504.04</v>
      </c>
      <c r="H90" s="3">
        <f t="shared" si="1"/>
        <v>504.04</v>
      </c>
      <c r="I90" s="8"/>
      <c r="J90" s="6"/>
    </row>
    <row r="91" spans="1:10" x14ac:dyDescent="0.2">
      <c r="A91" s="6" t="s">
        <v>146</v>
      </c>
      <c r="B91" s="3">
        <v>0</v>
      </c>
      <c r="C91" s="3">
        <v>0</v>
      </c>
      <c r="D91" s="3">
        <v>0</v>
      </c>
      <c r="E91" s="3">
        <v>0</v>
      </c>
      <c r="F91" s="3">
        <v>0</v>
      </c>
      <c r="G91" s="3">
        <v>2505.81</v>
      </c>
      <c r="H91" s="3">
        <f t="shared" si="1"/>
        <v>2505.81</v>
      </c>
      <c r="I91" s="8"/>
      <c r="J91" s="6"/>
    </row>
    <row r="92" spans="1:10" x14ac:dyDescent="0.2">
      <c r="A92" s="6" t="s">
        <v>88</v>
      </c>
      <c r="B92" s="3">
        <v>3071.61</v>
      </c>
      <c r="C92" s="3">
        <v>0</v>
      </c>
      <c r="D92" s="3">
        <v>0</v>
      </c>
      <c r="E92" s="3">
        <v>0</v>
      </c>
      <c r="F92" s="3">
        <v>0</v>
      </c>
      <c r="G92" s="3">
        <v>11180.83</v>
      </c>
      <c r="H92" s="3">
        <f t="shared" si="1"/>
        <v>14252.44</v>
      </c>
      <c r="I92" s="8"/>
      <c r="J92" s="6"/>
    </row>
    <row r="93" spans="1:10" x14ac:dyDescent="0.2">
      <c r="A93" s="6" t="s">
        <v>102</v>
      </c>
      <c r="B93" s="3">
        <v>1.04</v>
      </c>
      <c r="C93" s="3">
        <v>0</v>
      </c>
      <c r="D93" s="3">
        <v>0</v>
      </c>
      <c r="E93" s="3">
        <v>0</v>
      </c>
      <c r="F93" s="3">
        <v>0</v>
      </c>
      <c r="G93" s="3">
        <v>0</v>
      </c>
      <c r="H93" s="3">
        <f t="shared" si="1"/>
        <v>1.04</v>
      </c>
      <c r="I93" s="8"/>
      <c r="J93" s="6"/>
    </row>
    <row r="94" spans="1:10" x14ac:dyDescent="0.2">
      <c r="A94" s="6" t="s">
        <v>74</v>
      </c>
      <c r="B94" s="3">
        <v>13504.42</v>
      </c>
      <c r="C94" s="3">
        <v>780.27</v>
      </c>
      <c r="D94" s="3">
        <v>0</v>
      </c>
      <c r="E94" s="3">
        <v>0</v>
      </c>
      <c r="F94" s="3">
        <v>0</v>
      </c>
      <c r="G94" s="3">
        <v>21262.27</v>
      </c>
      <c r="H94" s="3">
        <f t="shared" si="1"/>
        <v>35546.959999999999</v>
      </c>
      <c r="I94" s="8"/>
      <c r="J94" s="6"/>
    </row>
    <row r="95" spans="1:10" x14ac:dyDescent="0.2">
      <c r="A95" s="6" t="s">
        <v>224</v>
      </c>
      <c r="B95" s="3">
        <v>7248.83</v>
      </c>
      <c r="C95" s="3">
        <v>2221.2800000000002</v>
      </c>
      <c r="D95" s="3">
        <v>0</v>
      </c>
      <c r="E95" s="3">
        <v>0</v>
      </c>
      <c r="F95" s="3">
        <v>0</v>
      </c>
      <c r="G95" s="3">
        <v>15795.78</v>
      </c>
      <c r="H95" s="3">
        <f t="shared" si="1"/>
        <v>25265.89</v>
      </c>
      <c r="I95" s="8"/>
      <c r="J95" s="6"/>
    </row>
    <row r="96" spans="1:10" x14ac:dyDescent="0.2">
      <c r="A96" s="6" t="s">
        <v>167</v>
      </c>
      <c r="B96" s="3">
        <v>969.25</v>
      </c>
      <c r="C96" s="3">
        <v>154.01</v>
      </c>
      <c r="D96" s="3">
        <v>0</v>
      </c>
      <c r="E96" s="3">
        <v>0</v>
      </c>
      <c r="F96" s="3">
        <v>0</v>
      </c>
      <c r="G96" s="3">
        <v>2464.08</v>
      </c>
      <c r="H96" s="3">
        <f t="shared" si="1"/>
        <v>3587.34</v>
      </c>
      <c r="I96" s="8"/>
      <c r="J96" s="6"/>
    </row>
    <row r="97" spans="1:10" x14ac:dyDescent="0.2">
      <c r="A97" s="6" t="s">
        <v>140</v>
      </c>
      <c r="B97" s="3">
        <v>0</v>
      </c>
      <c r="C97" s="3">
        <v>309.86</v>
      </c>
      <c r="D97" s="3">
        <v>0</v>
      </c>
      <c r="E97" s="3">
        <v>309.86</v>
      </c>
      <c r="F97" s="3">
        <v>0</v>
      </c>
      <c r="G97" s="3">
        <v>8985.8700000000008</v>
      </c>
      <c r="H97" s="3">
        <f t="shared" si="1"/>
        <v>9605.59</v>
      </c>
      <c r="I97" s="8"/>
      <c r="J97" s="6"/>
    </row>
    <row r="98" spans="1:10" x14ac:dyDescent="0.2">
      <c r="A98" s="6" t="s">
        <v>75</v>
      </c>
      <c r="B98" s="3">
        <v>2117.88</v>
      </c>
      <c r="C98" s="3">
        <v>0</v>
      </c>
      <c r="D98" s="3">
        <v>0</v>
      </c>
      <c r="E98" s="3">
        <v>0</v>
      </c>
      <c r="F98" s="3">
        <v>0</v>
      </c>
      <c r="G98" s="3">
        <v>4038.14</v>
      </c>
      <c r="H98" s="3">
        <f t="shared" si="1"/>
        <v>6156.02</v>
      </c>
      <c r="I98" s="8"/>
      <c r="J98" s="6"/>
    </row>
    <row r="99" spans="1:10" x14ac:dyDescent="0.2">
      <c r="A99" s="6" t="s">
        <v>8</v>
      </c>
      <c r="B99" s="3">
        <v>3453.15</v>
      </c>
      <c r="C99" s="3">
        <v>470.29</v>
      </c>
      <c r="D99" s="3">
        <v>0</v>
      </c>
      <c r="E99" s="3">
        <v>0</v>
      </c>
      <c r="F99" s="3">
        <v>0</v>
      </c>
      <c r="G99" s="3">
        <v>13638.48</v>
      </c>
      <c r="H99" s="3">
        <f t="shared" si="1"/>
        <v>17561.919999999998</v>
      </c>
      <c r="I99" s="8"/>
      <c r="J99" s="6"/>
    </row>
    <row r="100" spans="1:10" x14ac:dyDescent="0.2">
      <c r="A100" s="6" t="s">
        <v>96</v>
      </c>
      <c r="B100" s="3">
        <v>0</v>
      </c>
      <c r="C100" s="3">
        <v>371.48</v>
      </c>
      <c r="D100" s="3">
        <v>0</v>
      </c>
      <c r="E100" s="3">
        <v>0</v>
      </c>
      <c r="F100" s="3">
        <v>0</v>
      </c>
      <c r="G100" s="3">
        <v>13187.5</v>
      </c>
      <c r="H100" s="3">
        <f t="shared" si="1"/>
        <v>13558.98</v>
      </c>
      <c r="I100" s="8"/>
      <c r="J100" s="6"/>
    </row>
    <row r="101" spans="1:10" x14ac:dyDescent="0.2">
      <c r="A101" s="6" t="s">
        <v>94</v>
      </c>
      <c r="B101" s="3">
        <v>15181.08</v>
      </c>
      <c r="C101" s="3">
        <v>1702.69</v>
      </c>
      <c r="D101" s="3">
        <v>0</v>
      </c>
      <c r="E101" s="3">
        <v>0</v>
      </c>
      <c r="F101" s="3">
        <v>0</v>
      </c>
      <c r="G101" s="3">
        <v>36607.800000000003</v>
      </c>
      <c r="H101" s="3">
        <f t="shared" si="1"/>
        <v>53491.570000000007</v>
      </c>
      <c r="I101" s="8"/>
      <c r="J101" s="6"/>
    </row>
    <row r="102" spans="1:10" x14ac:dyDescent="0.2">
      <c r="A102" s="6" t="s">
        <v>50</v>
      </c>
      <c r="B102" s="3">
        <v>521.91999999999996</v>
      </c>
      <c r="C102" s="3">
        <v>0</v>
      </c>
      <c r="D102" s="3">
        <v>0</v>
      </c>
      <c r="E102" s="3">
        <v>0</v>
      </c>
      <c r="F102" s="3">
        <v>0</v>
      </c>
      <c r="G102" s="3">
        <v>0</v>
      </c>
      <c r="H102" s="3">
        <f t="shared" si="1"/>
        <v>521.91999999999996</v>
      </c>
      <c r="I102" s="8"/>
      <c r="J102" s="6"/>
    </row>
    <row r="103" spans="1:10" x14ac:dyDescent="0.2">
      <c r="A103" s="6" t="s">
        <v>89</v>
      </c>
      <c r="B103" s="3">
        <v>843.66</v>
      </c>
      <c r="C103" s="3">
        <v>0</v>
      </c>
      <c r="D103" s="3">
        <v>0</v>
      </c>
      <c r="E103" s="3">
        <v>0</v>
      </c>
      <c r="F103" s="3">
        <v>0</v>
      </c>
      <c r="G103" s="3">
        <v>904.84</v>
      </c>
      <c r="H103" s="3">
        <f t="shared" si="1"/>
        <v>1748.5</v>
      </c>
      <c r="I103" s="8"/>
      <c r="J103" s="6"/>
    </row>
    <row r="104" spans="1:10" x14ac:dyDescent="0.2">
      <c r="A104" s="6" t="s">
        <v>105</v>
      </c>
      <c r="B104" s="3">
        <v>1.2</v>
      </c>
      <c r="C104" s="3">
        <v>0</v>
      </c>
      <c r="D104" s="3">
        <v>0</v>
      </c>
      <c r="E104" s="3">
        <v>0</v>
      </c>
      <c r="F104" s="3">
        <v>0</v>
      </c>
      <c r="G104" s="3">
        <v>0</v>
      </c>
      <c r="H104" s="3">
        <f t="shared" si="1"/>
        <v>1.2</v>
      </c>
      <c r="I104" s="8"/>
      <c r="J104" s="6"/>
    </row>
    <row r="105" spans="1:10" x14ac:dyDescent="0.2">
      <c r="A105" s="6" t="s">
        <v>84</v>
      </c>
      <c r="B105" s="3">
        <v>0</v>
      </c>
      <c r="C105" s="3">
        <v>0</v>
      </c>
      <c r="D105" s="3">
        <v>0</v>
      </c>
      <c r="E105" s="3">
        <v>0</v>
      </c>
      <c r="F105" s="3">
        <v>0</v>
      </c>
      <c r="G105" s="3">
        <v>1503.61</v>
      </c>
      <c r="H105" s="3">
        <f t="shared" si="1"/>
        <v>1503.61</v>
      </c>
      <c r="I105" s="8"/>
      <c r="J105" s="6"/>
    </row>
    <row r="106" spans="1:10" x14ac:dyDescent="0.2">
      <c r="A106" s="6" t="s">
        <v>91</v>
      </c>
      <c r="B106" s="3">
        <v>473.87</v>
      </c>
      <c r="C106" s="3">
        <v>0</v>
      </c>
      <c r="D106" s="3">
        <v>0</v>
      </c>
      <c r="E106" s="3">
        <v>0</v>
      </c>
      <c r="F106" s="3">
        <v>0</v>
      </c>
      <c r="G106" s="3">
        <v>677.65</v>
      </c>
      <c r="H106" s="3">
        <f t="shared" si="1"/>
        <v>1151.52</v>
      </c>
      <c r="I106" s="8"/>
      <c r="J106" s="6"/>
    </row>
    <row r="107" spans="1:10" x14ac:dyDescent="0.2">
      <c r="A107" s="6" t="s">
        <v>87</v>
      </c>
      <c r="B107" s="3">
        <v>145.01</v>
      </c>
      <c r="C107" s="3">
        <v>0</v>
      </c>
      <c r="D107" s="3">
        <v>0</v>
      </c>
      <c r="E107" s="3">
        <v>0</v>
      </c>
      <c r="F107" s="3">
        <v>0</v>
      </c>
      <c r="G107" s="3">
        <v>414.73</v>
      </c>
      <c r="H107" s="3">
        <f t="shared" si="1"/>
        <v>559.74</v>
      </c>
      <c r="I107" s="8"/>
      <c r="J107" s="6"/>
    </row>
    <row r="108" spans="1:10" x14ac:dyDescent="0.2">
      <c r="A108" s="6" t="s">
        <v>165</v>
      </c>
      <c r="B108" s="3">
        <v>13533.49</v>
      </c>
      <c r="C108" s="3">
        <v>860.14</v>
      </c>
      <c r="D108" s="3">
        <v>0</v>
      </c>
      <c r="E108" s="3">
        <v>0</v>
      </c>
      <c r="F108" s="3">
        <v>0</v>
      </c>
      <c r="G108" s="3">
        <v>23223.82</v>
      </c>
      <c r="H108" s="3">
        <f t="shared" si="1"/>
        <v>37617.449999999997</v>
      </c>
      <c r="I108" s="8"/>
      <c r="J108" s="6"/>
    </row>
    <row r="109" spans="1:10" x14ac:dyDescent="0.2">
      <c r="A109" s="6" t="s">
        <v>68</v>
      </c>
      <c r="B109" s="3">
        <v>27021.69</v>
      </c>
      <c r="C109" s="3">
        <v>4760.2</v>
      </c>
      <c r="D109" s="3">
        <v>0</v>
      </c>
      <c r="E109" s="3">
        <v>0</v>
      </c>
      <c r="F109" s="3">
        <v>0</v>
      </c>
      <c r="G109" s="3">
        <v>57962.39</v>
      </c>
      <c r="H109" s="3">
        <f t="shared" si="1"/>
        <v>89744.28</v>
      </c>
      <c r="I109" s="8"/>
      <c r="J109" s="6"/>
    </row>
    <row r="110" spans="1:10" x14ac:dyDescent="0.2">
      <c r="A110" s="6" t="s">
        <v>225</v>
      </c>
      <c r="B110" s="3">
        <v>2898.72</v>
      </c>
      <c r="C110" s="3">
        <v>0</v>
      </c>
      <c r="D110" s="3">
        <v>0</v>
      </c>
      <c r="E110" s="3">
        <v>0</v>
      </c>
      <c r="F110" s="3">
        <v>0</v>
      </c>
      <c r="G110" s="3">
        <v>11399.38</v>
      </c>
      <c r="H110" s="3">
        <f t="shared" si="1"/>
        <v>14298.099999999999</v>
      </c>
      <c r="I110" s="8"/>
      <c r="J110" s="6"/>
    </row>
    <row r="111" spans="1:10" x14ac:dyDescent="0.2">
      <c r="A111" s="6" t="s">
        <v>160</v>
      </c>
      <c r="B111" s="3">
        <v>447.48</v>
      </c>
      <c r="C111" s="3">
        <v>0</v>
      </c>
      <c r="D111" s="3">
        <v>0</v>
      </c>
      <c r="E111" s="3">
        <v>0</v>
      </c>
      <c r="F111" s="3">
        <v>0</v>
      </c>
      <c r="G111" s="3">
        <v>0</v>
      </c>
      <c r="H111" s="3">
        <f t="shared" si="1"/>
        <v>447.48</v>
      </c>
      <c r="I111" s="8"/>
      <c r="J111" s="6"/>
    </row>
    <row r="112" spans="1:10" x14ac:dyDescent="0.2">
      <c r="A112" s="6" t="s">
        <v>10</v>
      </c>
      <c r="B112" s="3">
        <v>3384</v>
      </c>
      <c r="C112" s="3">
        <v>1328.41</v>
      </c>
      <c r="D112" s="3">
        <v>0</v>
      </c>
      <c r="E112" s="3">
        <v>0</v>
      </c>
      <c r="F112" s="3">
        <v>0</v>
      </c>
      <c r="G112" s="3">
        <v>8919.31</v>
      </c>
      <c r="H112" s="3">
        <f t="shared" si="1"/>
        <v>13631.72</v>
      </c>
      <c r="I112" s="8"/>
      <c r="J112" s="6"/>
    </row>
    <row r="113" spans="1:10" x14ac:dyDescent="0.2">
      <c r="A113" s="6" t="s">
        <v>4</v>
      </c>
      <c r="B113" s="3">
        <v>0</v>
      </c>
      <c r="C113" s="3">
        <v>0</v>
      </c>
      <c r="D113" s="3">
        <v>0</v>
      </c>
      <c r="E113" s="3">
        <v>0</v>
      </c>
      <c r="F113" s="3">
        <v>0</v>
      </c>
      <c r="G113" s="3">
        <v>1566.76</v>
      </c>
      <c r="H113" s="3">
        <f t="shared" si="1"/>
        <v>1566.76</v>
      </c>
      <c r="I113" s="8"/>
      <c r="J113" s="6"/>
    </row>
    <row r="114" spans="1:10" x14ac:dyDescent="0.2">
      <c r="A114" s="6" t="s">
        <v>48</v>
      </c>
      <c r="B114" s="3">
        <v>0</v>
      </c>
      <c r="C114" s="3">
        <v>0</v>
      </c>
      <c r="D114" s="3">
        <v>0</v>
      </c>
      <c r="E114" s="3">
        <v>0</v>
      </c>
      <c r="F114" s="3">
        <v>0</v>
      </c>
      <c r="G114" s="3">
        <v>1469.31</v>
      </c>
      <c r="H114" s="3">
        <f t="shared" si="1"/>
        <v>1469.31</v>
      </c>
      <c r="I114" s="8"/>
      <c r="J114" s="6"/>
    </row>
    <row r="115" spans="1:10" x14ac:dyDescent="0.2">
      <c r="A115" s="6" t="s">
        <v>120</v>
      </c>
      <c r="B115" s="3">
        <v>1930.83</v>
      </c>
      <c r="C115" s="3">
        <v>276.11</v>
      </c>
      <c r="D115" s="3">
        <v>0</v>
      </c>
      <c r="E115" s="3">
        <v>0</v>
      </c>
      <c r="F115" s="3">
        <v>0</v>
      </c>
      <c r="G115" s="3">
        <v>3957.62</v>
      </c>
      <c r="H115" s="3">
        <f t="shared" si="1"/>
        <v>6164.5599999999995</v>
      </c>
      <c r="I115" s="8"/>
      <c r="J115" s="6"/>
    </row>
    <row r="116" spans="1:10" x14ac:dyDescent="0.2">
      <c r="A116" s="6" t="s">
        <v>118</v>
      </c>
      <c r="B116" s="3">
        <v>1515.67</v>
      </c>
      <c r="C116" s="3">
        <v>0</v>
      </c>
      <c r="D116" s="3">
        <v>0</v>
      </c>
      <c r="E116" s="3">
        <v>0</v>
      </c>
      <c r="F116" s="3">
        <v>0</v>
      </c>
      <c r="G116" s="3">
        <v>2167.44</v>
      </c>
      <c r="H116" s="3">
        <f t="shared" si="1"/>
        <v>3683.11</v>
      </c>
      <c r="I116" s="8"/>
      <c r="J116" s="6"/>
    </row>
    <row r="117" spans="1:10" x14ac:dyDescent="0.2">
      <c r="A117" s="6" t="s">
        <v>28</v>
      </c>
      <c r="B117" s="3">
        <v>0</v>
      </c>
      <c r="C117" s="3">
        <v>0</v>
      </c>
      <c r="D117" s="3">
        <v>0</v>
      </c>
      <c r="E117" s="3">
        <v>0</v>
      </c>
      <c r="F117" s="3">
        <v>0</v>
      </c>
      <c r="G117" s="3">
        <v>5994.64</v>
      </c>
      <c r="H117" s="3">
        <f t="shared" si="1"/>
        <v>5994.64</v>
      </c>
      <c r="I117" s="8"/>
      <c r="J117" s="6"/>
    </row>
    <row r="118" spans="1:10" x14ac:dyDescent="0.2">
      <c r="A118" s="6" t="s">
        <v>134</v>
      </c>
      <c r="B118" s="3">
        <v>2890.97</v>
      </c>
      <c r="C118" s="3">
        <v>0</v>
      </c>
      <c r="D118" s="3">
        <v>0</v>
      </c>
      <c r="E118" s="3">
        <v>0</v>
      </c>
      <c r="F118" s="3">
        <v>0</v>
      </c>
      <c r="G118" s="3">
        <v>3307.31</v>
      </c>
      <c r="H118" s="3">
        <f t="shared" si="1"/>
        <v>6198.28</v>
      </c>
      <c r="I118" s="8"/>
      <c r="J118" s="6"/>
    </row>
    <row r="119" spans="1:10" x14ac:dyDescent="0.2">
      <c r="A119" s="6" t="s">
        <v>135</v>
      </c>
      <c r="B119" s="3">
        <v>1770.43</v>
      </c>
      <c r="C119" s="3">
        <v>0</v>
      </c>
      <c r="D119" s="3">
        <v>0</v>
      </c>
      <c r="E119" s="3">
        <v>0</v>
      </c>
      <c r="F119" s="3">
        <v>0</v>
      </c>
      <c r="G119" s="3">
        <v>2362.9699999999998</v>
      </c>
      <c r="H119" s="3">
        <f t="shared" si="1"/>
        <v>4133.3999999999996</v>
      </c>
      <c r="I119" s="8"/>
      <c r="J119" s="6"/>
    </row>
    <row r="120" spans="1:10" x14ac:dyDescent="0.2">
      <c r="A120" s="6" t="s">
        <v>163</v>
      </c>
      <c r="B120" s="3">
        <v>5938.07</v>
      </c>
      <c r="C120" s="3">
        <v>492.26</v>
      </c>
      <c r="D120" s="3">
        <v>246.13</v>
      </c>
      <c r="E120" s="3">
        <v>0</v>
      </c>
      <c r="F120" s="3">
        <v>0</v>
      </c>
      <c r="G120" s="3">
        <v>16983.150000000001</v>
      </c>
      <c r="H120" s="3">
        <f t="shared" si="1"/>
        <v>23659.61</v>
      </c>
      <c r="I120" s="8"/>
      <c r="J120" s="6"/>
    </row>
    <row r="121" spans="1:10" x14ac:dyDescent="0.2">
      <c r="A121" s="6" t="s">
        <v>26</v>
      </c>
      <c r="B121" s="3">
        <v>4669.76</v>
      </c>
      <c r="C121" s="3">
        <v>1369.82</v>
      </c>
      <c r="D121" s="3">
        <v>0</v>
      </c>
      <c r="E121" s="3">
        <v>0</v>
      </c>
      <c r="F121" s="3">
        <v>0</v>
      </c>
      <c r="G121" s="3">
        <v>10958.54</v>
      </c>
      <c r="H121" s="3">
        <f t="shared" si="1"/>
        <v>16998.120000000003</v>
      </c>
      <c r="I121" s="8"/>
      <c r="J121" s="6"/>
    </row>
    <row r="122" spans="1:10" x14ac:dyDescent="0.2">
      <c r="A122" s="6" t="s">
        <v>9</v>
      </c>
      <c r="B122" s="3">
        <v>17583.66</v>
      </c>
      <c r="C122" s="3">
        <v>3200.27</v>
      </c>
      <c r="D122" s="3">
        <v>0</v>
      </c>
      <c r="E122" s="3">
        <v>0</v>
      </c>
      <c r="F122" s="3">
        <v>0</v>
      </c>
      <c r="G122" s="3">
        <v>49070.86</v>
      </c>
      <c r="H122" s="3">
        <f t="shared" si="1"/>
        <v>69854.790000000008</v>
      </c>
      <c r="I122" s="8"/>
      <c r="J122" s="6"/>
    </row>
    <row r="123" spans="1:10" x14ac:dyDescent="0.2">
      <c r="A123" s="6" t="s">
        <v>36</v>
      </c>
      <c r="B123" s="3">
        <v>160.41</v>
      </c>
      <c r="C123" s="3">
        <v>0</v>
      </c>
      <c r="D123" s="3">
        <v>0</v>
      </c>
      <c r="E123" s="3">
        <v>0</v>
      </c>
      <c r="F123" s="3">
        <v>0</v>
      </c>
      <c r="G123" s="3">
        <v>917.53</v>
      </c>
      <c r="H123" s="3">
        <f t="shared" si="1"/>
        <v>1077.94</v>
      </c>
      <c r="I123" s="8"/>
      <c r="J123" s="6"/>
    </row>
    <row r="124" spans="1:10" x14ac:dyDescent="0.2">
      <c r="A124" s="6" t="s">
        <v>77</v>
      </c>
      <c r="B124" s="3">
        <v>876.8</v>
      </c>
      <c r="C124" s="3">
        <v>0</v>
      </c>
      <c r="D124" s="3">
        <v>0</v>
      </c>
      <c r="E124" s="3">
        <v>0</v>
      </c>
      <c r="F124" s="3">
        <v>0</v>
      </c>
      <c r="G124" s="3">
        <v>1671.8</v>
      </c>
      <c r="H124" s="3">
        <f t="shared" si="1"/>
        <v>2548.6</v>
      </c>
      <c r="I124" s="8"/>
      <c r="J124" s="6"/>
    </row>
    <row r="125" spans="1:10" x14ac:dyDescent="0.2">
      <c r="A125" s="6" t="s">
        <v>114</v>
      </c>
      <c r="B125" s="3">
        <v>1455.29</v>
      </c>
      <c r="C125" s="3">
        <v>554.96</v>
      </c>
      <c r="D125" s="3">
        <v>0</v>
      </c>
      <c r="E125" s="3">
        <v>0</v>
      </c>
      <c r="F125" s="3">
        <v>0</v>
      </c>
      <c r="G125" s="3">
        <v>6382.02</v>
      </c>
      <c r="H125" s="3">
        <f t="shared" si="1"/>
        <v>8392.27</v>
      </c>
      <c r="I125" s="8"/>
      <c r="J125" s="6"/>
    </row>
    <row r="126" spans="1:10" x14ac:dyDescent="0.2">
      <c r="A126" s="6" t="s">
        <v>142</v>
      </c>
      <c r="B126" s="3">
        <v>199.89</v>
      </c>
      <c r="C126" s="3">
        <v>0</v>
      </c>
      <c r="D126" s="3">
        <v>0</v>
      </c>
      <c r="E126" s="3">
        <v>0</v>
      </c>
      <c r="F126" s="3">
        <v>0</v>
      </c>
      <c r="G126" s="3">
        <v>381.13</v>
      </c>
      <c r="H126" s="3">
        <f t="shared" si="1"/>
        <v>581.02</v>
      </c>
      <c r="I126" s="8"/>
      <c r="J126" s="6"/>
    </row>
    <row r="127" spans="1:10" x14ac:dyDescent="0.2">
      <c r="A127" s="6" t="s">
        <v>116</v>
      </c>
      <c r="B127" s="3">
        <v>5526.26</v>
      </c>
      <c r="C127" s="3">
        <v>202.63</v>
      </c>
      <c r="D127" s="3">
        <v>0</v>
      </c>
      <c r="E127" s="3">
        <v>0</v>
      </c>
      <c r="F127" s="3">
        <v>0</v>
      </c>
      <c r="G127" s="3">
        <v>2634.23</v>
      </c>
      <c r="H127" s="3">
        <f t="shared" si="1"/>
        <v>8363.1200000000008</v>
      </c>
      <c r="I127" s="8"/>
      <c r="J127" s="6"/>
    </row>
    <row r="128" spans="1:10" x14ac:dyDescent="0.2">
      <c r="A128" s="6" t="s">
        <v>226</v>
      </c>
      <c r="B128" s="3">
        <v>8785.9699999999993</v>
      </c>
      <c r="C128" s="3">
        <v>905.52</v>
      </c>
      <c r="D128" s="3">
        <v>0</v>
      </c>
      <c r="E128" s="3">
        <v>0</v>
      </c>
      <c r="F128" s="3">
        <v>0</v>
      </c>
      <c r="G128" s="3">
        <v>16978.54</v>
      </c>
      <c r="H128" s="3">
        <f t="shared" si="1"/>
        <v>26670.03</v>
      </c>
      <c r="I128" s="8"/>
      <c r="J128" s="6"/>
    </row>
    <row r="129" spans="1:10" x14ac:dyDescent="0.2">
      <c r="A129" s="6" t="s">
        <v>103</v>
      </c>
      <c r="B129" s="3">
        <v>939</v>
      </c>
      <c r="C129" s="3">
        <v>0</v>
      </c>
      <c r="D129" s="3">
        <v>0</v>
      </c>
      <c r="E129" s="3">
        <v>0</v>
      </c>
      <c r="F129" s="3">
        <v>0</v>
      </c>
      <c r="G129" s="3">
        <v>3879.18</v>
      </c>
      <c r="H129" s="3">
        <f t="shared" si="1"/>
        <v>4818.18</v>
      </c>
      <c r="I129" s="8"/>
      <c r="J129" s="6"/>
    </row>
    <row r="130" spans="1:10" x14ac:dyDescent="0.2">
      <c r="A130" s="6" t="s">
        <v>33</v>
      </c>
      <c r="B130" s="3">
        <v>2126.15</v>
      </c>
      <c r="C130" s="3">
        <v>506.74</v>
      </c>
      <c r="D130" s="3">
        <v>0</v>
      </c>
      <c r="E130" s="3">
        <v>0</v>
      </c>
      <c r="F130" s="3">
        <v>0</v>
      </c>
      <c r="G130" s="3">
        <v>2026.96</v>
      </c>
      <c r="H130" s="3">
        <f t="shared" ref="H130:H193" si="2">SUM(B130:G130)</f>
        <v>4659.8500000000004</v>
      </c>
      <c r="I130" s="8"/>
      <c r="J130" s="6"/>
    </row>
    <row r="131" spans="1:10" x14ac:dyDescent="0.2">
      <c r="A131" s="6" t="s">
        <v>90</v>
      </c>
      <c r="B131" s="3">
        <v>3040.05</v>
      </c>
      <c r="C131" s="3">
        <v>0</v>
      </c>
      <c r="D131" s="3">
        <v>0</v>
      </c>
      <c r="E131" s="3">
        <v>0</v>
      </c>
      <c r="F131" s="3">
        <v>0</v>
      </c>
      <c r="G131" s="3">
        <v>7535.39</v>
      </c>
      <c r="H131" s="3">
        <f t="shared" si="2"/>
        <v>10575.44</v>
      </c>
      <c r="I131" s="8"/>
      <c r="J131" s="6"/>
    </row>
    <row r="132" spans="1:10" x14ac:dyDescent="0.2">
      <c r="A132" s="6" t="s">
        <v>227</v>
      </c>
      <c r="B132" s="3">
        <v>3797.05</v>
      </c>
      <c r="C132" s="3">
        <v>0</v>
      </c>
      <c r="D132" s="3">
        <v>0</v>
      </c>
      <c r="E132" s="3">
        <v>0</v>
      </c>
      <c r="F132" s="3">
        <v>0</v>
      </c>
      <c r="G132" s="3">
        <v>10678.72</v>
      </c>
      <c r="H132" s="3">
        <f t="shared" si="2"/>
        <v>14475.77</v>
      </c>
      <c r="I132" s="8"/>
      <c r="J132" s="6"/>
    </row>
    <row r="133" spans="1:10" x14ac:dyDescent="0.2">
      <c r="A133" s="6" t="s">
        <v>13</v>
      </c>
      <c r="B133" s="3">
        <v>11581.16</v>
      </c>
      <c r="C133" s="3">
        <v>3600.28</v>
      </c>
      <c r="D133" s="3">
        <v>0</v>
      </c>
      <c r="E133" s="3">
        <v>0</v>
      </c>
      <c r="F133" s="3">
        <v>0</v>
      </c>
      <c r="G133" s="3">
        <v>28562.25</v>
      </c>
      <c r="H133" s="3">
        <f t="shared" si="2"/>
        <v>43743.69</v>
      </c>
      <c r="I133" s="8"/>
      <c r="J133" s="6"/>
    </row>
    <row r="134" spans="1:10" x14ac:dyDescent="0.2">
      <c r="A134" s="6" t="s">
        <v>11</v>
      </c>
      <c r="B134" s="3">
        <v>6862.95</v>
      </c>
      <c r="C134" s="3">
        <v>1090.46</v>
      </c>
      <c r="D134" s="3">
        <v>0</v>
      </c>
      <c r="E134" s="3">
        <v>0</v>
      </c>
      <c r="F134" s="3">
        <v>0</v>
      </c>
      <c r="G134" s="3">
        <v>15048.39</v>
      </c>
      <c r="H134" s="3">
        <f t="shared" si="2"/>
        <v>23001.8</v>
      </c>
      <c r="I134" s="8"/>
      <c r="J134" s="6"/>
    </row>
    <row r="135" spans="1:10" x14ac:dyDescent="0.2">
      <c r="A135" s="6" t="s">
        <v>76</v>
      </c>
      <c r="B135" s="3">
        <v>284.79000000000002</v>
      </c>
      <c r="C135" s="3">
        <v>0</v>
      </c>
      <c r="D135" s="3">
        <v>0</v>
      </c>
      <c r="E135" s="3">
        <v>0</v>
      </c>
      <c r="F135" s="3">
        <v>0</v>
      </c>
      <c r="G135" s="3">
        <v>271.5</v>
      </c>
      <c r="H135" s="3">
        <f t="shared" si="2"/>
        <v>556.29</v>
      </c>
      <c r="I135" s="8"/>
      <c r="J135" s="6"/>
    </row>
    <row r="136" spans="1:10" x14ac:dyDescent="0.2">
      <c r="A136" s="6" t="s">
        <v>122</v>
      </c>
      <c r="B136" s="3">
        <v>2988.77</v>
      </c>
      <c r="C136" s="3">
        <v>438.36</v>
      </c>
      <c r="D136" s="3">
        <v>0</v>
      </c>
      <c r="E136" s="3">
        <v>0</v>
      </c>
      <c r="F136" s="3">
        <v>0</v>
      </c>
      <c r="G136" s="3">
        <v>11397.37</v>
      </c>
      <c r="H136" s="3">
        <f t="shared" si="2"/>
        <v>14824.5</v>
      </c>
      <c r="I136" s="8"/>
      <c r="J136" s="6"/>
    </row>
    <row r="137" spans="1:10" x14ac:dyDescent="0.2">
      <c r="A137" s="6" t="s">
        <v>228</v>
      </c>
      <c r="B137" s="3">
        <v>5224.3100000000004</v>
      </c>
      <c r="C137" s="3">
        <v>1171.9000000000001</v>
      </c>
      <c r="D137" s="3">
        <v>0</v>
      </c>
      <c r="E137" s="3">
        <v>0</v>
      </c>
      <c r="F137" s="3">
        <v>0</v>
      </c>
      <c r="G137" s="3">
        <v>16699.59</v>
      </c>
      <c r="H137" s="3">
        <f t="shared" si="2"/>
        <v>23095.800000000003</v>
      </c>
      <c r="I137" s="8"/>
      <c r="J137" s="6"/>
    </row>
    <row r="138" spans="1:10" x14ac:dyDescent="0.2">
      <c r="A138" s="6" t="s">
        <v>131</v>
      </c>
      <c r="B138" s="3">
        <v>0</v>
      </c>
      <c r="C138" s="3">
        <v>1054.96</v>
      </c>
      <c r="D138" s="3">
        <v>0</v>
      </c>
      <c r="E138" s="3">
        <v>0</v>
      </c>
      <c r="F138" s="3">
        <v>0</v>
      </c>
      <c r="G138" s="3">
        <v>0</v>
      </c>
      <c r="H138" s="3">
        <f t="shared" si="2"/>
        <v>1054.96</v>
      </c>
      <c r="I138" s="8"/>
      <c r="J138" s="6"/>
    </row>
    <row r="139" spans="1:10" x14ac:dyDescent="0.2">
      <c r="A139" s="6" t="s">
        <v>6</v>
      </c>
      <c r="B139" s="3">
        <v>4937.2700000000004</v>
      </c>
      <c r="C139" s="3">
        <v>522.99</v>
      </c>
      <c r="D139" s="3">
        <v>0</v>
      </c>
      <c r="E139" s="3">
        <v>0</v>
      </c>
      <c r="F139" s="3">
        <v>0</v>
      </c>
      <c r="G139" s="3">
        <v>7844.89</v>
      </c>
      <c r="H139" s="3">
        <f t="shared" si="2"/>
        <v>13305.150000000001</v>
      </c>
      <c r="I139" s="8"/>
      <c r="J139" s="6"/>
    </row>
    <row r="140" spans="1:10" x14ac:dyDescent="0.2">
      <c r="A140" s="6" t="s">
        <v>60</v>
      </c>
      <c r="B140" s="3">
        <v>8133.12</v>
      </c>
      <c r="C140" s="3">
        <v>674.23</v>
      </c>
      <c r="D140" s="3">
        <v>0</v>
      </c>
      <c r="E140" s="3">
        <v>0</v>
      </c>
      <c r="F140" s="3">
        <v>0</v>
      </c>
      <c r="G140" s="3">
        <v>13484.67</v>
      </c>
      <c r="H140" s="3">
        <f t="shared" si="2"/>
        <v>22292.02</v>
      </c>
      <c r="I140" s="8"/>
      <c r="J140" s="6"/>
    </row>
    <row r="141" spans="1:10" x14ac:dyDescent="0.2">
      <c r="A141" s="6" t="s">
        <v>137</v>
      </c>
      <c r="B141" s="3">
        <v>361.46</v>
      </c>
      <c r="C141" s="3">
        <v>0</v>
      </c>
      <c r="D141" s="3">
        <v>0</v>
      </c>
      <c r="E141" s="3">
        <v>0</v>
      </c>
      <c r="F141" s="3">
        <v>0</v>
      </c>
      <c r="G141" s="3">
        <v>1206.0999999999999</v>
      </c>
      <c r="H141" s="3">
        <f t="shared" si="2"/>
        <v>1567.56</v>
      </c>
      <c r="I141" s="8"/>
      <c r="J141" s="6"/>
    </row>
    <row r="142" spans="1:10" x14ac:dyDescent="0.2">
      <c r="A142" s="6" t="s">
        <v>53</v>
      </c>
      <c r="B142" s="3">
        <v>0</v>
      </c>
      <c r="C142" s="3">
        <v>0</v>
      </c>
      <c r="D142" s="3">
        <v>0</v>
      </c>
      <c r="E142" s="3">
        <v>0</v>
      </c>
      <c r="F142" s="3">
        <v>0</v>
      </c>
      <c r="G142" s="3">
        <v>0</v>
      </c>
      <c r="H142" s="3">
        <f t="shared" si="2"/>
        <v>0</v>
      </c>
      <c r="I142" s="8"/>
      <c r="J142" s="6"/>
    </row>
    <row r="143" spans="1:10" x14ac:dyDescent="0.2">
      <c r="A143" s="6" t="s">
        <v>229</v>
      </c>
      <c r="B143" s="3">
        <v>0</v>
      </c>
      <c r="C143" s="3">
        <v>0</v>
      </c>
      <c r="D143" s="3">
        <v>0</v>
      </c>
      <c r="E143" s="3">
        <v>0</v>
      </c>
      <c r="F143" s="3">
        <v>0</v>
      </c>
      <c r="G143" s="3">
        <v>204.67</v>
      </c>
      <c r="H143" s="3">
        <f t="shared" si="2"/>
        <v>204.67</v>
      </c>
      <c r="I143" s="8"/>
      <c r="J143" s="6"/>
    </row>
    <row r="144" spans="1:10" x14ac:dyDescent="0.2">
      <c r="A144" s="6" t="s">
        <v>67</v>
      </c>
      <c r="B144" s="3">
        <v>1023.1</v>
      </c>
      <c r="C144" s="3">
        <v>0</v>
      </c>
      <c r="D144" s="3">
        <v>0</v>
      </c>
      <c r="E144" s="3">
        <v>0</v>
      </c>
      <c r="F144" s="3">
        <v>0</v>
      </c>
      <c r="G144" s="3">
        <v>0</v>
      </c>
      <c r="H144" s="3">
        <f t="shared" si="2"/>
        <v>1023.1</v>
      </c>
      <c r="I144" s="8"/>
      <c r="J144" s="6"/>
    </row>
    <row r="145" spans="1:10" x14ac:dyDescent="0.2">
      <c r="A145" s="6" t="s">
        <v>80</v>
      </c>
      <c r="B145" s="3">
        <v>856.33</v>
      </c>
      <c r="C145" s="3">
        <v>0</v>
      </c>
      <c r="D145" s="3">
        <v>0</v>
      </c>
      <c r="E145" s="3">
        <v>0</v>
      </c>
      <c r="F145" s="3">
        <v>0</v>
      </c>
      <c r="G145" s="3">
        <v>2449.15</v>
      </c>
      <c r="H145" s="3">
        <f t="shared" si="2"/>
        <v>3305.48</v>
      </c>
      <c r="I145" s="8"/>
      <c r="J145" s="6"/>
    </row>
    <row r="146" spans="1:10" x14ac:dyDescent="0.2">
      <c r="A146" s="6" t="s">
        <v>78</v>
      </c>
      <c r="B146" s="3">
        <v>0</v>
      </c>
      <c r="C146" s="3">
        <v>0</v>
      </c>
      <c r="D146" s="3">
        <v>0</v>
      </c>
      <c r="E146" s="3">
        <v>0</v>
      </c>
      <c r="F146" s="3">
        <v>0</v>
      </c>
      <c r="G146" s="3">
        <v>0</v>
      </c>
      <c r="H146" s="3">
        <f t="shared" si="2"/>
        <v>0</v>
      </c>
      <c r="I146" s="8"/>
      <c r="J146" s="6"/>
    </row>
    <row r="147" spans="1:10" x14ac:dyDescent="0.2">
      <c r="A147" s="6" t="s">
        <v>230</v>
      </c>
      <c r="B147" s="3">
        <v>751.8</v>
      </c>
      <c r="C147" s="3">
        <v>0</v>
      </c>
      <c r="D147" s="3">
        <v>0</v>
      </c>
      <c r="E147" s="3">
        <v>0</v>
      </c>
      <c r="F147" s="3">
        <v>0</v>
      </c>
      <c r="G147" s="3">
        <v>1791.81</v>
      </c>
      <c r="H147" s="3">
        <f t="shared" si="2"/>
        <v>2543.6099999999997</v>
      </c>
      <c r="I147" s="8"/>
      <c r="J147" s="6"/>
    </row>
    <row r="148" spans="1:10" x14ac:dyDescent="0.2">
      <c r="A148" s="6" t="s">
        <v>121</v>
      </c>
      <c r="B148" s="3">
        <v>93281.66</v>
      </c>
      <c r="C148" s="3">
        <v>17620.77</v>
      </c>
      <c r="D148" s="3">
        <v>0</v>
      </c>
      <c r="E148" s="3">
        <v>0</v>
      </c>
      <c r="F148" s="3">
        <v>0</v>
      </c>
      <c r="G148" s="3">
        <v>236503.82</v>
      </c>
      <c r="H148" s="3">
        <f t="shared" si="2"/>
        <v>347406.25</v>
      </c>
      <c r="I148" s="8"/>
      <c r="J148" s="6"/>
    </row>
    <row r="149" spans="1:10" x14ac:dyDescent="0.2">
      <c r="A149" s="6" t="s">
        <v>27</v>
      </c>
      <c r="B149" s="3">
        <v>0</v>
      </c>
      <c r="C149" s="3">
        <v>0</v>
      </c>
      <c r="D149" s="3">
        <v>0</v>
      </c>
      <c r="E149" s="3">
        <v>0</v>
      </c>
      <c r="F149" s="3">
        <v>0</v>
      </c>
      <c r="G149" s="3">
        <v>183.28</v>
      </c>
      <c r="H149" s="3">
        <f t="shared" si="2"/>
        <v>183.28</v>
      </c>
      <c r="I149" s="8"/>
      <c r="J149" s="6"/>
    </row>
    <row r="150" spans="1:10" x14ac:dyDescent="0.2">
      <c r="A150" s="6" t="s">
        <v>47</v>
      </c>
      <c r="B150" s="3">
        <v>695.7</v>
      </c>
      <c r="C150" s="3">
        <v>0</v>
      </c>
      <c r="D150" s="3">
        <v>0</v>
      </c>
      <c r="E150" s="3">
        <v>0</v>
      </c>
      <c r="F150" s="3">
        <v>0</v>
      </c>
      <c r="G150" s="3">
        <v>1326.49</v>
      </c>
      <c r="H150" s="3">
        <f t="shared" si="2"/>
        <v>2022.19</v>
      </c>
      <c r="I150" s="8"/>
      <c r="J150" s="6"/>
    </row>
    <row r="151" spans="1:10" x14ac:dyDescent="0.2">
      <c r="A151" s="6" t="s">
        <v>65</v>
      </c>
      <c r="B151" s="3">
        <v>1087.26</v>
      </c>
      <c r="C151" s="3">
        <v>0</v>
      </c>
      <c r="D151" s="3">
        <v>0</v>
      </c>
      <c r="E151" s="3">
        <v>0</v>
      </c>
      <c r="F151" s="3">
        <v>0</v>
      </c>
      <c r="G151" s="3">
        <v>0</v>
      </c>
      <c r="H151" s="3">
        <f t="shared" si="2"/>
        <v>1087.26</v>
      </c>
      <c r="I151" s="8"/>
      <c r="J151" s="6"/>
    </row>
    <row r="152" spans="1:10" x14ac:dyDescent="0.2">
      <c r="A152" s="6" t="s">
        <v>21</v>
      </c>
      <c r="B152" s="3">
        <v>1955.1</v>
      </c>
      <c r="C152" s="3">
        <v>0</v>
      </c>
      <c r="D152" s="3">
        <v>0</v>
      </c>
      <c r="E152" s="3">
        <v>0</v>
      </c>
      <c r="F152" s="3">
        <v>0</v>
      </c>
      <c r="G152" s="3">
        <v>3261.81</v>
      </c>
      <c r="H152" s="3">
        <f t="shared" si="2"/>
        <v>5216.91</v>
      </c>
      <c r="I152" s="8"/>
      <c r="J152" s="6"/>
    </row>
    <row r="153" spans="1:10" x14ac:dyDescent="0.2">
      <c r="A153" s="6" t="s">
        <v>31</v>
      </c>
      <c r="B153" s="3">
        <v>5718.58</v>
      </c>
      <c r="C153" s="3">
        <v>1060.07</v>
      </c>
      <c r="D153" s="3">
        <v>0</v>
      </c>
      <c r="E153" s="3">
        <v>0</v>
      </c>
      <c r="F153" s="3">
        <v>0</v>
      </c>
      <c r="G153" s="3">
        <v>15749.64</v>
      </c>
      <c r="H153" s="3">
        <f t="shared" si="2"/>
        <v>22528.29</v>
      </c>
      <c r="I153" s="8"/>
      <c r="J153" s="6"/>
    </row>
    <row r="154" spans="1:10" x14ac:dyDescent="0.2">
      <c r="A154" s="6" t="s">
        <v>41</v>
      </c>
      <c r="B154" s="3">
        <v>0</v>
      </c>
      <c r="C154" s="3">
        <v>0</v>
      </c>
      <c r="D154" s="3">
        <v>0</v>
      </c>
      <c r="E154" s="3">
        <v>0</v>
      </c>
      <c r="F154" s="3">
        <v>0</v>
      </c>
      <c r="G154" s="3">
        <v>7337.83</v>
      </c>
      <c r="H154" s="3">
        <f t="shared" si="2"/>
        <v>7337.83</v>
      </c>
      <c r="I154" s="8"/>
      <c r="J154" s="6"/>
    </row>
    <row r="155" spans="1:10" x14ac:dyDescent="0.2">
      <c r="A155" s="6" t="s">
        <v>123</v>
      </c>
      <c r="B155" s="3">
        <v>11616.15</v>
      </c>
      <c r="C155" s="3">
        <v>1945.47</v>
      </c>
      <c r="D155" s="3">
        <v>0</v>
      </c>
      <c r="E155" s="3">
        <v>0</v>
      </c>
      <c r="F155" s="3">
        <v>0</v>
      </c>
      <c r="G155" s="3">
        <v>31277.22</v>
      </c>
      <c r="H155" s="3">
        <f t="shared" si="2"/>
        <v>44838.84</v>
      </c>
      <c r="I155" s="8"/>
      <c r="J155" s="6"/>
    </row>
    <row r="156" spans="1:10" x14ac:dyDescent="0.2">
      <c r="A156" s="6" t="s">
        <v>39</v>
      </c>
      <c r="B156" s="3">
        <v>217.21</v>
      </c>
      <c r="C156" s="3">
        <v>0</v>
      </c>
      <c r="D156" s="3">
        <v>0</v>
      </c>
      <c r="E156" s="3">
        <v>0</v>
      </c>
      <c r="F156" s="3">
        <v>0</v>
      </c>
      <c r="G156" s="3">
        <v>414.15</v>
      </c>
      <c r="H156" s="3">
        <f t="shared" si="2"/>
        <v>631.36</v>
      </c>
      <c r="I156" s="8"/>
      <c r="J156" s="6"/>
    </row>
    <row r="157" spans="1:10" x14ac:dyDescent="0.2">
      <c r="A157" s="6" t="s">
        <v>128</v>
      </c>
      <c r="B157" s="3">
        <v>0</v>
      </c>
      <c r="C157" s="3">
        <v>0</v>
      </c>
      <c r="D157" s="3">
        <v>0</v>
      </c>
      <c r="E157" s="3">
        <v>0</v>
      </c>
      <c r="F157" s="3">
        <v>0</v>
      </c>
      <c r="G157" s="3">
        <v>641.89</v>
      </c>
      <c r="H157" s="3">
        <f t="shared" si="2"/>
        <v>641.89</v>
      </c>
      <c r="I157" s="8"/>
      <c r="J157" s="6"/>
    </row>
    <row r="158" spans="1:10" x14ac:dyDescent="0.2">
      <c r="A158" s="6" t="s">
        <v>64</v>
      </c>
      <c r="B158" s="3">
        <v>0</v>
      </c>
      <c r="C158" s="3">
        <v>0</v>
      </c>
      <c r="D158" s="3">
        <v>0</v>
      </c>
      <c r="E158" s="3">
        <v>0</v>
      </c>
      <c r="F158" s="3">
        <v>0</v>
      </c>
      <c r="G158" s="3">
        <v>5061.38</v>
      </c>
      <c r="H158" s="3">
        <f t="shared" si="2"/>
        <v>5061.38</v>
      </c>
      <c r="I158" s="8"/>
      <c r="J158" s="6"/>
    </row>
    <row r="159" spans="1:10" x14ac:dyDescent="0.2">
      <c r="A159" s="6" t="s">
        <v>115</v>
      </c>
      <c r="B159" s="3">
        <v>50720.67</v>
      </c>
      <c r="C159" s="3">
        <v>1686.78</v>
      </c>
      <c r="D159" s="3">
        <v>374.84</v>
      </c>
      <c r="E159" s="3">
        <v>0</v>
      </c>
      <c r="F159" s="3">
        <v>0</v>
      </c>
      <c r="G159" s="3">
        <v>101019.52</v>
      </c>
      <c r="H159" s="3">
        <f t="shared" si="2"/>
        <v>153801.81</v>
      </c>
      <c r="I159" s="8"/>
      <c r="J159" s="6"/>
    </row>
    <row r="160" spans="1:10" x14ac:dyDescent="0.2">
      <c r="A160" s="6" t="s">
        <v>99</v>
      </c>
      <c r="B160" s="3">
        <v>1940.19</v>
      </c>
      <c r="C160" s="3">
        <v>1849.67</v>
      </c>
      <c r="D160" s="3">
        <v>0</v>
      </c>
      <c r="E160" s="3">
        <v>0</v>
      </c>
      <c r="F160" s="3">
        <v>0</v>
      </c>
      <c r="G160" s="3">
        <v>0</v>
      </c>
      <c r="H160" s="3">
        <f t="shared" si="2"/>
        <v>3789.86</v>
      </c>
      <c r="I160" s="8"/>
      <c r="J160" s="6"/>
    </row>
    <row r="161" spans="1:10" x14ac:dyDescent="0.2">
      <c r="A161" s="6" t="s">
        <v>19</v>
      </c>
      <c r="B161" s="3">
        <v>2461.0500000000002</v>
      </c>
      <c r="C161" s="3">
        <v>493.94</v>
      </c>
      <c r="D161" s="3">
        <v>0</v>
      </c>
      <c r="E161" s="3">
        <v>0</v>
      </c>
      <c r="F161" s="3">
        <v>0</v>
      </c>
      <c r="G161" s="3">
        <v>4198.5200000000004</v>
      </c>
      <c r="H161" s="3">
        <f t="shared" si="2"/>
        <v>7153.51</v>
      </c>
      <c r="I161" s="8"/>
      <c r="J161" s="6"/>
    </row>
    <row r="162" spans="1:10" x14ac:dyDescent="0.2">
      <c r="A162" s="6" t="s">
        <v>98</v>
      </c>
      <c r="B162" s="3">
        <v>0</v>
      </c>
      <c r="C162" s="3">
        <v>0</v>
      </c>
      <c r="D162" s="3">
        <v>0</v>
      </c>
      <c r="E162" s="3">
        <v>0</v>
      </c>
      <c r="F162" s="3">
        <v>0</v>
      </c>
      <c r="G162" s="3">
        <v>2195.71</v>
      </c>
      <c r="H162" s="3">
        <f t="shared" si="2"/>
        <v>2195.71</v>
      </c>
      <c r="I162" s="8"/>
      <c r="J162" s="6"/>
    </row>
    <row r="163" spans="1:10" x14ac:dyDescent="0.2">
      <c r="A163" s="6" t="s">
        <v>18</v>
      </c>
      <c r="B163" s="3">
        <v>3031.17</v>
      </c>
      <c r="C163" s="3">
        <v>0</v>
      </c>
      <c r="D163" s="3">
        <v>0</v>
      </c>
      <c r="E163" s="3">
        <v>0</v>
      </c>
      <c r="F163" s="3">
        <v>0</v>
      </c>
      <c r="G163" s="3">
        <v>7320.71</v>
      </c>
      <c r="H163" s="3">
        <f t="shared" si="2"/>
        <v>10351.880000000001</v>
      </c>
      <c r="I163" s="8"/>
      <c r="J163" s="6"/>
    </row>
    <row r="164" spans="1:10" x14ac:dyDescent="0.2">
      <c r="A164" s="6" t="s">
        <v>166</v>
      </c>
      <c r="B164" s="3">
        <v>0</v>
      </c>
      <c r="C164" s="3">
        <v>0</v>
      </c>
      <c r="D164" s="3">
        <v>0</v>
      </c>
      <c r="E164" s="3">
        <v>0</v>
      </c>
      <c r="F164" s="3">
        <v>0</v>
      </c>
      <c r="G164" s="3">
        <v>5474.54</v>
      </c>
      <c r="H164" s="3">
        <f t="shared" si="2"/>
        <v>5474.54</v>
      </c>
      <c r="I164" s="8"/>
      <c r="J164" s="6"/>
    </row>
    <row r="165" spans="1:10" x14ac:dyDescent="0.2">
      <c r="A165" s="6" t="s">
        <v>231</v>
      </c>
      <c r="B165" s="3">
        <v>197.97</v>
      </c>
      <c r="C165" s="3">
        <v>0</v>
      </c>
      <c r="D165" s="3">
        <v>0</v>
      </c>
      <c r="E165" s="3">
        <v>0</v>
      </c>
      <c r="F165" s="3">
        <v>0</v>
      </c>
      <c r="G165" s="3">
        <v>377.47</v>
      </c>
      <c r="H165" s="3">
        <f t="shared" si="2"/>
        <v>575.44000000000005</v>
      </c>
      <c r="I165" s="8"/>
      <c r="J165" s="6"/>
    </row>
    <row r="166" spans="1:10" x14ac:dyDescent="0.2">
      <c r="A166" s="6" t="s">
        <v>156</v>
      </c>
      <c r="B166" s="3">
        <v>2908.03</v>
      </c>
      <c r="C166" s="3">
        <v>577.58000000000004</v>
      </c>
      <c r="D166" s="3">
        <v>0</v>
      </c>
      <c r="E166" s="3">
        <v>0</v>
      </c>
      <c r="F166" s="3">
        <v>0</v>
      </c>
      <c r="G166" s="3">
        <v>6006.79</v>
      </c>
      <c r="H166" s="3">
        <f t="shared" si="2"/>
        <v>9492.4</v>
      </c>
      <c r="I166" s="8"/>
      <c r="J166" s="6"/>
    </row>
    <row r="167" spans="1:10" x14ac:dyDescent="0.2">
      <c r="A167" s="6" t="s">
        <v>111</v>
      </c>
      <c r="B167" s="3">
        <v>5465.84</v>
      </c>
      <c r="C167" s="3">
        <v>744.41</v>
      </c>
      <c r="D167" s="3">
        <v>0</v>
      </c>
      <c r="E167" s="3">
        <v>0</v>
      </c>
      <c r="F167" s="3">
        <v>0</v>
      </c>
      <c r="G167" s="3">
        <v>7816.28</v>
      </c>
      <c r="H167" s="3">
        <f t="shared" si="2"/>
        <v>14026.529999999999</v>
      </c>
      <c r="I167" s="8"/>
      <c r="J167" s="6"/>
    </row>
    <row r="168" spans="1:10" x14ac:dyDescent="0.2">
      <c r="A168" s="6" t="s">
        <v>32</v>
      </c>
      <c r="B168" s="3">
        <v>1026.01</v>
      </c>
      <c r="C168" s="3">
        <v>0</v>
      </c>
      <c r="D168" s="3">
        <v>0</v>
      </c>
      <c r="E168" s="3">
        <v>0</v>
      </c>
      <c r="F168" s="3">
        <v>0</v>
      </c>
      <c r="G168" s="3">
        <v>1760.66</v>
      </c>
      <c r="H168" s="3">
        <f t="shared" si="2"/>
        <v>2786.67</v>
      </c>
      <c r="I168" s="8"/>
      <c r="J168" s="6"/>
    </row>
    <row r="169" spans="1:10" x14ac:dyDescent="0.2">
      <c r="A169" s="6" t="s">
        <v>93</v>
      </c>
      <c r="B169" s="3">
        <v>0</v>
      </c>
      <c r="C169" s="3">
        <v>0</v>
      </c>
      <c r="D169" s="3">
        <v>0</v>
      </c>
      <c r="E169" s="3">
        <v>0</v>
      </c>
      <c r="F169" s="3">
        <v>0</v>
      </c>
      <c r="G169" s="3">
        <v>11069.99</v>
      </c>
      <c r="H169" s="3">
        <f t="shared" si="2"/>
        <v>11069.99</v>
      </c>
      <c r="I169" s="8"/>
      <c r="J169" s="6"/>
    </row>
    <row r="170" spans="1:10" x14ac:dyDescent="0.2">
      <c r="A170" s="6" t="s">
        <v>59</v>
      </c>
      <c r="B170" s="3">
        <v>0</v>
      </c>
      <c r="C170" s="3">
        <v>0</v>
      </c>
      <c r="D170" s="3">
        <v>0</v>
      </c>
      <c r="E170" s="3">
        <v>0</v>
      </c>
      <c r="F170" s="3">
        <v>0</v>
      </c>
      <c r="G170" s="3">
        <v>0</v>
      </c>
      <c r="H170" s="3">
        <f t="shared" si="2"/>
        <v>0</v>
      </c>
      <c r="I170" s="8"/>
      <c r="J170" s="6"/>
    </row>
    <row r="171" spans="1:10" x14ac:dyDescent="0.2">
      <c r="A171" s="6" t="s">
        <v>232</v>
      </c>
      <c r="B171" s="3">
        <v>4664.84</v>
      </c>
      <c r="C171" s="3">
        <v>0</v>
      </c>
      <c r="D171" s="3">
        <v>0</v>
      </c>
      <c r="E171" s="3">
        <v>0</v>
      </c>
      <c r="F171" s="3">
        <v>0</v>
      </c>
      <c r="G171" s="3">
        <v>12023.96</v>
      </c>
      <c r="H171" s="3">
        <f t="shared" si="2"/>
        <v>16688.8</v>
      </c>
      <c r="I171" s="8"/>
      <c r="J171" s="6"/>
    </row>
    <row r="172" spans="1:10" x14ac:dyDescent="0.2">
      <c r="A172" s="6" t="s">
        <v>35</v>
      </c>
      <c r="B172" s="3">
        <v>1822.29</v>
      </c>
      <c r="C172" s="3">
        <v>0</v>
      </c>
      <c r="D172" s="3">
        <v>0</v>
      </c>
      <c r="E172" s="3">
        <v>0</v>
      </c>
      <c r="F172" s="3">
        <v>0</v>
      </c>
      <c r="G172" s="3">
        <v>8975.9500000000007</v>
      </c>
      <c r="H172" s="3">
        <f t="shared" si="2"/>
        <v>10798.240000000002</v>
      </c>
      <c r="I172" s="8"/>
      <c r="J172" s="6"/>
    </row>
    <row r="173" spans="1:10" x14ac:dyDescent="0.2">
      <c r="A173" s="6" t="s">
        <v>233</v>
      </c>
      <c r="B173" s="3">
        <v>3102.52</v>
      </c>
      <c r="C173" s="3">
        <v>0</v>
      </c>
      <c r="D173" s="3">
        <v>0</v>
      </c>
      <c r="E173" s="3">
        <v>0</v>
      </c>
      <c r="F173" s="3">
        <v>0</v>
      </c>
      <c r="G173" s="3">
        <v>1478.89</v>
      </c>
      <c r="H173" s="3">
        <f t="shared" si="2"/>
        <v>4581.41</v>
      </c>
      <c r="I173" s="8"/>
      <c r="J173" s="6"/>
    </row>
    <row r="174" spans="1:10" x14ac:dyDescent="0.2">
      <c r="A174" s="6" t="s">
        <v>158</v>
      </c>
      <c r="B174" s="3">
        <v>592.54999999999995</v>
      </c>
      <c r="C174" s="3">
        <v>0</v>
      </c>
      <c r="D174" s="3">
        <v>0</v>
      </c>
      <c r="E174" s="3">
        <v>0</v>
      </c>
      <c r="F174" s="3">
        <v>0</v>
      </c>
      <c r="G174" s="3">
        <v>0</v>
      </c>
      <c r="H174" s="3">
        <f t="shared" si="2"/>
        <v>592.54999999999995</v>
      </c>
      <c r="I174" s="8"/>
      <c r="J174" s="6"/>
    </row>
    <row r="175" spans="1:10" x14ac:dyDescent="0.2">
      <c r="A175" s="6" t="s">
        <v>82</v>
      </c>
      <c r="B175" s="3">
        <v>20396.84</v>
      </c>
      <c r="C175" s="3">
        <v>0</v>
      </c>
      <c r="D175" s="3">
        <v>0</v>
      </c>
      <c r="E175" s="3">
        <v>0</v>
      </c>
      <c r="F175" s="3">
        <v>0</v>
      </c>
      <c r="G175" s="3">
        <v>66554.960000000006</v>
      </c>
      <c r="H175" s="3">
        <f t="shared" si="2"/>
        <v>86951.8</v>
      </c>
      <c r="I175" s="8"/>
      <c r="J175" s="6"/>
    </row>
    <row r="176" spans="1:10" x14ac:dyDescent="0.2">
      <c r="A176" s="6" t="s">
        <v>23</v>
      </c>
      <c r="B176" s="3">
        <v>4943.5200000000004</v>
      </c>
      <c r="C176" s="3">
        <v>224.42</v>
      </c>
      <c r="D176" s="3">
        <v>0</v>
      </c>
      <c r="E176" s="3">
        <v>0</v>
      </c>
      <c r="F176" s="3">
        <v>0</v>
      </c>
      <c r="G176" s="3">
        <v>16831.77</v>
      </c>
      <c r="H176" s="3">
        <f t="shared" si="2"/>
        <v>21999.71</v>
      </c>
      <c r="I176" s="8"/>
      <c r="J176" s="6"/>
    </row>
    <row r="177" spans="1:10" x14ac:dyDescent="0.2">
      <c r="A177" s="6" t="s">
        <v>117</v>
      </c>
      <c r="B177" s="3">
        <v>903.76</v>
      </c>
      <c r="C177" s="3">
        <v>0</v>
      </c>
      <c r="D177" s="3">
        <v>0</v>
      </c>
      <c r="E177" s="3">
        <v>0</v>
      </c>
      <c r="F177" s="3">
        <v>0</v>
      </c>
      <c r="G177" s="3">
        <v>689.28</v>
      </c>
      <c r="H177" s="3">
        <f t="shared" si="2"/>
        <v>1593.04</v>
      </c>
      <c r="I177" s="8"/>
      <c r="J177" s="6"/>
    </row>
    <row r="178" spans="1:10" x14ac:dyDescent="0.2">
      <c r="A178" s="6" t="s">
        <v>139</v>
      </c>
      <c r="B178" s="3">
        <v>400.13</v>
      </c>
      <c r="C178" s="3">
        <v>0</v>
      </c>
      <c r="D178" s="3">
        <v>0</v>
      </c>
      <c r="E178" s="3">
        <v>0</v>
      </c>
      <c r="F178" s="3">
        <v>0</v>
      </c>
      <c r="G178" s="3">
        <v>2670.27</v>
      </c>
      <c r="H178" s="3">
        <f t="shared" si="2"/>
        <v>3070.4</v>
      </c>
      <c r="I178" s="8"/>
      <c r="J178" s="6"/>
    </row>
    <row r="179" spans="1:10" x14ac:dyDescent="0.2">
      <c r="A179" s="6" t="s">
        <v>55</v>
      </c>
      <c r="B179" s="3">
        <v>0</v>
      </c>
      <c r="C179" s="3">
        <v>0</v>
      </c>
      <c r="D179" s="3">
        <v>0</v>
      </c>
      <c r="E179" s="3">
        <v>0</v>
      </c>
      <c r="F179" s="3">
        <v>0</v>
      </c>
      <c r="G179" s="3">
        <v>0</v>
      </c>
      <c r="H179" s="3">
        <f t="shared" si="2"/>
        <v>0</v>
      </c>
      <c r="I179" s="8"/>
      <c r="J179" s="6"/>
    </row>
    <row r="180" spans="1:10" x14ac:dyDescent="0.2">
      <c r="A180" s="6" t="s">
        <v>43</v>
      </c>
      <c r="B180" s="3">
        <v>3906.27</v>
      </c>
      <c r="C180" s="3">
        <v>931.01</v>
      </c>
      <c r="D180" s="3">
        <v>0</v>
      </c>
      <c r="E180" s="3">
        <v>0</v>
      </c>
      <c r="F180" s="3">
        <v>0</v>
      </c>
      <c r="G180" s="3">
        <v>3537.83</v>
      </c>
      <c r="H180" s="3">
        <f t="shared" si="2"/>
        <v>8375.11</v>
      </c>
      <c r="I180" s="8"/>
      <c r="J180" s="6"/>
    </row>
    <row r="181" spans="1:10" x14ac:dyDescent="0.2">
      <c r="A181" s="6" t="s">
        <v>97</v>
      </c>
      <c r="B181" s="3">
        <v>3425.03</v>
      </c>
      <c r="C181" s="3">
        <v>1166.1600000000001</v>
      </c>
      <c r="D181" s="3">
        <v>0</v>
      </c>
      <c r="E181" s="3">
        <v>0</v>
      </c>
      <c r="F181" s="3">
        <v>0</v>
      </c>
      <c r="G181" s="3">
        <v>7463.42</v>
      </c>
      <c r="H181" s="3">
        <f t="shared" si="2"/>
        <v>12054.61</v>
      </c>
      <c r="I181" s="8"/>
      <c r="J181" s="6"/>
    </row>
    <row r="182" spans="1:10" x14ac:dyDescent="0.2">
      <c r="A182" s="6" t="s">
        <v>234</v>
      </c>
      <c r="B182" s="3">
        <v>7238.65</v>
      </c>
      <c r="C182" s="3">
        <v>3450.47</v>
      </c>
      <c r="D182" s="3">
        <v>345.05</v>
      </c>
      <c r="E182" s="3">
        <v>0</v>
      </c>
      <c r="F182" s="3">
        <v>0</v>
      </c>
      <c r="G182" s="3">
        <v>24498.36</v>
      </c>
      <c r="H182" s="3">
        <f t="shared" si="2"/>
        <v>35532.53</v>
      </c>
      <c r="I182" s="8"/>
      <c r="J182" s="6"/>
    </row>
    <row r="183" spans="1:10" x14ac:dyDescent="0.2">
      <c r="A183" s="6" t="s">
        <v>154</v>
      </c>
      <c r="B183" s="3">
        <v>13495.61</v>
      </c>
      <c r="C183" s="3">
        <v>1372.37</v>
      </c>
      <c r="D183" s="3">
        <v>0</v>
      </c>
      <c r="E183" s="3">
        <v>0</v>
      </c>
      <c r="F183" s="3">
        <v>0</v>
      </c>
      <c r="G183" s="3">
        <v>33451.629999999997</v>
      </c>
      <c r="H183" s="3">
        <f t="shared" si="2"/>
        <v>48319.61</v>
      </c>
      <c r="I183" s="8"/>
      <c r="J183" s="6"/>
    </row>
    <row r="184" spans="1:10" x14ac:dyDescent="0.2">
      <c r="A184" s="6" t="s">
        <v>133</v>
      </c>
      <c r="B184" s="3">
        <v>3267.36</v>
      </c>
      <c r="C184" s="3">
        <v>207.66</v>
      </c>
      <c r="D184" s="3">
        <v>0</v>
      </c>
      <c r="E184" s="3">
        <v>0</v>
      </c>
      <c r="F184" s="3">
        <v>0</v>
      </c>
      <c r="G184" s="3">
        <v>8098.82</v>
      </c>
      <c r="H184" s="3">
        <f t="shared" si="2"/>
        <v>11573.84</v>
      </c>
      <c r="I184" s="8"/>
      <c r="J184" s="6"/>
    </row>
    <row r="185" spans="1:10" x14ac:dyDescent="0.2">
      <c r="A185" s="6" t="s">
        <v>149</v>
      </c>
      <c r="B185" s="3">
        <v>0</v>
      </c>
      <c r="C185" s="3">
        <v>0</v>
      </c>
      <c r="D185" s="3">
        <v>0</v>
      </c>
      <c r="E185" s="3">
        <v>0</v>
      </c>
      <c r="F185" s="3">
        <v>0</v>
      </c>
      <c r="G185" s="3">
        <v>0</v>
      </c>
      <c r="H185" s="3">
        <f t="shared" si="2"/>
        <v>0</v>
      </c>
      <c r="I185" s="8"/>
      <c r="J185" s="6"/>
    </row>
    <row r="186" spans="1:10" x14ac:dyDescent="0.2">
      <c r="A186" s="6" t="s">
        <v>235</v>
      </c>
      <c r="B186" s="3">
        <v>10.69</v>
      </c>
      <c r="C186" s="3">
        <v>0</v>
      </c>
      <c r="D186" s="3">
        <v>0</v>
      </c>
      <c r="E186" s="3">
        <v>0</v>
      </c>
      <c r="F186" s="3">
        <v>0</v>
      </c>
      <c r="G186" s="3">
        <v>0</v>
      </c>
      <c r="H186" s="3">
        <f t="shared" si="2"/>
        <v>10.69</v>
      </c>
      <c r="I186" s="8"/>
      <c r="J186" s="6"/>
    </row>
    <row r="187" spans="1:10" x14ac:dyDescent="0.2">
      <c r="A187" s="6" t="s">
        <v>236</v>
      </c>
      <c r="B187" s="3">
        <v>1212.6600000000001</v>
      </c>
      <c r="C187" s="3">
        <v>495.47</v>
      </c>
      <c r="D187" s="3">
        <v>0</v>
      </c>
      <c r="E187" s="3">
        <v>0</v>
      </c>
      <c r="F187" s="3">
        <v>0</v>
      </c>
      <c r="G187" s="3">
        <v>4624.3599999999997</v>
      </c>
      <c r="H187" s="3">
        <f t="shared" si="2"/>
        <v>6332.49</v>
      </c>
      <c r="I187" s="8"/>
      <c r="J187" s="6"/>
    </row>
    <row r="188" spans="1:10" x14ac:dyDescent="0.2">
      <c r="A188" s="6" t="s">
        <v>141</v>
      </c>
      <c r="B188" s="3">
        <v>102.49</v>
      </c>
      <c r="C188" s="3">
        <v>0</v>
      </c>
      <c r="D188" s="3">
        <v>0</v>
      </c>
      <c r="E188" s="3">
        <v>0</v>
      </c>
      <c r="F188" s="3">
        <v>0</v>
      </c>
      <c r="G188" s="3">
        <v>488.56</v>
      </c>
      <c r="H188" s="3">
        <f t="shared" si="2"/>
        <v>591.04999999999995</v>
      </c>
      <c r="I188" s="8"/>
      <c r="J188" s="6"/>
    </row>
    <row r="189" spans="1:10" x14ac:dyDescent="0.2">
      <c r="A189" s="6" t="s">
        <v>109</v>
      </c>
      <c r="B189" s="3">
        <v>698.71</v>
      </c>
      <c r="C189" s="3">
        <v>0</v>
      </c>
      <c r="D189" s="3">
        <v>0</v>
      </c>
      <c r="E189" s="3">
        <v>0</v>
      </c>
      <c r="F189" s="3">
        <v>0</v>
      </c>
      <c r="G189" s="3">
        <v>1598.67</v>
      </c>
      <c r="H189" s="3">
        <f t="shared" si="2"/>
        <v>2297.38</v>
      </c>
      <c r="I189" s="8"/>
      <c r="J189" s="6"/>
    </row>
    <row r="190" spans="1:10" x14ac:dyDescent="0.2">
      <c r="A190" s="6" t="s">
        <v>22</v>
      </c>
      <c r="B190" s="3">
        <v>1600.98</v>
      </c>
      <c r="C190" s="3">
        <v>610.52</v>
      </c>
      <c r="D190" s="3">
        <v>0</v>
      </c>
      <c r="E190" s="3">
        <v>0</v>
      </c>
      <c r="F190" s="3">
        <v>0</v>
      </c>
      <c r="G190" s="3">
        <v>3357.83</v>
      </c>
      <c r="H190" s="3">
        <f t="shared" si="2"/>
        <v>5569.33</v>
      </c>
      <c r="I190" s="8"/>
      <c r="J190" s="6"/>
    </row>
    <row r="191" spans="1:10" x14ac:dyDescent="0.2">
      <c r="A191" s="6" t="s">
        <v>147</v>
      </c>
      <c r="B191" s="3">
        <v>2096.67</v>
      </c>
      <c r="C191" s="3">
        <v>0</v>
      </c>
      <c r="D191" s="3">
        <v>0</v>
      </c>
      <c r="E191" s="3">
        <v>0</v>
      </c>
      <c r="F191" s="3">
        <v>0</v>
      </c>
      <c r="G191" s="3">
        <v>0</v>
      </c>
      <c r="H191" s="3">
        <f t="shared" si="2"/>
        <v>2096.67</v>
      </c>
      <c r="I191" s="8"/>
      <c r="J191" s="6"/>
    </row>
    <row r="192" spans="1:10" x14ac:dyDescent="0.2">
      <c r="A192" s="6" t="s">
        <v>237</v>
      </c>
      <c r="B192" s="3">
        <v>1681.64</v>
      </c>
      <c r="C192" s="3">
        <v>246.64</v>
      </c>
      <c r="D192" s="3">
        <v>0</v>
      </c>
      <c r="E192" s="3">
        <v>0</v>
      </c>
      <c r="F192" s="3">
        <v>0</v>
      </c>
      <c r="G192" s="3">
        <v>3329.7</v>
      </c>
      <c r="H192" s="3">
        <f t="shared" si="2"/>
        <v>5257.98</v>
      </c>
      <c r="I192" s="8"/>
      <c r="J192" s="6"/>
    </row>
    <row r="193" spans="1:10" x14ac:dyDescent="0.2">
      <c r="A193" s="6" t="s">
        <v>238</v>
      </c>
      <c r="B193" s="3">
        <v>7871.49</v>
      </c>
      <c r="C193" s="3">
        <v>1452.44</v>
      </c>
      <c r="D193" s="3">
        <v>0</v>
      </c>
      <c r="E193" s="3">
        <v>0</v>
      </c>
      <c r="F193" s="3">
        <v>0</v>
      </c>
      <c r="G193" s="3">
        <v>21060.35</v>
      </c>
      <c r="H193" s="3">
        <f t="shared" si="2"/>
        <v>30384.28</v>
      </c>
      <c r="I193" s="8"/>
      <c r="J193" s="6"/>
    </row>
    <row r="194" spans="1:10" x14ac:dyDescent="0.2">
      <c r="A194" s="6" t="s">
        <v>164</v>
      </c>
      <c r="B194" s="3">
        <v>1926.75</v>
      </c>
      <c r="C194" s="3">
        <v>0</v>
      </c>
      <c r="D194" s="3">
        <v>0</v>
      </c>
      <c r="E194" s="3">
        <v>0</v>
      </c>
      <c r="F194" s="3">
        <v>0</v>
      </c>
      <c r="G194" s="3">
        <v>6735.16</v>
      </c>
      <c r="H194" s="3">
        <f t="shared" ref="H194:H202" si="3">SUM(B194:G194)</f>
        <v>8661.91</v>
      </c>
      <c r="I194" s="8"/>
      <c r="J194" s="6"/>
    </row>
    <row r="195" spans="1:10" x14ac:dyDescent="0.2">
      <c r="A195" s="6" t="s">
        <v>42</v>
      </c>
      <c r="B195" s="3">
        <v>0</v>
      </c>
      <c r="C195" s="3">
        <v>280.61</v>
      </c>
      <c r="D195" s="3">
        <v>0</v>
      </c>
      <c r="E195" s="3">
        <v>0</v>
      </c>
      <c r="F195" s="3">
        <v>0</v>
      </c>
      <c r="G195" s="3">
        <v>10943.69</v>
      </c>
      <c r="H195" s="3">
        <f t="shared" si="3"/>
        <v>11224.300000000001</v>
      </c>
      <c r="I195" s="8"/>
      <c r="J195" s="6"/>
    </row>
    <row r="196" spans="1:10" x14ac:dyDescent="0.2">
      <c r="A196" s="6" t="s">
        <v>119</v>
      </c>
      <c r="B196" s="3">
        <v>7072.64</v>
      </c>
      <c r="C196" s="3">
        <v>269.70999999999998</v>
      </c>
      <c r="D196" s="3">
        <v>0</v>
      </c>
      <c r="E196" s="3">
        <v>0</v>
      </c>
      <c r="F196" s="3">
        <v>0</v>
      </c>
      <c r="G196" s="3">
        <v>8091.22</v>
      </c>
      <c r="H196" s="3">
        <f t="shared" si="3"/>
        <v>15433.57</v>
      </c>
      <c r="I196" s="8"/>
      <c r="J196" s="6"/>
    </row>
    <row r="197" spans="1:10" x14ac:dyDescent="0.2">
      <c r="A197" s="6" t="s">
        <v>239</v>
      </c>
      <c r="B197" s="3">
        <v>1746.64</v>
      </c>
      <c r="C197" s="3">
        <v>0</v>
      </c>
      <c r="D197" s="3">
        <v>0</v>
      </c>
      <c r="E197" s="3">
        <v>0</v>
      </c>
      <c r="F197" s="3">
        <v>0</v>
      </c>
      <c r="G197" s="3">
        <v>4440.42</v>
      </c>
      <c r="H197" s="3">
        <f t="shared" si="3"/>
        <v>6187.06</v>
      </c>
      <c r="I197" s="8"/>
      <c r="J197" s="6"/>
    </row>
    <row r="198" spans="1:10" x14ac:dyDescent="0.2">
      <c r="A198" s="6" t="s">
        <v>37</v>
      </c>
      <c r="B198" s="3">
        <v>634.83000000000004</v>
      </c>
      <c r="C198" s="3">
        <v>201.74</v>
      </c>
      <c r="D198" s="3">
        <v>0</v>
      </c>
      <c r="E198" s="3">
        <v>0</v>
      </c>
      <c r="F198" s="3">
        <v>0</v>
      </c>
      <c r="G198" s="3">
        <v>1210.42</v>
      </c>
      <c r="H198" s="3">
        <f t="shared" si="3"/>
        <v>2046.9900000000002</v>
      </c>
      <c r="I198" s="8"/>
      <c r="J198" s="6"/>
    </row>
    <row r="199" spans="1:10" x14ac:dyDescent="0.2">
      <c r="A199" s="6" t="s">
        <v>240</v>
      </c>
      <c r="B199" s="3">
        <v>0</v>
      </c>
      <c r="C199" s="3">
        <v>0</v>
      </c>
      <c r="D199" s="3">
        <v>0</v>
      </c>
      <c r="E199" s="3">
        <v>0</v>
      </c>
      <c r="F199" s="3">
        <v>0</v>
      </c>
      <c r="G199" s="3">
        <v>0</v>
      </c>
      <c r="H199" s="3">
        <f t="shared" si="3"/>
        <v>0</v>
      </c>
      <c r="I199" s="8"/>
      <c r="J199" s="6"/>
    </row>
    <row r="200" spans="1:10" x14ac:dyDescent="0.2">
      <c r="A200" s="6" t="s">
        <v>241</v>
      </c>
      <c r="B200" s="3">
        <v>0</v>
      </c>
      <c r="C200" s="3">
        <v>0</v>
      </c>
      <c r="D200" s="3">
        <v>0</v>
      </c>
      <c r="E200" s="3">
        <v>0</v>
      </c>
      <c r="F200" s="3">
        <v>0</v>
      </c>
      <c r="G200" s="3">
        <v>0</v>
      </c>
      <c r="H200" s="3">
        <f t="shared" si="3"/>
        <v>0</v>
      </c>
      <c r="I200" s="8"/>
      <c r="J200" s="6"/>
    </row>
    <row r="201" spans="1:10" x14ac:dyDescent="0.2">
      <c r="A201" s="6" t="s">
        <v>242</v>
      </c>
      <c r="B201" s="3">
        <v>0</v>
      </c>
      <c r="C201" s="3">
        <v>0</v>
      </c>
      <c r="D201" s="3">
        <v>0</v>
      </c>
      <c r="E201" s="3">
        <v>0</v>
      </c>
      <c r="F201" s="3">
        <v>0</v>
      </c>
      <c r="G201" s="3">
        <v>0</v>
      </c>
      <c r="H201" s="3">
        <f t="shared" si="3"/>
        <v>0</v>
      </c>
      <c r="I201" s="8"/>
      <c r="J201" s="6"/>
    </row>
    <row r="202" spans="1:10" x14ac:dyDescent="0.2">
      <c r="A202" s="6" t="s">
        <v>184</v>
      </c>
      <c r="B202" s="3">
        <v>368.88</v>
      </c>
      <c r="C202" s="3">
        <v>0</v>
      </c>
      <c r="D202" s="3">
        <v>0</v>
      </c>
      <c r="E202" s="3">
        <v>0</v>
      </c>
      <c r="F202" s="3">
        <v>0</v>
      </c>
      <c r="G202" s="3">
        <v>0</v>
      </c>
      <c r="H202" s="3">
        <f t="shared" si="3"/>
        <v>368.88</v>
      </c>
      <c r="I202" s="8"/>
      <c r="J202" s="6"/>
    </row>
    <row r="203" spans="1:10" s="8" customFormat="1" x14ac:dyDescent="0.2">
      <c r="A203" s="6" t="s">
        <v>186</v>
      </c>
      <c r="B203" s="4">
        <f>SUBTOTAL(109,Sect619[District])</f>
        <v>784678.44999999984</v>
      </c>
      <c r="C203" s="4">
        <f>SUBTOTAL(109,Sect619[Regional])</f>
        <v>109463.94000000003</v>
      </c>
      <c r="D203" s="4">
        <f>SUBTOTAL(109,Sect619[OSD])</f>
        <v>1455.36</v>
      </c>
      <c r="E203" s="4">
        <f>SUBTOTAL(109,Sect619[LTCT])</f>
        <v>309.86</v>
      </c>
      <c r="F203" s="4">
        <f>SUBTOTAL(109,Sect619[Hospital])</f>
        <v>0</v>
      </c>
      <c r="G203" s="4">
        <f>SUBTOTAL(109,Sect619[ECSE])</f>
        <v>2033996.389999999</v>
      </c>
      <c r="H203" s="4">
        <f>SUBTOTAL(109,Sect619[Gross Total])</f>
        <v>2929903.9999999981</v>
      </c>
      <c r="I203" s="5"/>
    </row>
    <row r="204" spans="1:10" hidden="1" x14ac:dyDescent="0.2">
      <c r="A204" s="8"/>
      <c r="B204" s="5"/>
      <c r="C204" s="5"/>
      <c r="D204" s="5"/>
      <c r="E204" s="5"/>
      <c r="F204" s="5"/>
      <c r="G204" s="5"/>
      <c r="H204" s="5"/>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0"/>
  <sheetViews>
    <sheetView workbookViewId="0">
      <pane ySplit="1" topLeftCell="A2" activePane="bottomLeft" state="frozen"/>
      <selection pane="bottomLeft" activeCell="A2" sqref="A2"/>
    </sheetView>
  </sheetViews>
  <sheetFormatPr defaultColWidth="0" defaultRowHeight="12.75" zeroHeight="1" x14ac:dyDescent="0.2"/>
  <cols>
    <col min="1" max="1" width="30.28515625" style="6" customWidth="1"/>
    <col min="2" max="4" width="16.140625" style="6" customWidth="1"/>
    <col min="5" max="5" width="9.28515625" style="6" customWidth="1"/>
    <col min="6" max="16384" width="7.28515625" style="6" hidden="1"/>
  </cols>
  <sheetData>
    <row r="1" spans="1:5" x14ac:dyDescent="0.2">
      <c r="A1" s="6" t="s">
        <v>182</v>
      </c>
      <c r="B1" s="7" t="s">
        <v>174</v>
      </c>
      <c r="C1" s="7" t="s">
        <v>187</v>
      </c>
      <c r="D1" s="7" t="s">
        <v>186</v>
      </c>
      <c r="E1" s="8"/>
    </row>
    <row r="2" spans="1:5" x14ac:dyDescent="0.2">
      <c r="A2" s="6" t="s">
        <v>169</v>
      </c>
      <c r="B2" s="3">
        <f>Sect611[[#Totals],[Regional]]</f>
        <v>14395964.760000007</v>
      </c>
      <c r="C2" s="3">
        <f>Sect619[[#Totals],[Regional]]</f>
        <v>109463.94000000003</v>
      </c>
      <c r="D2" s="4">
        <f t="shared" ref="D2:D7" si="0">SUM(B2:C2)</f>
        <v>14505428.700000007</v>
      </c>
      <c r="E2" s="8"/>
    </row>
    <row r="3" spans="1:5" x14ac:dyDescent="0.2">
      <c r="A3" s="6" t="s">
        <v>181</v>
      </c>
      <c r="B3" s="3">
        <f>Sect611[[#Totals],[OSD]]</f>
        <v>134492.24000000002</v>
      </c>
      <c r="C3" s="3">
        <f>Sect619[[#Totals],[OSD]]</f>
        <v>1455.36</v>
      </c>
      <c r="D3" s="4">
        <f t="shared" si="0"/>
        <v>135947.6</v>
      </c>
      <c r="E3" s="8"/>
    </row>
    <row r="4" spans="1:5" x14ac:dyDescent="0.2">
      <c r="A4" s="6" t="s">
        <v>183</v>
      </c>
      <c r="B4" s="3">
        <f>Sect611[[#Totals],[LTCT]]</f>
        <v>449972.13999999996</v>
      </c>
      <c r="C4" s="3">
        <f>Sect619[[#Totals],[LTCT]]</f>
        <v>309.86</v>
      </c>
      <c r="D4" s="4">
        <f t="shared" si="0"/>
        <v>450281.99999999994</v>
      </c>
      <c r="E4" s="8"/>
    </row>
    <row r="5" spans="1:5" x14ac:dyDescent="0.2">
      <c r="A5" s="6" t="s">
        <v>172</v>
      </c>
      <c r="B5" s="3">
        <f>Sect611[[#Totals],[Hospital]]</f>
        <v>9527.1200000000008</v>
      </c>
      <c r="C5" s="3">
        <f>Sect619[[#Totals],[Hospital]]</f>
        <v>0</v>
      </c>
      <c r="D5" s="4">
        <f t="shared" si="0"/>
        <v>9527.1200000000008</v>
      </c>
      <c r="E5" s="8"/>
    </row>
    <row r="6" spans="1:5" x14ac:dyDescent="0.2">
      <c r="A6" s="6" t="s">
        <v>184</v>
      </c>
      <c r="B6" s="3">
        <f>INDEX(Sect611[],MATCH(Programs[[#This Row],[Program Name]],Sect611[LEA Name],0),8)</f>
        <v>20858.95</v>
      </c>
      <c r="C6" s="3">
        <f>INDEX(Sect619[],MATCH(Programs[[#This Row],[Program Name]],Sect619[LEA Name],0),8)</f>
        <v>368.88</v>
      </c>
      <c r="D6" s="4">
        <f t="shared" si="0"/>
        <v>21227.83</v>
      </c>
      <c r="E6" s="8"/>
    </row>
    <row r="7" spans="1:5" x14ac:dyDescent="0.2">
      <c r="A7" s="6" t="s">
        <v>173</v>
      </c>
      <c r="B7" s="3">
        <f>Sect611[[#Totals],[ECSE]]</f>
        <v>11849078.329999998</v>
      </c>
      <c r="C7" s="3">
        <f>Sect619[[#Totals],[ECSE]]</f>
        <v>2033996.389999999</v>
      </c>
      <c r="D7" s="4">
        <f t="shared" si="0"/>
        <v>13883074.719999997</v>
      </c>
      <c r="E7" s="8"/>
    </row>
    <row r="8" spans="1:5" x14ac:dyDescent="0.2">
      <c r="A8" s="6" t="s">
        <v>186</v>
      </c>
      <c r="B8" s="4">
        <f>SUBTOTAL(109,Programs[Section 611])</f>
        <v>26859893.540000007</v>
      </c>
      <c r="C8" s="4">
        <f>SUBTOTAL(109,Programs[Section 619])</f>
        <v>2145594.4299999988</v>
      </c>
      <c r="D8" s="4">
        <f>SUBTOTAL(109,Programs[Total])</f>
        <v>29005487.970000003</v>
      </c>
      <c r="E8" s="8"/>
    </row>
    <row r="9" spans="1:5" x14ac:dyDescent="0.2">
      <c r="A9" s="8"/>
      <c r="B9" s="5"/>
      <c r="C9" s="5"/>
      <c r="D9" s="23"/>
      <c r="E9" s="8"/>
    </row>
    <row r="10" spans="1:5" hidden="1" x14ac:dyDescent="0.2"/>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C204"/>
  <sheetViews>
    <sheetView workbookViewId="0">
      <pane xSplit="1" topLeftCell="B1" activePane="topRight" state="frozen"/>
      <selection pane="topRight"/>
    </sheetView>
  </sheetViews>
  <sheetFormatPr defaultColWidth="0" defaultRowHeight="12.75" zeroHeight="1" x14ac:dyDescent="0.2"/>
  <cols>
    <col min="1" max="1" width="30.28515625" style="6" customWidth="1"/>
    <col min="2" max="3" width="24.140625" style="6" bestFit="1" customWidth="1"/>
    <col min="4" max="4" width="32.5703125" style="8" bestFit="1" customWidth="1"/>
    <col min="5" max="5" width="25.42578125" style="6" bestFit="1" customWidth="1"/>
    <col min="6" max="6" width="7.28515625" style="6" customWidth="1"/>
    <col min="7" max="16383" width="7.28515625" style="6" hidden="1"/>
    <col min="16384" max="16384" width="2.140625" style="6" hidden="1"/>
  </cols>
  <sheetData>
    <row r="1" spans="1:6" x14ac:dyDescent="0.2">
      <c r="A1" s="6" t="s">
        <v>0</v>
      </c>
      <c r="B1" s="7" t="s">
        <v>245</v>
      </c>
      <c r="C1" s="7" t="s">
        <v>246</v>
      </c>
      <c r="D1" s="7" t="s">
        <v>248</v>
      </c>
      <c r="E1" s="7" t="s">
        <v>249</v>
      </c>
      <c r="F1" s="8"/>
    </row>
    <row r="2" spans="1:6" x14ac:dyDescent="0.2">
      <c r="A2" s="6" t="s">
        <v>79</v>
      </c>
      <c r="B2" s="3">
        <v>0</v>
      </c>
      <c r="C2" s="3">
        <v>0</v>
      </c>
      <c r="D2" s="3">
        <f>IF(VLOOKUP(OtherAmts[[#This Row],[LEA Name]],Sect611[],MATCH("Sig Dis",Sect611[#Headers],0),TRUE)=0,SUM(VLOOKUP(OtherAmts[[#This Row],[LEA Name]],Sect611[],8,FALSE),VLOOKUP(OtherAmts[[#This Row],[LEA Name]],Sect619[],8,FALSE))*0.15,"")</f>
        <v>428.76149999999996</v>
      </c>
      <c r="E2" s="9" t="str">
        <f>IF(VLOOKUP(OtherAmts[[#This Row],[LEA Name]],Sect611[],MATCH("Sig Dis",Sect611[#Headers],0),TRUE)=1,SUM(VLOOKUP(OtherAmts[[#This Row],[LEA Name]],Sect611[],8,FALSE),VLOOKUP(OtherAmts[[#This Row],[LEA Name]],Sect619[],8,FALSE))*0.15,"")</f>
        <v/>
      </c>
      <c r="F2" s="8"/>
    </row>
    <row r="3" spans="1:6" x14ac:dyDescent="0.2">
      <c r="A3" s="6" t="s">
        <v>106</v>
      </c>
      <c r="B3" s="3">
        <v>0</v>
      </c>
      <c r="C3" s="3">
        <v>0</v>
      </c>
      <c r="D3" s="3">
        <f>IF(VLOOKUP(OtherAmts[[#This Row],[LEA Name]],Sect611[],MATCH("Sig Dis",Sect611[#Headers],0),TRUE)=0,SUM(VLOOKUP(OtherAmts[[#This Row],[LEA Name]],Sect611[],8,FALSE),VLOOKUP(OtherAmts[[#This Row],[LEA Name]],Sect619[],8,FALSE))*0.15,"")</f>
        <v>8810.4420000000009</v>
      </c>
      <c r="E3" s="9" t="str">
        <f>IF(VLOOKUP(OtherAmts[[#This Row],[LEA Name]],Sect611[],MATCH("Sig Dis",Sect611[#Headers],0),TRUE)=1,SUM(VLOOKUP(OtherAmts[[#This Row],[LEA Name]],Sect611[],8,FALSE),VLOOKUP(OtherAmts[[#This Row],[LEA Name]],Sect619[],8,FALSE))*0.15,"")</f>
        <v/>
      </c>
      <c r="F3" s="8"/>
    </row>
    <row r="4" spans="1:6" x14ac:dyDescent="0.2">
      <c r="A4" s="6" t="s">
        <v>5</v>
      </c>
      <c r="B4" s="3">
        <v>0</v>
      </c>
      <c r="C4" s="3">
        <v>0</v>
      </c>
      <c r="D4" s="3">
        <f>IF(VLOOKUP(OtherAmts[[#This Row],[LEA Name]],Sect611[],MATCH("Sig Dis",Sect611[#Headers],0),TRUE)=0,SUM(VLOOKUP(OtherAmts[[#This Row],[LEA Name]],Sect611[],8,FALSE),VLOOKUP(OtherAmts[[#This Row],[LEA Name]],Sect619[],8,FALSE))*0.15,"")</f>
        <v>7520.94</v>
      </c>
      <c r="E4" s="9" t="str">
        <f>IF(VLOOKUP(OtherAmts[[#This Row],[LEA Name]],Sect611[],MATCH("Sig Dis",Sect611[#Headers],0),TRUE)=1,SUM(VLOOKUP(OtherAmts[[#This Row],[LEA Name]],Sect611[],8,FALSE),VLOOKUP(OtherAmts[[#This Row],[LEA Name]],Sect619[],8,FALSE))*0.15,"")</f>
        <v/>
      </c>
      <c r="F4" s="8"/>
    </row>
    <row r="5" spans="1:6" x14ac:dyDescent="0.2">
      <c r="A5" s="6" t="s">
        <v>161</v>
      </c>
      <c r="B5" s="3">
        <v>0</v>
      </c>
      <c r="C5" s="3">
        <v>0</v>
      </c>
      <c r="D5" s="3">
        <f>IF(VLOOKUP(OtherAmts[[#This Row],[LEA Name]],Sect611[],MATCH("Sig Dis",Sect611[#Headers],0),TRUE)=0,SUM(VLOOKUP(OtherAmts[[#This Row],[LEA Name]],Sect611[],8,FALSE),VLOOKUP(OtherAmts[[#This Row],[LEA Name]],Sect619[],8,FALSE))*0.15,"")</f>
        <v>28808.823</v>
      </c>
      <c r="E5" s="9" t="str">
        <f>IF(VLOOKUP(OtherAmts[[#This Row],[LEA Name]],Sect611[],MATCH("Sig Dis",Sect611[#Headers],0),TRUE)=1,SUM(VLOOKUP(OtherAmts[[#This Row],[LEA Name]],Sect611[],8,FALSE),VLOOKUP(OtherAmts[[#This Row],[LEA Name]],Sect619[],8,FALSE))*0.15,"")</f>
        <v/>
      </c>
      <c r="F5" s="8"/>
    </row>
    <row r="6" spans="1:6" x14ac:dyDescent="0.2">
      <c r="A6" s="6" t="s">
        <v>104</v>
      </c>
      <c r="B6" s="3">
        <v>0</v>
      </c>
      <c r="C6" s="3">
        <v>0</v>
      </c>
      <c r="D6" s="3">
        <f>IF(VLOOKUP(OtherAmts[[#This Row],[LEA Name]],Sect611[],MATCH("Sig Dis",Sect611[#Headers],0),TRUE)=0,SUM(VLOOKUP(OtherAmts[[#This Row],[LEA Name]],Sect611[],8,FALSE),VLOOKUP(OtherAmts[[#This Row],[LEA Name]],Sect619[],8,FALSE))*0.15,"")</f>
        <v>3805.6664999999998</v>
      </c>
      <c r="E6" s="9" t="str">
        <f>IF(VLOOKUP(OtherAmts[[#This Row],[LEA Name]],Sect611[],MATCH("Sig Dis",Sect611[#Headers],0),TRUE)=1,SUM(VLOOKUP(OtherAmts[[#This Row],[LEA Name]],Sect611[],8,FALSE),VLOOKUP(OtherAmts[[#This Row],[LEA Name]],Sect619[],8,FALSE))*0.15,"")</f>
        <v/>
      </c>
      <c r="F6" s="8"/>
    </row>
    <row r="7" spans="1:6" x14ac:dyDescent="0.2">
      <c r="A7" s="6" t="s">
        <v>44</v>
      </c>
      <c r="B7" s="3">
        <v>0</v>
      </c>
      <c r="C7" s="3">
        <v>0</v>
      </c>
      <c r="D7" s="3">
        <f>IF(VLOOKUP(OtherAmts[[#This Row],[LEA Name]],Sect611[],MATCH("Sig Dis",Sect611[#Headers],0),TRUE)=0,SUM(VLOOKUP(OtherAmts[[#This Row],[LEA Name]],Sect611[],8,FALSE),VLOOKUP(OtherAmts[[#This Row],[LEA Name]],Sect619[],8,FALSE))*0.15,"")</f>
        <v>5076.3914999999997</v>
      </c>
      <c r="E7" s="9" t="str">
        <f>IF(VLOOKUP(OtherAmts[[#This Row],[LEA Name]],Sect611[],MATCH("Sig Dis",Sect611[#Headers],0),TRUE)=1,SUM(VLOOKUP(OtherAmts[[#This Row],[LEA Name]],Sect611[],8,FALSE),VLOOKUP(OtherAmts[[#This Row],[LEA Name]],Sect619[],8,FALSE))*0.15,"")</f>
        <v/>
      </c>
      <c r="F7" s="8"/>
    </row>
    <row r="8" spans="1:6" x14ac:dyDescent="0.2">
      <c r="A8" s="6" t="s">
        <v>108</v>
      </c>
      <c r="B8" s="3">
        <v>0</v>
      </c>
      <c r="C8" s="3">
        <v>0</v>
      </c>
      <c r="D8" s="3">
        <f>IF(VLOOKUP(OtherAmts[[#This Row],[LEA Name]],Sect611[],MATCH("Sig Dis",Sect611[#Headers],0),TRUE)=0,SUM(VLOOKUP(OtherAmts[[#This Row],[LEA Name]],Sect611[],8,FALSE),VLOOKUP(OtherAmts[[#This Row],[LEA Name]],Sect619[],8,FALSE))*0.15,"")</f>
        <v>733.16399999999987</v>
      </c>
      <c r="E8" s="9" t="str">
        <f>IF(VLOOKUP(OtherAmts[[#This Row],[LEA Name]],Sect611[],MATCH("Sig Dis",Sect611[#Headers],0),TRUE)=1,SUM(VLOOKUP(OtherAmts[[#This Row],[LEA Name]],Sect611[],8,FALSE),VLOOKUP(OtherAmts[[#This Row],[LEA Name]],Sect619[],8,FALSE))*0.15,"")</f>
        <v/>
      </c>
      <c r="F8" s="8"/>
    </row>
    <row r="9" spans="1:6" x14ac:dyDescent="0.2">
      <c r="A9" s="6" t="s">
        <v>61</v>
      </c>
      <c r="B9" s="3">
        <v>0</v>
      </c>
      <c r="C9" s="3">
        <v>0</v>
      </c>
      <c r="D9" s="3">
        <f>IF(VLOOKUP(OtherAmts[[#This Row],[LEA Name]],Sect611[],MATCH("Sig Dis",Sect611[#Headers],0),TRUE)=0,SUM(VLOOKUP(OtherAmts[[#This Row],[LEA Name]],Sect611[],8,FALSE),VLOOKUP(OtherAmts[[#This Row],[LEA Name]],Sect619[],8,FALSE))*0.15,"")</f>
        <v>101776.0515</v>
      </c>
      <c r="E9" s="9" t="str">
        <f>IF(VLOOKUP(OtherAmts[[#This Row],[LEA Name]],Sect611[],MATCH("Sig Dis",Sect611[#Headers],0),TRUE)=1,SUM(VLOOKUP(OtherAmts[[#This Row],[LEA Name]],Sect611[],8,FALSE),VLOOKUP(OtherAmts[[#This Row],[LEA Name]],Sect619[],8,FALSE))*0.15,"")</f>
        <v/>
      </c>
      <c r="F9" s="8"/>
    </row>
    <row r="10" spans="1:6" x14ac:dyDescent="0.2">
      <c r="A10" s="6" t="s">
        <v>70</v>
      </c>
      <c r="B10" s="3">
        <v>0</v>
      </c>
      <c r="C10" s="3">
        <v>0</v>
      </c>
      <c r="D10" s="3">
        <f>IF(VLOOKUP(OtherAmts[[#This Row],[LEA Name]],Sect611[],MATCH("Sig Dis",Sect611[#Headers],0),TRUE)=0,SUM(VLOOKUP(OtherAmts[[#This Row],[LEA Name]],Sect611[],8,FALSE),VLOOKUP(OtherAmts[[#This Row],[LEA Name]],Sect619[],8,FALSE))*0.15,"")</f>
        <v>143.32649999999998</v>
      </c>
      <c r="E10" s="9" t="str">
        <f>IF(VLOOKUP(OtherAmts[[#This Row],[LEA Name]],Sect611[],MATCH("Sig Dis",Sect611[#Headers],0),TRUE)=1,SUM(VLOOKUP(OtherAmts[[#This Row],[LEA Name]],Sect611[],8,FALSE),VLOOKUP(OtherAmts[[#This Row],[LEA Name]],Sect619[],8,FALSE))*0.15,"")</f>
        <v/>
      </c>
      <c r="F10" s="8"/>
    </row>
    <row r="11" spans="1:6" x14ac:dyDescent="0.2">
      <c r="A11" s="6" t="s">
        <v>210</v>
      </c>
      <c r="B11" s="3">
        <v>0</v>
      </c>
      <c r="C11" s="3">
        <v>0</v>
      </c>
      <c r="D11" s="3">
        <f>IF(VLOOKUP(OtherAmts[[#This Row],[LEA Name]],Sect611[],MATCH("Sig Dis",Sect611[#Headers],0),TRUE)=0,SUM(VLOOKUP(OtherAmts[[#This Row],[LEA Name]],Sect611[],8,FALSE),VLOOKUP(OtherAmts[[#This Row],[LEA Name]],Sect619[],8,FALSE))*0.15,"")</f>
        <v>59110.191000000006</v>
      </c>
      <c r="E11" s="9" t="str">
        <f>IF(VLOOKUP(OtherAmts[[#This Row],[LEA Name]],Sect611[],MATCH("Sig Dis",Sect611[#Headers],0),TRUE)=1,SUM(VLOOKUP(OtherAmts[[#This Row],[LEA Name]],Sect611[],8,FALSE),VLOOKUP(OtherAmts[[#This Row],[LEA Name]],Sect619[],8,FALSE))*0.15,"")</f>
        <v/>
      </c>
      <c r="F11" s="8"/>
    </row>
    <row r="12" spans="1:6" x14ac:dyDescent="0.2">
      <c r="A12" s="6" t="s">
        <v>211</v>
      </c>
      <c r="B12" s="3">
        <v>0</v>
      </c>
      <c r="C12" s="3">
        <v>0</v>
      </c>
      <c r="D12" s="3">
        <f>IF(VLOOKUP(OtherAmts[[#This Row],[LEA Name]],Sect611[],MATCH("Sig Dis",Sect611[#Headers],0),TRUE)=0,SUM(VLOOKUP(OtherAmts[[#This Row],[LEA Name]],Sect611[],8,FALSE),VLOOKUP(OtherAmts[[#This Row],[LEA Name]],Sect619[],8,FALSE))*0.15,"")</f>
        <v>17735.720999999998</v>
      </c>
      <c r="E12" s="9" t="str">
        <f>IF(VLOOKUP(OtherAmts[[#This Row],[LEA Name]],Sect611[],MATCH("Sig Dis",Sect611[#Headers],0),TRUE)=1,SUM(VLOOKUP(OtherAmts[[#This Row],[LEA Name]],Sect611[],8,FALSE),VLOOKUP(OtherAmts[[#This Row],[LEA Name]],Sect619[],8,FALSE))*0.15,"")</f>
        <v/>
      </c>
      <c r="F12" s="8"/>
    </row>
    <row r="13" spans="1:6" x14ac:dyDescent="0.2">
      <c r="A13" s="6" t="s">
        <v>1</v>
      </c>
      <c r="B13" s="3">
        <v>0</v>
      </c>
      <c r="C13" s="3">
        <v>0</v>
      </c>
      <c r="D13" s="3">
        <f>IF(VLOOKUP(OtherAmts[[#This Row],[LEA Name]],Sect611[],MATCH("Sig Dis",Sect611[#Headers],0),TRUE)=0,SUM(VLOOKUP(OtherAmts[[#This Row],[LEA Name]],Sect611[],8,FALSE),VLOOKUP(OtherAmts[[#This Row],[LEA Name]],Sect619[],8,FALSE))*0.15,"")</f>
        <v>101278.17899999999</v>
      </c>
      <c r="E13" s="9" t="str">
        <f>IF(VLOOKUP(OtherAmts[[#This Row],[LEA Name]],Sect611[],MATCH("Sig Dis",Sect611[#Headers],0),TRUE)=1,SUM(VLOOKUP(OtherAmts[[#This Row],[LEA Name]],Sect611[],8,FALSE),VLOOKUP(OtherAmts[[#This Row],[LEA Name]],Sect619[],8,FALSE))*0.15,"")</f>
        <v/>
      </c>
      <c r="F13" s="8"/>
    </row>
    <row r="14" spans="1:6" x14ac:dyDescent="0.2">
      <c r="A14" s="6" t="s">
        <v>29</v>
      </c>
      <c r="B14" s="3">
        <v>0</v>
      </c>
      <c r="C14" s="3">
        <v>0</v>
      </c>
      <c r="D14" s="3">
        <f>IF(VLOOKUP(OtherAmts[[#This Row],[LEA Name]],Sect611[],MATCH("Sig Dis",Sect611[#Headers],0),TRUE)=0,SUM(VLOOKUP(OtherAmts[[#This Row],[LEA Name]],Sect611[],8,FALSE),VLOOKUP(OtherAmts[[#This Row],[LEA Name]],Sect619[],8,FALSE))*0.15,"")</f>
        <v>25877.7</v>
      </c>
      <c r="E14" s="9" t="str">
        <f>IF(VLOOKUP(OtherAmts[[#This Row],[LEA Name]],Sect611[],MATCH("Sig Dis",Sect611[#Headers],0),TRUE)=1,SUM(VLOOKUP(OtherAmts[[#This Row],[LEA Name]],Sect611[],8,FALSE),VLOOKUP(OtherAmts[[#This Row],[LEA Name]],Sect619[],8,FALSE))*0.15,"")</f>
        <v/>
      </c>
      <c r="F14" s="8"/>
    </row>
    <row r="15" spans="1:6" x14ac:dyDescent="0.2">
      <c r="A15" s="6" t="s">
        <v>152</v>
      </c>
      <c r="B15" s="3">
        <v>4232.16</v>
      </c>
      <c r="C15" s="3">
        <v>0</v>
      </c>
      <c r="D15" s="3">
        <f>IF(VLOOKUP(OtherAmts[[#This Row],[LEA Name]],Sect611[],MATCH("Sig Dis",Sect611[#Headers],0),TRUE)=0,SUM(VLOOKUP(OtherAmts[[#This Row],[LEA Name]],Sect611[],8,FALSE),VLOOKUP(OtherAmts[[#This Row],[LEA Name]],Sect619[],8,FALSE))*0.15,"")</f>
        <v>32438.968499999999</v>
      </c>
      <c r="E15" s="9" t="str">
        <f>IF(VLOOKUP(OtherAmts[[#This Row],[LEA Name]],Sect611[],MATCH("Sig Dis",Sect611[#Headers],0),TRUE)=1,SUM(VLOOKUP(OtherAmts[[#This Row],[LEA Name]],Sect611[],8,FALSE),VLOOKUP(OtherAmts[[#This Row],[LEA Name]],Sect619[],8,FALSE))*0.15,"")</f>
        <v/>
      </c>
      <c r="F15" s="8"/>
    </row>
    <row r="16" spans="1:6" x14ac:dyDescent="0.2">
      <c r="A16" s="6" t="s">
        <v>155</v>
      </c>
      <c r="B16" s="3">
        <v>26881.9</v>
      </c>
      <c r="C16" s="3">
        <v>0</v>
      </c>
      <c r="D16" s="3">
        <f>IF(VLOOKUP(OtherAmts[[#This Row],[LEA Name]],Sect611[],MATCH("Sig Dis",Sect611[#Headers],0),TRUE)=0,SUM(VLOOKUP(OtherAmts[[#This Row],[LEA Name]],Sect611[],8,FALSE),VLOOKUP(OtherAmts[[#This Row],[LEA Name]],Sect619[],8,FALSE))*0.15,"")</f>
        <v>1221371.9294999996</v>
      </c>
      <c r="E16" s="9" t="str">
        <f>IF(VLOOKUP(OtherAmts[[#This Row],[LEA Name]],Sect611[],MATCH("Sig Dis",Sect611[#Headers],0),TRUE)=1,SUM(VLOOKUP(OtherAmts[[#This Row],[LEA Name]],Sect611[],8,FALSE),VLOOKUP(OtherAmts[[#This Row],[LEA Name]],Sect619[],8,FALSE))*0.15,"")</f>
        <v/>
      </c>
      <c r="F16" s="8"/>
    </row>
    <row r="17" spans="1:6" x14ac:dyDescent="0.2">
      <c r="A17" s="6" t="s">
        <v>212</v>
      </c>
      <c r="B17" s="3">
        <v>34655.97</v>
      </c>
      <c r="C17" s="3">
        <v>1058.54</v>
      </c>
      <c r="D17" s="3">
        <f>IF(VLOOKUP(OtherAmts[[#This Row],[LEA Name]],Sect611[],MATCH("Sig Dis",Sect611[#Headers],0),TRUE)=0,SUM(VLOOKUP(OtherAmts[[#This Row],[LEA Name]],Sect611[],8,FALSE),VLOOKUP(OtherAmts[[#This Row],[LEA Name]],Sect619[],8,FALSE))*0.15,"")</f>
        <v>543028.47750000004</v>
      </c>
      <c r="E17" s="9" t="str">
        <f>IF(VLOOKUP(OtherAmts[[#This Row],[LEA Name]],Sect611[],MATCH("Sig Dis",Sect611[#Headers],0),TRUE)=1,SUM(VLOOKUP(OtherAmts[[#This Row],[LEA Name]],Sect611[],8,FALSE),VLOOKUP(OtherAmts[[#This Row],[LEA Name]],Sect619[],8,FALSE))*0.15,"")</f>
        <v/>
      </c>
      <c r="F17" s="8"/>
    </row>
    <row r="18" spans="1:6" x14ac:dyDescent="0.2">
      <c r="A18" s="6" t="s">
        <v>86</v>
      </c>
      <c r="B18" s="3">
        <v>0</v>
      </c>
      <c r="C18" s="3">
        <v>0</v>
      </c>
      <c r="D18" s="3">
        <f>IF(VLOOKUP(OtherAmts[[#This Row],[LEA Name]],Sect611[],MATCH("Sig Dis",Sect611[#Headers],0),TRUE)=0,SUM(VLOOKUP(OtherAmts[[#This Row],[LEA Name]],Sect611[],8,FALSE),VLOOKUP(OtherAmts[[#This Row],[LEA Name]],Sect619[],8,FALSE))*0.15,"")</f>
        <v>183402.95700000002</v>
      </c>
      <c r="E18" s="9" t="str">
        <f>IF(VLOOKUP(OtherAmts[[#This Row],[LEA Name]],Sect611[],MATCH("Sig Dis",Sect611[#Headers],0),TRUE)=1,SUM(VLOOKUP(OtherAmts[[#This Row],[LEA Name]],Sect611[],8,FALSE),VLOOKUP(OtherAmts[[#This Row],[LEA Name]],Sect619[],8,FALSE))*0.15,"")</f>
        <v/>
      </c>
      <c r="F18" s="8"/>
    </row>
    <row r="19" spans="1:6" x14ac:dyDescent="0.2">
      <c r="A19" s="6" t="s">
        <v>92</v>
      </c>
      <c r="B19" s="3">
        <v>0</v>
      </c>
      <c r="C19" s="3">
        <v>0</v>
      </c>
      <c r="D19" s="3">
        <f>IF(VLOOKUP(OtherAmts[[#This Row],[LEA Name]],Sect611[],MATCH("Sig Dis",Sect611[#Headers],0),TRUE)=0,SUM(VLOOKUP(OtherAmts[[#This Row],[LEA Name]],Sect611[],8,FALSE),VLOOKUP(OtherAmts[[#This Row],[LEA Name]],Sect619[],8,FALSE))*0.15,"")</f>
        <v>8386.9259999999995</v>
      </c>
      <c r="E19" s="9" t="str">
        <f>IF(VLOOKUP(OtherAmts[[#This Row],[LEA Name]],Sect611[],MATCH("Sig Dis",Sect611[#Headers],0),TRUE)=1,SUM(VLOOKUP(OtherAmts[[#This Row],[LEA Name]],Sect611[],8,FALSE),VLOOKUP(OtherAmts[[#This Row],[LEA Name]],Sect619[],8,FALSE))*0.15,"")</f>
        <v/>
      </c>
      <c r="F19" s="8"/>
    </row>
    <row r="20" spans="1:6" x14ac:dyDescent="0.2">
      <c r="A20" s="6" t="s">
        <v>71</v>
      </c>
      <c r="B20" s="3">
        <v>0</v>
      </c>
      <c r="C20" s="3">
        <v>0</v>
      </c>
      <c r="D20" s="3">
        <f>IF(VLOOKUP(OtherAmts[[#This Row],[LEA Name]],Sect611[],MATCH("Sig Dis",Sect611[#Headers],0),TRUE)=0,SUM(VLOOKUP(OtherAmts[[#This Row],[LEA Name]],Sect611[],8,FALSE),VLOOKUP(OtherAmts[[#This Row],[LEA Name]],Sect619[],8,FALSE))*0.15,"")</f>
        <v>646.79699999999991</v>
      </c>
      <c r="E20" s="9" t="str">
        <f>IF(VLOOKUP(OtherAmts[[#This Row],[LEA Name]],Sect611[],MATCH("Sig Dis",Sect611[#Headers],0),TRUE)=1,SUM(VLOOKUP(OtherAmts[[#This Row],[LEA Name]],Sect611[],8,FALSE),VLOOKUP(OtherAmts[[#This Row],[LEA Name]],Sect619[],8,FALSE))*0.15,"")</f>
        <v/>
      </c>
      <c r="F20" s="8"/>
    </row>
    <row r="21" spans="1:6" x14ac:dyDescent="0.2">
      <c r="A21" s="6" t="s">
        <v>213</v>
      </c>
      <c r="B21" s="3">
        <v>0</v>
      </c>
      <c r="C21" s="3">
        <v>0</v>
      </c>
      <c r="D21" s="3">
        <f>IF(VLOOKUP(OtherAmts[[#This Row],[LEA Name]],Sect611[],MATCH("Sig Dis",Sect611[#Headers],0),TRUE)=0,SUM(VLOOKUP(OtherAmts[[#This Row],[LEA Name]],Sect611[],8,FALSE),VLOOKUP(OtherAmts[[#This Row],[LEA Name]],Sect619[],8,FALSE))*0.15,"")</f>
        <v>55762.962</v>
      </c>
      <c r="E21" s="9" t="str">
        <f>IF(VLOOKUP(OtherAmts[[#This Row],[LEA Name]],Sect611[],MATCH("Sig Dis",Sect611[#Headers],0),TRUE)=1,SUM(VLOOKUP(OtherAmts[[#This Row],[LEA Name]],Sect611[],8,FALSE),VLOOKUP(OtherAmts[[#This Row],[LEA Name]],Sect619[],8,FALSE))*0.15,"")</f>
        <v/>
      </c>
      <c r="F21" s="8"/>
    </row>
    <row r="22" spans="1:6" x14ac:dyDescent="0.2">
      <c r="A22" s="6" t="s">
        <v>3</v>
      </c>
      <c r="B22" s="3">
        <v>0</v>
      </c>
      <c r="C22" s="3">
        <v>0</v>
      </c>
      <c r="D22" s="3">
        <f>IF(VLOOKUP(OtherAmts[[#This Row],[LEA Name]],Sect611[],MATCH("Sig Dis",Sect611[#Headers],0),TRUE)=0,SUM(VLOOKUP(OtherAmts[[#This Row],[LEA Name]],Sect611[],8,FALSE),VLOOKUP(OtherAmts[[#This Row],[LEA Name]],Sect619[],8,FALSE))*0.15,"")</f>
        <v>2666.7524999999996</v>
      </c>
      <c r="E22" s="9" t="str">
        <f>IF(VLOOKUP(OtherAmts[[#This Row],[LEA Name]],Sect611[],MATCH("Sig Dis",Sect611[#Headers],0),TRUE)=1,SUM(VLOOKUP(OtherAmts[[#This Row],[LEA Name]],Sect611[],8,FALSE),VLOOKUP(OtherAmts[[#This Row],[LEA Name]],Sect619[],8,FALSE))*0.15,"")</f>
        <v/>
      </c>
      <c r="F22" s="8"/>
    </row>
    <row r="23" spans="1:6" x14ac:dyDescent="0.2">
      <c r="A23" s="6" t="s">
        <v>66</v>
      </c>
      <c r="B23" s="3">
        <v>0</v>
      </c>
      <c r="C23" s="3">
        <v>0</v>
      </c>
      <c r="D23" s="3">
        <f>IF(VLOOKUP(OtherAmts[[#This Row],[LEA Name]],Sect611[],MATCH("Sig Dis",Sect611[#Headers],0),TRUE)=0,SUM(VLOOKUP(OtherAmts[[#This Row],[LEA Name]],Sect611[],8,FALSE),VLOOKUP(OtherAmts[[#This Row],[LEA Name]],Sect619[],8,FALSE))*0.15,"")</f>
        <v>6382.6994999999997</v>
      </c>
      <c r="E23" s="9" t="str">
        <f>IF(VLOOKUP(OtherAmts[[#This Row],[LEA Name]],Sect611[],MATCH("Sig Dis",Sect611[#Headers],0),TRUE)=1,SUM(VLOOKUP(OtherAmts[[#This Row],[LEA Name]],Sect611[],8,FALSE),VLOOKUP(OtherAmts[[#This Row],[LEA Name]],Sect619[],8,FALSE))*0.15,"")</f>
        <v/>
      </c>
      <c r="F23" s="8"/>
    </row>
    <row r="24" spans="1:6" x14ac:dyDescent="0.2">
      <c r="A24" s="6" t="s">
        <v>214</v>
      </c>
      <c r="B24" s="3">
        <v>0</v>
      </c>
      <c r="C24" s="3">
        <v>0</v>
      </c>
      <c r="D24" s="3">
        <f>IF(VLOOKUP(OtherAmts[[#This Row],[LEA Name]],Sect611[],MATCH("Sig Dis",Sect611[#Headers],0),TRUE)=0,SUM(VLOOKUP(OtherAmts[[#This Row],[LEA Name]],Sect611[],8,FALSE),VLOOKUP(OtherAmts[[#This Row],[LEA Name]],Sect619[],8,FALSE))*0.15,"")</f>
        <v>7605.1695</v>
      </c>
      <c r="E24" s="9" t="str">
        <f>IF(VLOOKUP(OtherAmts[[#This Row],[LEA Name]],Sect611[],MATCH("Sig Dis",Sect611[#Headers],0),TRUE)=1,SUM(VLOOKUP(OtherAmts[[#This Row],[LEA Name]],Sect611[],8,FALSE),VLOOKUP(OtherAmts[[#This Row],[LEA Name]],Sect619[],8,FALSE))*0.15,"")</f>
        <v/>
      </c>
      <c r="F24" s="8"/>
    </row>
    <row r="25" spans="1:6" x14ac:dyDescent="0.2">
      <c r="A25" s="6" t="s">
        <v>14</v>
      </c>
      <c r="B25" s="3">
        <v>0</v>
      </c>
      <c r="C25" s="3">
        <v>0</v>
      </c>
      <c r="D25" s="3">
        <f>IF(VLOOKUP(OtherAmts[[#This Row],[LEA Name]],Sect611[],MATCH("Sig Dis",Sect611[#Headers],0),TRUE)=0,SUM(VLOOKUP(OtherAmts[[#This Row],[LEA Name]],Sect611[],8,FALSE),VLOOKUP(OtherAmts[[#This Row],[LEA Name]],Sect619[],8,FALSE))*0.15,"")</f>
        <v>154484.6985</v>
      </c>
      <c r="E25" s="9" t="str">
        <f>IF(VLOOKUP(OtherAmts[[#This Row],[LEA Name]],Sect611[],MATCH("Sig Dis",Sect611[#Headers],0),TRUE)=1,SUM(VLOOKUP(OtherAmts[[#This Row],[LEA Name]],Sect611[],8,FALSE),VLOOKUP(OtherAmts[[#This Row],[LEA Name]],Sect619[],8,FALSE))*0.15,"")</f>
        <v/>
      </c>
      <c r="F25" s="8"/>
    </row>
    <row r="26" spans="1:6" x14ac:dyDescent="0.2">
      <c r="A26" s="6" t="s">
        <v>112</v>
      </c>
      <c r="B26" s="3">
        <v>12677.8</v>
      </c>
      <c r="C26" s="3">
        <v>0</v>
      </c>
      <c r="D26" s="3">
        <f>IF(VLOOKUP(OtherAmts[[#This Row],[LEA Name]],Sect611[],MATCH("Sig Dis",Sect611[#Headers],0),TRUE)=0,SUM(VLOOKUP(OtherAmts[[#This Row],[LEA Name]],Sect611[],8,FALSE),VLOOKUP(OtherAmts[[#This Row],[LEA Name]],Sect619[],8,FALSE))*0.15,"")</f>
        <v>85599.934499999988</v>
      </c>
      <c r="E26" s="9" t="str">
        <f>IF(VLOOKUP(OtherAmts[[#This Row],[LEA Name]],Sect611[],MATCH("Sig Dis",Sect611[#Headers],0),TRUE)=1,SUM(VLOOKUP(OtherAmts[[#This Row],[LEA Name]],Sect611[],8,FALSE),VLOOKUP(OtherAmts[[#This Row],[LEA Name]],Sect619[],8,FALSE))*0.15,"")</f>
        <v/>
      </c>
      <c r="F26" s="8"/>
    </row>
    <row r="27" spans="1:6" x14ac:dyDescent="0.2">
      <c r="A27" s="6" t="s">
        <v>125</v>
      </c>
      <c r="B27" s="3">
        <v>0</v>
      </c>
      <c r="C27" s="3">
        <v>0</v>
      </c>
      <c r="D27" s="3">
        <f>IF(VLOOKUP(OtherAmts[[#This Row],[LEA Name]],Sect611[],MATCH("Sig Dis",Sect611[#Headers],0),TRUE)=0,SUM(VLOOKUP(OtherAmts[[#This Row],[LEA Name]],Sect611[],8,FALSE),VLOOKUP(OtherAmts[[#This Row],[LEA Name]],Sect619[],8,FALSE))*0.15,"")</f>
        <v>203133.21450000003</v>
      </c>
      <c r="E27" s="9" t="str">
        <f>IF(VLOOKUP(OtherAmts[[#This Row],[LEA Name]],Sect611[],MATCH("Sig Dis",Sect611[#Headers],0),TRUE)=1,SUM(VLOOKUP(OtherAmts[[#This Row],[LEA Name]],Sect611[],8,FALSE),VLOOKUP(OtherAmts[[#This Row],[LEA Name]],Sect619[],8,FALSE))*0.15,"")</f>
        <v/>
      </c>
      <c r="F27" s="8"/>
    </row>
    <row r="28" spans="1:6" x14ac:dyDescent="0.2">
      <c r="A28" s="6" t="s">
        <v>30</v>
      </c>
      <c r="B28" s="3">
        <v>0</v>
      </c>
      <c r="C28" s="3">
        <v>0</v>
      </c>
      <c r="D28" s="3">
        <f>IF(VLOOKUP(OtherAmts[[#This Row],[LEA Name]],Sect611[],MATCH("Sig Dis",Sect611[#Headers],0),TRUE)=0,SUM(VLOOKUP(OtherAmts[[#This Row],[LEA Name]],Sect611[],8,FALSE),VLOOKUP(OtherAmts[[#This Row],[LEA Name]],Sect619[],8,FALSE))*0.15,"")</f>
        <v>19415.513999999999</v>
      </c>
      <c r="E28" s="9" t="str">
        <f>IF(VLOOKUP(OtherAmts[[#This Row],[LEA Name]],Sect611[],MATCH("Sig Dis",Sect611[#Headers],0),TRUE)=1,SUM(VLOOKUP(OtherAmts[[#This Row],[LEA Name]],Sect611[],8,FALSE),VLOOKUP(OtherAmts[[#This Row],[LEA Name]],Sect619[],8,FALSE))*0.15,"")</f>
        <v/>
      </c>
      <c r="F28" s="8"/>
    </row>
    <row r="29" spans="1:6" x14ac:dyDescent="0.2">
      <c r="A29" s="6" t="s">
        <v>100</v>
      </c>
      <c r="B29" s="3">
        <v>0</v>
      </c>
      <c r="C29" s="3">
        <v>0</v>
      </c>
      <c r="D29" s="3">
        <f>IF(VLOOKUP(OtherAmts[[#This Row],[LEA Name]],Sect611[],MATCH("Sig Dis",Sect611[#Headers],0),TRUE)=0,SUM(VLOOKUP(OtherAmts[[#This Row],[LEA Name]],Sect611[],8,FALSE),VLOOKUP(OtherAmts[[#This Row],[LEA Name]],Sect619[],8,FALSE))*0.15,"")</f>
        <v>22147.057500000003</v>
      </c>
      <c r="E29" s="9" t="str">
        <f>IF(VLOOKUP(OtherAmts[[#This Row],[LEA Name]],Sect611[],MATCH("Sig Dis",Sect611[#Headers],0),TRUE)=1,SUM(VLOOKUP(OtherAmts[[#This Row],[LEA Name]],Sect611[],8,FALSE),VLOOKUP(OtherAmts[[#This Row],[LEA Name]],Sect619[],8,FALSE))*0.15,"")</f>
        <v/>
      </c>
      <c r="F29" s="8"/>
    </row>
    <row r="30" spans="1:6" x14ac:dyDescent="0.2">
      <c r="A30" s="6" t="s">
        <v>62</v>
      </c>
      <c r="B30" s="3">
        <v>0</v>
      </c>
      <c r="C30" s="3">
        <v>0</v>
      </c>
      <c r="D30" s="3">
        <f>IF(VLOOKUP(OtherAmts[[#This Row],[LEA Name]],Sect611[],MATCH("Sig Dis",Sect611[#Headers],0),TRUE)=0,SUM(VLOOKUP(OtherAmts[[#This Row],[LEA Name]],Sect611[],8,FALSE),VLOOKUP(OtherAmts[[#This Row],[LEA Name]],Sect619[],8,FALSE))*0.15,"")</f>
        <v>142013.34599999999</v>
      </c>
      <c r="E30" s="9" t="str">
        <f>IF(VLOOKUP(OtherAmts[[#This Row],[LEA Name]],Sect611[],MATCH("Sig Dis",Sect611[#Headers],0),TRUE)=1,SUM(VLOOKUP(OtherAmts[[#This Row],[LEA Name]],Sect611[],8,FALSE),VLOOKUP(OtherAmts[[#This Row],[LEA Name]],Sect619[],8,FALSE))*0.15,"")</f>
        <v/>
      </c>
      <c r="F30" s="8"/>
    </row>
    <row r="31" spans="1:6" x14ac:dyDescent="0.2">
      <c r="A31" s="6" t="s">
        <v>130</v>
      </c>
      <c r="B31" s="3">
        <v>0</v>
      </c>
      <c r="C31" s="3">
        <v>0</v>
      </c>
      <c r="D31" s="3">
        <f>IF(VLOOKUP(OtherAmts[[#This Row],[LEA Name]],Sect611[],MATCH("Sig Dis",Sect611[#Headers],0),TRUE)=0,SUM(VLOOKUP(OtherAmts[[#This Row],[LEA Name]],Sect611[],8,FALSE),VLOOKUP(OtherAmts[[#This Row],[LEA Name]],Sect619[],8,FALSE))*0.15,"")</f>
        <v>96542.407500000001</v>
      </c>
      <c r="E31" s="9" t="str">
        <f>IF(VLOOKUP(OtherAmts[[#This Row],[LEA Name]],Sect611[],MATCH("Sig Dis",Sect611[#Headers],0),TRUE)=1,SUM(VLOOKUP(OtherAmts[[#This Row],[LEA Name]],Sect611[],8,FALSE),VLOOKUP(OtherAmts[[#This Row],[LEA Name]],Sect619[],8,FALSE))*0.15,"")</f>
        <v/>
      </c>
      <c r="F31" s="8"/>
    </row>
    <row r="32" spans="1:6" x14ac:dyDescent="0.2">
      <c r="A32" s="6" t="s">
        <v>20</v>
      </c>
      <c r="B32" s="3">
        <v>0</v>
      </c>
      <c r="C32" s="3">
        <v>0</v>
      </c>
      <c r="D32" s="3">
        <f>IF(VLOOKUP(OtherAmts[[#This Row],[LEA Name]],Sect611[],MATCH("Sig Dis",Sect611[#Headers],0),TRUE)=0,SUM(VLOOKUP(OtherAmts[[#This Row],[LEA Name]],Sect611[],8,FALSE),VLOOKUP(OtherAmts[[#This Row],[LEA Name]],Sect619[],8,FALSE))*0.15,"")</f>
        <v>26354.855999999996</v>
      </c>
      <c r="E32" s="9" t="str">
        <f>IF(VLOOKUP(OtherAmts[[#This Row],[LEA Name]],Sect611[],MATCH("Sig Dis",Sect611[#Headers],0),TRUE)=1,SUM(VLOOKUP(OtherAmts[[#This Row],[LEA Name]],Sect611[],8,FALSE),VLOOKUP(OtherAmts[[#This Row],[LEA Name]],Sect619[],8,FALSE))*0.15,"")</f>
        <v/>
      </c>
      <c r="F32" s="8"/>
    </row>
    <row r="33" spans="1:6" x14ac:dyDescent="0.2">
      <c r="A33" s="6" t="s">
        <v>12</v>
      </c>
      <c r="B33" s="3">
        <v>0</v>
      </c>
      <c r="C33" s="3">
        <v>0</v>
      </c>
      <c r="D33" s="3">
        <f>IF(VLOOKUP(OtherAmts[[#This Row],[LEA Name]],Sect611[],MATCH("Sig Dis",Sect611[#Headers],0),TRUE)=0,SUM(VLOOKUP(OtherAmts[[#This Row],[LEA Name]],Sect611[],8,FALSE),VLOOKUP(OtherAmts[[#This Row],[LEA Name]],Sect619[],8,FALSE))*0.15,"")</f>
        <v>22795.147500000003</v>
      </c>
      <c r="E33" s="9" t="str">
        <f>IF(VLOOKUP(OtherAmts[[#This Row],[LEA Name]],Sect611[],MATCH("Sig Dis",Sect611[#Headers],0),TRUE)=1,SUM(VLOOKUP(OtherAmts[[#This Row],[LEA Name]],Sect611[],8,FALSE),VLOOKUP(OtherAmts[[#This Row],[LEA Name]],Sect619[],8,FALSE))*0.15,"")</f>
        <v/>
      </c>
      <c r="F33" s="8"/>
    </row>
    <row r="34" spans="1:6" x14ac:dyDescent="0.2">
      <c r="A34" s="6" t="s">
        <v>45</v>
      </c>
      <c r="B34" s="3">
        <v>0</v>
      </c>
      <c r="C34" s="3">
        <v>0</v>
      </c>
      <c r="D34" s="3">
        <f>IF(VLOOKUP(OtherAmts[[#This Row],[LEA Name]],Sect611[],MATCH("Sig Dis",Sect611[#Headers],0),TRUE)=0,SUM(VLOOKUP(OtherAmts[[#This Row],[LEA Name]],Sect611[],8,FALSE),VLOOKUP(OtherAmts[[#This Row],[LEA Name]],Sect619[],8,FALSE))*0.15,"")</f>
        <v>4624.7624999999989</v>
      </c>
      <c r="E34" s="9" t="str">
        <f>IF(VLOOKUP(OtherAmts[[#This Row],[LEA Name]],Sect611[],MATCH("Sig Dis",Sect611[#Headers],0),TRUE)=1,SUM(VLOOKUP(OtherAmts[[#This Row],[LEA Name]],Sect611[],8,FALSE),VLOOKUP(OtherAmts[[#This Row],[LEA Name]],Sect619[],8,FALSE))*0.15,"")</f>
        <v/>
      </c>
      <c r="F34" s="8"/>
    </row>
    <row r="35" spans="1:6" x14ac:dyDescent="0.2">
      <c r="A35" s="6" t="s">
        <v>25</v>
      </c>
      <c r="B35" s="3">
        <v>0</v>
      </c>
      <c r="C35" s="3">
        <v>0</v>
      </c>
      <c r="D35" s="3">
        <f>IF(VLOOKUP(OtherAmts[[#This Row],[LEA Name]],Sect611[],MATCH("Sig Dis",Sect611[#Headers],0),TRUE)=0,SUM(VLOOKUP(OtherAmts[[#This Row],[LEA Name]],Sect611[],8,FALSE),VLOOKUP(OtherAmts[[#This Row],[LEA Name]],Sect619[],8,FALSE))*0.15,"")</f>
        <v>133785.04500000001</v>
      </c>
      <c r="E35" s="9" t="str">
        <f>IF(VLOOKUP(OtherAmts[[#This Row],[LEA Name]],Sect611[],MATCH("Sig Dis",Sect611[#Headers],0),TRUE)=1,SUM(VLOOKUP(OtherAmts[[#This Row],[LEA Name]],Sect611[],8,FALSE),VLOOKUP(OtherAmts[[#This Row],[LEA Name]],Sect619[],8,FALSE))*0.15,"")</f>
        <v/>
      </c>
      <c r="F35" s="8"/>
    </row>
    <row r="36" spans="1:6" x14ac:dyDescent="0.2">
      <c r="A36" s="6" t="s">
        <v>24</v>
      </c>
      <c r="B36" s="3">
        <v>0</v>
      </c>
      <c r="C36" s="3">
        <v>0</v>
      </c>
      <c r="D36" s="3">
        <f>IF(VLOOKUP(OtherAmts[[#This Row],[LEA Name]],Sect611[],MATCH("Sig Dis",Sect611[#Headers],0),TRUE)=0,SUM(VLOOKUP(OtherAmts[[#This Row],[LEA Name]],Sect611[],8,FALSE),VLOOKUP(OtherAmts[[#This Row],[LEA Name]],Sect619[],8,FALSE))*0.15,"")</f>
        <v>38417.683499999999</v>
      </c>
      <c r="E36" s="9" t="str">
        <f>IF(VLOOKUP(OtherAmts[[#This Row],[LEA Name]],Sect611[],MATCH("Sig Dis",Sect611[#Headers],0),TRUE)=1,SUM(VLOOKUP(OtherAmts[[#This Row],[LEA Name]],Sect611[],8,FALSE),VLOOKUP(OtherAmts[[#This Row],[LEA Name]],Sect619[],8,FALSE))*0.15,"")</f>
        <v/>
      </c>
      <c r="F36" s="8"/>
    </row>
    <row r="37" spans="1:6" x14ac:dyDescent="0.2">
      <c r="A37" s="6" t="s">
        <v>126</v>
      </c>
      <c r="B37" s="3">
        <v>0</v>
      </c>
      <c r="C37" s="3">
        <v>0</v>
      </c>
      <c r="D37" s="3">
        <f>IF(VLOOKUP(OtherAmts[[#This Row],[LEA Name]],Sect611[],MATCH("Sig Dis",Sect611[#Headers],0),TRUE)=0,SUM(VLOOKUP(OtherAmts[[#This Row],[LEA Name]],Sect611[],8,FALSE),VLOOKUP(OtherAmts[[#This Row],[LEA Name]],Sect619[],8,FALSE))*0.15,"")</f>
        <v>29022.409499999998</v>
      </c>
      <c r="E37" s="9" t="str">
        <f>IF(VLOOKUP(OtherAmts[[#This Row],[LEA Name]],Sect611[],MATCH("Sig Dis",Sect611[#Headers],0),TRUE)=1,SUM(VLOOKUP(OtherAmts[[#This Row],[LEA Name]],Sect611[],8,FALSE),VLOOKUP(OtherAmts[[#This Row],[LEA Name]],Sect619[],8,FALSE))*0.15,"")</f>
        <v/>
      </c>
      <c r="F37" s="8"/>
    </row>
    <row r="38" spans="1:6" x14ac:dyDescent="0.2">
      <c r="A38" s="6" t="s">
        <v>7</v>
      </c>
      <c r="B38" s="3">
        <v>29203.03</v>
      </c>
      <c r="C38" s="3">
        <v>0</v>
      </c>
      <c r="D38" s="3">
        <f>IF(VLOOKUP(OtherAmts[[#This Row],[LEA Name]],Sect611[],MATCH("Sig Dis",Sect611[#Headers],0),TRUE)=0,SUM(VLOOKUP(OtherAmts[[#This Row],[LEA Name]],Sect611[],8,FALSE),VLOOKUP(OtherAmts[[#This Row],[LEA Name]],Sect619[],8,FALSE))*0.15,"")</f>
        <v>233310.01649999997</v>
      </c>
      <c r="E38" s="9" t="str">
        <f>IF(VLOOKUP(OtherAmts[[#This Row],[LEA Name]],Sect611[],MATCH("Sig Dis",Sect611[#Headers],0),TRUE)=1,SUM(VLOOKUP(OtherAmts[[#This Row],[LEA Name]],Sect611[],8,FALSE),VLOOKUP(OtherAmts[[#This Row],[LEA Name]],Sect619[],8,FALSE))*0.15,"")</f>
        <v/>
      </c>
      <c r="F38" s="8"/>
    </row>
    <row r="39" spans="1:6" x14ac:dyDescent="0.2">
      <c r="A39" s="6" t="s">
        <v>144</v>
      </c>
      <c r="B39" s="3">
        <v>0</v>
      </c>
      <c r="C39" s="3">
        <v>0</v>
      </c>
      <c r="D39" s="3">
        <f>IF(VLOOKUP(OtherAmts[[#This Row],[LEA Name]],Sect611[],MATCH("Sig Dis",Sect611[#Headers],0),TRUE)=0,SUM(VLOOKUP(OtherAmts[[#This Row],[LEA Name]],Sect611[],8,FALSE),VLOOKUP(OtherAmts[[#This Row],[LEA Name]],Sect619[],8,FALSE))*0.15,"")</f>
        <v>9001.2420000000002</v>
      </c>
      <c r="E39" s="9" t="str">
        <f>IF(VLOOKUP(OtherAmts[[#This Row],[LEA Name]],Sect611[],MATCH("Sig Dis",Sect611[#Headers],0),TRUE)=1,SUM(VLOOKUP(OtherAmts[[#This Row],[LEA Name]],Sect611[],8,FALSE),VLOOKUP(OtherAmts[[#This Row],[LEA Name]],Sect619[],8,FALSE))*0.15,"")</f>
        <v/>
      </c>
      <c r="F39" s="8"/>
    </row>
    <row r="40" spans="1:6" x14ac:dyDescent="0.2">
      <c r="A40" s="6" t="s">
        <v>85</v>
      </c>
      <c r="B40" s="3">
        <v>0</v>
      </c>
      <c r="C40" s="3">
        <v>0</v>
      </c>
      <c r="D40" s="3">
        <f>IF(VLOOKUP(OtherAmts[[#This Row],[LEA Name]],Sect611[],MATCH("Sig Dis",Sect611[#Headers],0),TRUE)=0,SUM(VLOOKUP(OtherAmts[[#This Row],[LEA Name]],Sect611[],8,FALSE),VLOOKUP(OtherAmts[[#This Row],[LEA Name]],Sect619[],8,FALSE))*0.15,"")</f>
        <v>47110.106999999996</v>
      </c>
      <c r="E40" s="9" t="str">
        <f>IF(VLOOKUP(OtherAmts[[#This Row],[LEA Name]],Sect611[],MATCH("Sig Dis",Sect611[#Headers],0),TRUE)=1,SUM(VLOOKUP(OtherAmts[[#This Row],[LEA Name]],Sect611[],8,FALSE),VLOOKUP(OtherAmts[[#This Row],[LEA Name]],Sect619[],8,FALSE))*0.15,"")</f>
        <v/>
      </c>
      <c r="F40" s="8"/>
    </row>
    <row r="41" spans="1:6" x14ac:dyDescent="0.2">
      <c r="A41" s="6" t="s">
        <v>215</v>
      </c>
      <c r="B41" s="3">
        <v>0</v>
      </c>
      <c r="C41" s="3">
        <v>0</v>
      </c>
      <c r="D41" s="3">
        <f>IF(VLOOKUP(OtherAmts[[#This Row],[LEA Name]],Sect611[],MATCH("Sig Dis",Sect611[#Headers],0),TRUE)=0,SUM(VLOOKUP(OtherAmts[[#This Row],[LEA Name]],Sect611[],8,FALSE),VLOOKUP(OtherAmts[[#This Row],[LEA Name]],Sect619[],8,FALSE))*0.15,"")</f>
        <v>101345.8845</v>
      </c>
      <c r="E41" s="9" t="str">
        <f>IF(VLOOKUP(OtherAmts[[#This Row],[LEA Name]],Sect611[],MATCH("Sig Dis",Sect611[#Headers],0),TRUE)=1,SUM(VLOOKUP(OtherAmts[[#This Row],[LEA Name]],Sect611[],8,FALSE),VLOOKUP(OtherAmts[[#This Row],[LEA Name]],Sect619[],8,FALSE))*0.15,"")</f>
        <v/>
      </c>
      <c r="F41" s="8"/>
    </row>
    <row r="42" spans="1:6" x14ac:dyDescent="0.2">
      <c r="A42" s="6" t="s">
        <v>216</v>
      </c>
      <c r="B42" s="3">
        <v>0</v>
      </c>
      <c r="C42" s="3">
        <v>0</v>
      </c>
      <c r="D42" s="3">
        <f>IF(VLOOKUP(OtherAmts[[#This Row],[LEA Name]],Sect611[],MATCH("Sig Dis",Sect611[#Headers],0),TRUE)=0,SUM(VLOOKUP(OtherAmts[[#This Row],[LEA Name]],Sect611[],8,FALSE),VLOOKUP(OtherAmts[[#This Row],[LEA Name]],Sect619[],8,FALSE))*0.15,"")</f>
        <v>10702.120499999999</v>
      </c>
      <c r="E42" s="9" t="str">
        <f>IF(VLOOKUP(OtherAmts[[#This Row],[LEA Name]],Sect611[],MATCH("Sig Dis",Sect611[#Headers],0),TRUE)=1,SUM(VLOOKUP(OtherAmts[[#This Row],[LEA Name]],Sect611[],8,FALSE),VLOOKUP(OtherAmts[[#This Row],[LEA Name]],Sect619[],8,FALSE))*0.15,"")</f>
        <v/>
      </c>
      <c r="F42" s="8"/>
    </row>
    <row r="43" spans="1:6" x14ac:dyDescent="0.2">
      <c r="A43" s="6" t="s">
        <v>69</v>
      </c>
      <c r="B43" s="3">
        <v>0</v>
      </c>
      <c r="C43" s="3">
        <v>0</v>
      </c>
      <c r="D43" s="3">
        <f>IF(VLOOKUP(OtherAmts[[#This Row],[LEA Name]],Sect611[],MATCH("Sig Dis",Sect611[#Headers],0),TRUE)=0,SUM(VLOOKUP(OtherAmts[[#This Row],[LEA Name]],Sect611[],8,FALSE),VLOOKUP(OtherAmts[[#This Row],[LEA Name]],Sect619[],8,FALSE))*0.15,"")</f>
        <v>20466.956999999999</v>
      </c>
      <c r="E43" s="9" t="str">
        <f>IF(VLOOKUP(OtherAmts[[#This Row],[LEA Name]],Sect611[],MATCH("Sig Dis",Sect611[#Headers],0),TRUE)=1,SUM(VLOOKUP(OtherAmts[[#This Row],[LEA Name]],Sect611[],8,FALSE),VLOOKUP(OtherAmts[[#This Row],[LEA Name]],Sect619[],8,FALSE))*0.15,"")</f>
        <v/>
      </c>
      <c r="F43" s="8"/>
    </row>
    <row r="44" spans="1:6" x14ac:dyDescent="0.2">
      <c r="A44" s="6" t="s">
        <v>129</v>
      </c>
      <c r="B44" s="3">
        <v>2618.59</v>
      </c>
      <c r="C44" s="3">
        <v>796.84</v>
      </c>
      <c r="D44" s="3">
        <f>IF(VLOOKUP(OtherAmts[[#This Row],[LEA Name]],Sect611[],MATCH("Sig Dis",Sect611[#Headers],0),TRUE)=0,SUM(VLOOKUP(OtherAmts[[#This Row],[LEA Name]],Sect611[],8,FALSE),VLOOKUP(OtherAmts[[#This Row],[LEA Name]],Sect619[],8,FALSE))*0.15,"")</f>
        <v>112114.80449999998</v>
      </c>
      <c r="E44" s="9" t="str">
        <f>IF(VLOOKUP(OtherAmts[[#This Row],[LEA Name]],Sect611[],MATCH("Sig Dis",Sect611[#Headers],0),TRUE)=1,SUM(VLOOKUP(OtherAmts[[#This Row],[LEA Name]],Sect611[],8,FALSE),VLOOKUP(OtherAmts[[#This Row],[LEA Name]],Sect619[],8,FALSE))*0.15,"")</f>
        <v/>
      </c>
      <c r="F44" s="8"/>
    </row>
    <row r="45" spans="1:6" x14ac:dyDescent="0.2">
      <c r="A45" s="6" t="s">
        <v>127</v>
      </c>
      <c r="B45" s="3">
        <v>15445.3</v>
      </c>
      <c r="C45" s="3">
        <v>246.69</v>
      </c>
      <c r="D45" s="3" t="str">
        <f>IF(VLOOKUP(OtherAmts[[#This Row],[LEA Name]],Sect611[],MATCH("Sig Dis",Sect611[#Headers],0),TRUE)=0,SUM(VLOOKUP(OtherAmts[[#This Row],[LEA Name]],Sect611[],8,FALSE),VLOOKUP(OtherAmts[[#This Row],[LEA Name]],Sect619[],8,FALSE))*0.15,"")</f>
        <v/>
      </c>
      <c r="E45" s="9">
        <f>IF(VLOOKUP(OtherAmts[[#This Row],[LEA Name]],Sect611[],MATCH("Sig Dis",Sect611[#Headers],0),TRUE)=1,SUM(VLOOKUP(OtherAmts[[#This Row],[LEA Name]],Sect611[],8,FALSE),VLOOKUP(OtherAmts[[#This Row],[LEA Name]],Sect619[],8,FALSE))*0.15,"")</f>
        <v>315145.24349999998</v>
      </c>
      <c r="F45" s="8"/>
    </row>
    <row r="46" spans="1:6" x14ac:dyDescent="0.2">
      <c r="A46" s="6" t="s">
        <v>162</v>
      </c>
      <c r="B46" s="3">
        <v>0</v>
      </c>
      <c r="C46" s="3">
        <v>0</v>
      </c>
      <c r="D46" s="3" t="str">
        <f>IF(VLOOKUP(OtherAmts[[#This Row],[LEA Name]],Sect611[],MATCH("Sig Dis",Sect611[#Headers],0),TRUE)=0,SUM(VLOOKUP(OtherAmts[[#This Row],[LEA Name]],Sect611[],8,FALSE),VLOOKUP(OtherAmts[[#This Row],[LEA Name]],Sect619[],8,FALSE))*0.15,"")</f>
        <v/>
      </c>
      <c r="E46" s="9">
        <f>IF(VLOOKUP(OtherAmts[[#This Row],[LEA Name]],Sect611[],MATCH("Sig Dis",Sect611[#Headers],0),TRUE)=1,SUM(VLOOKUP(OtherAmts[[#This Row],[LEA Name]],Sect611[],8,FALSE),VLOOKUP(OtherAmts[[#This Row],[LEA Name]],Sect619[],8,FALSE))*0.15,"")</f>
        <v>31078.931999999993</v>
      </c>
      <c r="F46" s="8"/>
    </row>
    <row r="47" spans="1:6" x14ac:dyDescent="0.2">
      <c r="A47" s="6" t="s">
        <v>49</v>
      </c>
      <c r="B47" s="3">
        <v>0</v>
      </c>
      <c r="C47" s="3">
        <v>0</v>
      </c>
      <c r="D47" s="3">
        <f>IF(VLOOKUP(OtherAmts[[#This Row],[LEA Name]],Sect611[],MATCH("Sig Dis",Sect611[#Headers],0),TRUE)=0,SUM(VLOOKUP(OtherAmts[[#This Row],[LEA Name]],Sect611[],8,FALSE),VLOOKUP(OtherAmts[[#This Row],[LEA Name]],Sect619[],8,FALSE))*0.15,"")</f>
        <v>1614.3915</v>
      </c>
      <c r="E47" s="9" t="str">
        <f>IF(VLOOKUP(OtherAmts[[#This Row],[LEA Name]],Sect611[],MATCH("Sig Dis",Sect611[#Headers],0),TRUE)=1,SUM(VLOOKUP(OtherAmts[[#This Row],[LEA Name]],Sect611[],8,FALSE),VLOOKUP(OtherAmts[[#This Row],[LEA Name]],Sect619[],8,FALSE))*0.15,"")</f>
        <v/>
      </c>
      <c r="F47" s="8"/>
    </row>
    <row r="48" spans="1:6" x14ac:dyDescent="0.2">
      <c r="A48" s="6" t="s">
        <v>54</v>
      </c>
      <c r="B48" s="3">
        <v>0</v>
      </c>
      <c r="C48" s="3">
        <v>0</v>
      </c>
      <c r="D48" s="3">
        <f>IF(VLOOKUP(OtherAmts[[#This Row],[LEA Name]],Sect611[],MATCH("Sig Dis",Sect611[#Headers],0),TRUE)=0,SUM(VLOOKUP(OtherAmts[[#This Row],[LEA Name]],Sect611[],8,FALSE),VLOOKUP(OtherAmts[[#This Row],[LEA Name]],Sect619[],8,FALSE))*0.15,"")</f>
        <v>0</v>
      </c>
      <c r="E48" s="9" t="str">
        <f>IF(VLOOKUP(OtherAmts[[#This Row],[LEA Name]],Sect611[],MATCH("Sig Dis",Sect611[#Headers],0),TRUE)=1,SUM(VLOOKUP(OtherAmts[[#This Row],[LEA Name]],Sect611[],8,FALSE),VLOOKUP(OtherAmts[[#This Row],[LEA Name]],Sect619[],8,FALSE))*0.15,"")</f>
        <v/>
      </c>
      <c r="F48" s="8"/>
    </row>
    <row r="49" spans="1:6" x14ac:dyDescent="0.2">
      <c r="A49" s="6" t="s">
        <v>58</v>
      </c>
      <c r="B49" s="3">
        <v>0</v>
      </c>
      <c r="C49" s="3">
        <v>0</v>
      </c>
      <c r="D49" s="3">
        <f>IF(VLOOKUP(OtherAmts[[#This Row],[LEA Name]],Sect611[],MATCH("Sig Dis",Sect611[#Headers],0),TRUE)=0,SUM(VLOOKUP(OtherAmts[[#This Row],[LEA Name]],Sect611[],8,FALSE),VLOOKUP(OtherAmts[[#This Row],[LEA Name]],Sect619[],8,FALSE))*0.15,"")</f>
        <v>0</v>
      </c>
      <c r="E49" s="9" t="str">
        <f>IF(VLOOKUP(OtherAmts[[#This Row],[LEA Name]],Sect611[],MATCH("Sig Dis",Sect611[#Headers],0),TRUE)=1,SUM(VLOOKUP(OtherAmts[[#This Row],[LEA Name]],Sect611[],8,FALSE),VLOOKUP(OtherAmts[[#This Row],[LEA Name]],Sect619[],8,FALSE))*0.15,"")</f>
        <v/>
      </c>
      <c r="F49" s="8"/>
    </row>
    <row r="50" spans="1:6" x14ac:dyDescent="0.2">
      <c r="A50" s="6" t="s">
        <v>217</v>
      </c>
      <c r="B50" s="3">
        <v>0</v>
      </c>
      <c r="C50" s="3">
        <v>0</v>
      </c>
      <c r="D50" s="3">
        <f>IF(VLOOKUP(OtherAmts[[#This Row],[LEA Name]],Sect611[],MATCH("Sig Dis",Sect611[#Headers],0),TRUE)=0,SUM(VLOOKUP(OtherAmts[[#This Row],[LEA Name]],Sect611[],8,FALSE),VLOOKUP(OtherAmts[[#This Row],[LEA Name]],Sect619[],8,FALSE))*0.15,"")</f>
        <v>9083.5815000000002</v>
      </c>
      <c r="E50" s="9" t="str">
        <f>IF(VLOOKUP(OtherAmts[[#This Row],[LEA Name]],Sect611[],MATCH("Sig Dis",Sect611[#Headers],0),TRUE)=1,SUM(VLOOKUP(OtherAmts[[#This Row],[LEA Name]],Sect611[],8,FALSE),VLOOKUP(OtherAmts[[#This Row],[LEA Name]],Sect619[],8,FALSE))*0.15,"")</f>
        <v/>
      </c>
      <c r="F50" s="8"/>
    </row>
    <row r="51" spans="1:6" x14ac:dyDescent="0.2">
      <c r="A51" s="6" t="s">
        <v>218</v>
      </c>
      <c r="B51" s="3">
        <v>4843.0200000000004</v>
      </c>
      <c r="C51" s="3">
        <v>549.22</v>
      </c>
      <c r="D51" s="3">
        <f>IF(VLOOKUP(OtherAmts[[#This Row],[LEA Name]],Sect611[],MATCH("Sig Dis",Sect611[#Headers],0),TRUE)=0,SUM(VLOOKUP(OtherAmts[[#This Row],[LEA Name]],Sect611[],8,FALSE),VLOOKUP(OtherAmts[[#This Row],[LEA Name]],Sect619[],8,FALSE))*0.15,"")</f>
        <v>202609.26150000002</v>
      </c>
      <c r="E51" s="9" t="str">
        <f>IF(VLOOKUP(OtherAmts[[#This Row],[LEA Name]],Sect611[],MATCH("Sig Dis",Sect611[#Headers],0),TRUE)=1,SUM(VLOOKUP(OtherAmts[[#This Row],[LEA Name]],Sect611[],8,FALSE),VLOOKUP(OtherAmts[[#This Row],[LEA Name]],Sect619[],8,FALSE))*0.15,"")</f>
        <v/>
      </c>
      <c r="F51" s="8"/>
    </row>
    <row r="52" spans="1:6" x14ac:dyDescent="0.2">
      <c r="A52" s="6" t="s">
        <v>56</v>
      </c>
      <c r="B52" s="3">
        <v>0</v>
      </c>
      <c r="C52" s="3">
        <v>0</v>
      </c>
      <c r="D52" s="3">
        <f>IF(VLOOKUP(OtherAmts[[#This Row],[LEA Name]],Sect611[],MATCH("Sig Dis",Sect611[#Headers],0),TRUE)=0,SUM(VLOOKUP(OtherAmts[[#This Row],[LEA Name]],Sect611[],8,FALSE),VLOOKUP(OtherAmts[[#This Row],[LEA Name]],Sect619[],8,FALSE))*0.15,"")</f>
        <v>0</v>
      </c>
      <c r="E52" s="9" t="str">
        <f>IF(VLOOKUP(OtherAmts[[#This Row],[LEA Name]],Sect611[],MATCH("Sig Dis",Sect611[#Headers],0),TRUE)=1,SUM(VLOOKUP(OtherAmts[[#This Row],[LEA Name]],Sect611[],8,FALSE),VLOOKUP(OtherAmts[[#This Row],[LEA Name]],Sect619[],8,FALSE))*0.15,"")</f>
        <v/>
      </c>
      <c r="F52" s="8"/>
    </row>
    <row r="53" spans="1:6" x14ac:dyDescent="0.2">
      <c r="A53" s="6" t="s">
        <v>150</v>
      </c>
      <c r="B53" s="3">
        <v>0</v>
      </c>
      <c r="C53" s="3">
        <v>0</v>
      </c>
      <c r="D53" s="3">
        <f>IF(VLOOKUP(OtherAmts[[#This Row],[LEA Name]],Sect611[],MATCH("Sig Dis",Sect611[#Headers],0),TRUE)=0,SUM(VLOOKUP(OtherAmts[[#This Row],[LEA Name]],Sect611[],8,FALSE),VLOOKUP(OtherAmts[[#This Row],[LEA Name]],Sect619[],8,FALSE))*0.15,"")</f>
        <v>8968.601999999999</v>
      </c>
      <c r="E53" s="9" t="str">
        <f>IF(VLOOKUP(OtherAmts[[#This Row],[LEA Name]],Sect611[],MATCH("Sig Dis",Sect611[#Headers],0),TRUE)=1,SUM(VLOOKUP(OtherAmts[[#This Row],[LEA Name]],Sect611[],8,FALSE),VLOOKUP(OtherAmts[[#This Row],[LEA Name]],Sect619[],8,FALSE))*0.15,"")</f>
        <v/>
      </c>
      <c r="F53" s="8"/>
    </row>
    <row r="54" spans="1:6" x14ac:dyDescent="0.2">
      <c r="A54" s="6" t="s">
        <v>63</v>
      </c>
      <c r="B54" s="3">
        <v>0</v>
      </c>
      <c r="C54" s="3">
        <v>0</v>
      </c>
      <c r="D54" s="3">
        <f>IF(VLOOKUP(OtherAmts[[#This Row],[LEA Name]],Sect611[],MATCH("Sig Dis",Sect611[#Headers],0),TRUE)=0,SUM(VLOOKUP(OtherAmts[[#This Row],[LEA Name]],Sect611[],8,FALSE),VLOOKUP(OtherAmts[[#This Row],[LEA Name]],Sect619[],8,FALSE))*0.15,"")</f>
        <v>136963.85999999999</v>
      </c>
      <c r="E54" s="9" t="str">
        <f>IF(VLOOKUP(OtherAmts[[#This Row],[LEA Name]],Sect611[],MATCH("Sig Dis",Sect611[#Headers],0),TRUE)=1,SUM(VLOOKUP(OtherAmts[[#This Row],[LEA Name]],Sect611[],8,FALSE),VLOOKUP(OtherAmts[[#This Row],[LEA Name]],Sect619[],8,FALSE))*0.15,"")</f>
        <v/>
      </c>
      <c r="F54" s="8"/>
    </row>
    <row r="55" spans="1:6" x14ac:dyDescent="0.2">
      <c r="A55" s="6" t="s">
        <v>138</v>
      </c>
      <c r="B55" s="3">
        <v>0</v>
      </c>
      <c r="C55" s="3">
        <v>0</v>
      </c>
      <c r="D55" s="3">
        <f>IF(VLOOKUP(OtherAmts[[#This Row],[LEA Name]],Sect611[],MATCH("Sig Dis",Sect611[#Headers],0),TRUE)=0,SUM(VLOOKUP(OtherAmts[[#This Row],[LEA Name]],Sect611[],8,FALSE),VLOOKUP(OtherAmts[[#This Row],[LEA Name]],Sect619[],8,FALSE))*0.15,"")</f>
        <v>7543.6949999999988</v>
      </c>
      <c r="E55" s="9" t="str">
        <f>IF(VLOOKUP(OtherAmts[[#This Row],[LEA Name]],Sect611[],MATCH("Sig Dis",Sect611[#Headers],0),TRUE)=1,SUM(VLOOKUP(OtherAmts[[#This Row],[LEA Name]],Sect611[],8,FALSE),VLOOKUP(OtherAmts[[#This Row],[LEA Name]],Sect619[],8,FALSE))*0.15,"")</f>
        <v/>
      </c>
      <c r="F55" s="8"/>
    </row>
    <row r="56" spans="1:6" x14ac:dyDescent="0.2">
      <c r="A56" s="6" t="s">
        <v>145</v>
      </c>
      <c r="B56" s="3">
        <v>0</v>
      </c>
      <c r="C56" s="3">
        <v>0</v>
      </c>
      <c r="D56" s="3">
        <f>IF(VLOOKUP(OtherAmts[[#This Row],[LEA Name]],Sect611[],MATCH("Sig Dis",Sect611[#Headers],0),TRUE)=0,SUM(VLOOKUP(OtherAmts[[#This Row],[LEA Name]],Sect611[],8,FALSE),VLOOKUP(OtherAmts[[#This Row],[LEA Name]],Sect619[],8,FALSE))*0.15,"")</f>
        <v>12875.339999999998</v>
      </c>
      <c r="E56" s="9" t="str">
        <f>IF(VLOOKUP(OtherAmts[[#This Row],[LEA Name]],Sect611[],MATCH("Sig Dis",Sect611[#Headers],0),TRUE)=1,SUM(VLOOKUP(OtherAmts[[#This Row],[LEA Name]],Sect611[],8,FALSE),VLOOKUP(OtherAmts[[#This Row],[LEA Name]],Sect619[],8,FALSE))*0.15,"")</f>
        <v/>
      </c>
      <c r="F56" s="8"/>
    </row>
    <row r="57" spans="1:6" x14ac:dyDescent="0.2">
      <c r="A57" s="6" t="s">
        <v>38</v>
      </c>
      <c r="B57" s="3">
        <v>0</v>
      </c>
      <c r="C57" s="3">
        <v>0</v>
      </c>
      <c r="D57" s="3">
        <f>IF(VLOOKUP(OtherAmts[[#This Row],[LEA Name]],Sect611[],MATCH("Sig Dis",Sect611[#Headers],0),TRUE)=0,SUM(VLOOKUP(OtherAmts[[#This Row],[LEA Name]],Sect611[],8,FALSE),VLOOKUP(OtherAmts[[#This Row],[LEA Name]],Sect619[],8,FALSE))*0.15,"")</f>
        <v>7402.6620000000003</v>
      </c>
      <c r="E57" s="9" t="str">
        <f>IF(VLOOKUP(OtherAmts[[#This Row],[LEA Name]],Sect611[],MATCH("Sig Dis",Sect611[#Headers],0),TRUE)=1,SUM(VLOOKUP(OtherAmts[[#This Row],[LEA Name]],Sect611[],8,FALSE),VLOOKUP(OtherAmts[[#This Row],[LEA Name]],Sect619[],8,FALSE))*0.15,"")</f>
        <v/>
      </c>
      <c r="F57" s="8"/>
    </row>
    <row r="58" spans="1:6" x14ac:dyDescent="0.2">
      <c r="A58" s="6" t="s">
        <v>148</v>
      </c>
      <c r="B58" s="3">
        <v>1494.35</v>
      </c>
      <c r="C58" s="3">
        <v>0</v>
      </c>
      <c r="D58" s="3">
        <f>IF(VLOOKUP(OtherAmts[[#This Row],[LEA Name]],Sect611[],MATCH("Sig Dis",Sect611[#Headers],0),TRUE)=0,SUM(VLOOKUP(OtherAmts[[#This Row],[LEA Name]],Sect611[],8,FALSE),VLOOKUP(OtherAmts[[#This Row],[LEA Name]],Sect619[],8,FALSE))*0.15,"")</f>
        <v>16304.108999999999</v>
      </c>
      <c r="E58" s="9" t="str">
        <f>IF(VLOOKUP(OtherAmts[[#This Row],[LEA Name]],Sect611[],MATCH("Sig Dis",Sect611[#Headers],0),TRUE)=1,SUM(VLOOKUP(OtherAmts[[#This Row],[LEA Name]],Sect611[],8,FALSE),VLOOKUP(OtherAmts[[#This Row],[LEA Name]],Sect619[],8,FALSE))*0.15,"")</f>
        <v/>
      </c>
      <c r="F58" s="8"/>
    </row>
    <row r="59" spans="1:6" x14ac:dyDescent="0.2">
      <c r="A59" s="6" t="s">
        <v>15</v>
      </c>
      <c r="B59" s="3">
        <v>0</v>
      </c>
      <c r="C59" s="3">
        <v>0</v>
      </c>
      <c r="D59" s="3">
        <f>IF(VLOOKUP(OtherAmts[[#This Row],[LEA Name]],Sect611[],MATCH("Sig Dis",Sect611[#Headers],0),TRUE)=0,SUM(VLOOKUP(OtherAmts[[#This Row],[LEA Name]],Sect611[],8,FALSE),VLOOKUP(OtherAmts[[#This Row],[LEA Name]],Sect619[],8,FALSE))*0.15,"")</f>
        <v>85179.585000000006</v>
      </c>
      <c r="E59" s="9" t="str">
        <f>IF(VLOOKUP(OtherAmts[[#This Row],[LEA Name]],Sect611[],MATCH("Sig Dis",Sect611[#Headers],0),TRUE)=1,SUM(VLOOKUP(OtherAmts[[#This Row],[LEA Name]],Sect611[],8,FALSE),VLOOKUP(OtherAmts[[#This Row],[LEA Name]],Sect619[],8,FALSE))*0.15,"")</f>
        <v/>
      </c>
      <c r="F59" s="8"/>
    </row>
    <row r="60" spans="1:6" x14ac:dyDescent="0.2">
      <c r="A60" s="6" t="s">
        <v>81</v>
      </c>
      <c r="B60" s="3">
        <v>42665.4</v>
      </c>
      <c r="C60" s="3">
        <v>1907.63</v>
      </c>
      <c r="D60" s="3">
        <f>IF(VLOOKUP(OtherAmts[[#This Row],[LEA Name]],Sect611[],MATCH("Sig Dis",Sect611[#Headers],0),TRUE)=0,SUM(VLOOKUP(OtherAmts[[#This Row],[LEA Name]],Sect611[],8,FALSE),VLOOKUP(OtherAmts[[#This Row],[LEA Name]],Sect619[],8,FALSE))*0.15,"")</f>
        <v>590544.201</v>
      </c>
      <c r="E60" s="9" t="str">
        <f>IF(VLOOKUP(OtherAmts[[#This Row],[LEA Name]],Sect611[],MATCH("Sig Dis",Sect611[#Headers],0),TRUE)=1,SUM(VLOOKUP(OtherAmts[[#This Row],[LEA Name]],Sect611[],8,FALSE),VLOOKUP(OtherAmts[[#This Row],[LEA Name]],Sect619[],8,FALSE))*0.15,"")</f>
        <v/>
      </c>
      <c r="F60" s="8"/>
    </row>
    <row r="61" spans="1:6" x14ac:dyDescent="0.2">
      <c r="A61" s="6" t="s">
        <v>132</v>
      </c>
      <c r="B61" s="3">
        <v>0</v>
      </c>
      <c r="C61" s="3">
        <v>0</v>
      </c>
      <c r="D61" s="3">
        <f>IF(VLOOKUP(OtherAmts[[#This Row],[LEA Name]],Sect611[],MATCH("Sig Dis",Sect611[#Headers],0),TRUE)=0,SUM(VLOOKUP(OtherAmts[[#This Row],[LEA Name]],Sect611[],8,FALSE),VLOOKUP(OtherAmts[[#This Row],[LEA Name]],Sect619[],8,FALSE))*0.15,"")</f>
        <v>8700.5460000000003</v>
      </c>
      <c r="E61" s="9" t="str">
        <f>IF(VLOOKUP(OtherAmts[[#This Row],[LEA Name]],Sect611[],MATCH("Sig Dis",Sect611[#Headers],0),TRUE)=1,SUM(VLOOKUP(OtherAmts[[#This Row],[LEA Name]],Sect611[],8,FALSE),VLOOKUP(OtherAmts[[#This Row],[LEA Name]],Sect619[],8,FALSE))*0.15,"")</f>
        <v/>
      </c>
      <c r="F61" s="8"/>
    </row>
    <row r="62" spans="1:6" x14ac:dyDescent="0.2">
      <c r="A62" s="6" t="s">
        <v>83</v>
      </c>
      <c r="B62" s="3">
        <v>0</v>
      </c>
      <c r="C62" s="3">
        <v>0</v>
      </c>
      <c r="D62" s="3">
        <f>IF(VLOOKUP(OtherAmts[[#This Row],[LEA Name]],Sect611[],MATCH("Sig Dis",Sect611[#Headers],0),TRUE)=0,SUM(VLOOKUP(OtherAmts[[#This Row],[LEA Name]],Sect611[],8,FALSE),VLOOKUP(OtherAmts[[#This Row],[LEA Name]],Sect619[],8,FALSE))*0.15,"")</f>
        <v>60667.126499999998</v>
      </c>
      <c r="E62" s="9" t="str">
        <f>IF(VLOOKUP(OtherAmts[[#This Row],[LEA Name]],Sect611[],MATCH("Sig Dis",Sect611[#Headers],0),TRUE)=1,SUM(VLOOKUP(OtherAmts[[#This Row],[LEA Name]],Sect611[],8,FALSE),VLOOKUP(OtherAmts[[#This Row],[LEA Name]],Sect619[],8,FALSE))*0.15,"")</f>
        <v/>
      </c>
      <c r="F62" s="8"/>
    </row>
    <row r="63" spans="1:6" x14ac:dyDescent="0.2">
      <c r="A63" s="6" t="s">
        <v>153</v>
      </c>
      <c r="B63" s="3">
        <v>17530.25</v>
      </c>
      <c r="C63" s="3">
        <v>169.86</v>
      </c>
      <c r="D63" s="3">
        <f>IF(VLOOKUP(OtherAmts[[#This Row],[LEA Name]],Sect611[],MATCH("Sig Dis",Sect611[#Headers],0),TRUE)=0,SUM(VLOOKUP(OtherAmts[[#This Row],[LEA Name]],Sect611[],8,FALSE),VLOOKUP(OtherAmts[[#This Row],[LEA Name]],Sect619[],8,FALSE))*0.15,"")</f>
        <v>189974.44199999995</v>
      </c>
      <c r="E63" s="9" t="str">
        <f>IF(VLOOKUP(OtherAmts[[#This Row],[LEA Name]],Sect611[],MATCH("Sig Dis",Sect611[#Headers],0),TRUE)=1,SUM(VLOOKUP(OtherAmts[[#This Row],[LEA Name]],Sect611[],8,FALSE),VLOOKUP(OtherAmts[[#This Row],[LEA Name]],Sect619[],8,FALSE))*0.15,"")</f>
        <v/>
      </c>
      <c r="F63" s="8"/>
    </row>
    <row r="64" spans="1:6" x14ac:dyDescent="0.2">
      <c r="A64" s="6" t="s">
        <v>159</v>
      </c>
      <c r="B64" s="3">
        <v>0</v>
      </c>
      <c r="C64" s="3">
        <v>0</v>
      </c>
      <c r="D64" s="3">
        <f>IF(VLOOKUP(OtherAmts[[#This Row],[LEA Name]],Sect611[],MATCH("Sig Dis",Sect611[#Headers],0),TRUE)=0,SUM(VLOOKUP(OtherAmts[[#This Row],[LEA Name]],Sect611[],8,FALSE),VLOOKUP(OtherAmts[[#This Row],[LEA Name]],Sect619[],8,FALSE))*0.15,"")</f>
        <v>14541.7155</v>
      </c>
      <c r="E64" s="9" t="str">
        <f>IF(VLOOKUP(OtherAmts[[#This Row],[LEA Name]],Sect611[],MATCH("Sig Dis",Sect611[#Headers],0),TRUE)=1,SUM(VLOOKUP(OtherAmts[[#This Row],[LEA Name]],Sect611[],8,FALSE),VLOOKUP(OtherAmts[[#This Row],[LEA Name]],Sect619[],8,FALSE))*0.15,"")</f>
        <v/>
      </c>
      <c r="F64" s="8"/>
    </row>
    <row r="65" spans="1:6" x14ac:dyDescent="0.2">
      <c r="A65" s="6" t="s">
        <v>57</v>
      </c>
      <c r="B65" s="3">
        <v>0</v>
      </c>
      <c r="C65" s="3">
        <v>0</v>
      </c>
      <c r="D65" s="3">
        <f>IF(VLOOKUP(OtherAmts[[#This Row],[LEA Name]],Sect611[],MATCH("Sig Dis",Sect611[#Headers],0),TRUE)=0,SUM(VLOOKUP(OtherAmts[[#This Row],[LEA Name]],Sect611[],8,FALSE),VLOOKUP(OtherAmts[[#This Row],[LEA Name]],Sect619[],8,FALSE))*0.15,"")</f>
        <v>0</v>
      </c>
      <c r="E65" s="9" t="str">
        <f>IF(VLOOKUP(OtherAmts[[#This Row],[LEA Name]],Sect611[],MATCH("Sig Dis",Sect611[#Headers],0),TRUE)=1,SUM(VLOOKUP(OtherAmts[[#This Row],[LEA Name]],Sect611[],8,FALSE),VLOOKUP(OtherAmts[[#This Row],[LEA Name]],Sect619[],8,FALSE))*0.15,"")</f>
        <v/>
      </c>
      <c r="F65" s="8"/>
    </row>
    <row r="66" spans="1:6" x14ac:dyDescent="0.2">
      <c r="A66" s="6" t="s">
        <v>157</v>
      </c>
      <c r="B66" s="3">
        <v>0</v>
      </c>
      <c r="C66" s="3">
        <v>0</v>
      </c>
      <c r="D66" s="3">
        <f>IF(VLOOKUP(OtherAmts[[#This Row],[LEA Name]],Sect611[],MATCH("Sig Dis",Sect611[#Headers],0),TRUE)=0,SUM(VLOOKUP(OtherAmts[[#This Row],[LEA Name]],Sect611[],8,FALSE),VLOOKUP(OtherAmts[[#This Row],[LEA Name]],Sect619[],8,FALSE))*0.15,"")</f>
        <v>17462.535</v>
      </c>
      <c r="E66" s="9" t="str">
        <f>IF(VLOOKUP(OtherAmts[[#This Row],[LEA Name]],Sect611[],MATCH("Sig Dis",Sect611[#Headers],0),TRUE)=1,SUM(VLOOKUP(OtherAmts[[#This Row],[LEA Name]],Sect611[],8,FALSE),VLOOKUP(OtherAmts[[#This Row],[LEA Name]],Sect619[],8,FALSE))*0.15,"")</f>
        <v/>
      </c>
      <c r="F66" s="8"/>
    </row>
    <row r="67" spans="1:6" x14ac:dyDescent="0.2">
      <c r="A67" s="6" t="s">
        <v>110</v>
      </c>
      <c r="B67" s="3">
        <v>10142.450000000001</v>
      </c>
      <c r="C67" s="3">
        <v>0</v>
      </c>
      <c r="D67" s="3">
        <f>IF(VLOOKUP(OtherAmts[[#This Row],[LEA Name]],Sect611[],MATCH("Sig Dis",Sect611[#Headers],0),TRUE)=0,SUM(VLOOKUP(OtherAmts[[#This Row],[LEA Name]],Sect611[],8,FALSE),VLOOKUP(OtherAmts[[#This Row],[LEA Name]],Sect619[],8,FALSE))*0.15,"")</f>
        <v>43850.813999999998</v>
      </c>
      <c r="E67" s="9" t="str">
        <f>IF(VLOOKUP(OtherAmts[[#This Row],[LEA Name]],Sect611[],MATCH("Sig Dis",Sect611[#Headers],0),TRUE)=1,SUM(VLOOKUP(OtherAmts[[#This Row],[LEA Name]],Sect611[],8,FALSE),VLOOKUP(OtherAmts[[#This Row],[LEA Name]],Sect619[],8,FALSE))*0.15,"")</f>
        <v/>
      </c>
      <c r="F67" s="8"/>
    </row>
    <row r="68" spans="1:6" x14ac:dyDescent="0.2">
      <c r="A68" s="6" t="s">
        <v>16</v>
      </c>
      <c r="B68" s="3">
        <v>1486.1</v>
      </c>
      <c r="C68" s="3">
        <v>0</v>
      </c>
      <c r="D68" s="3">
        <f>IF(VLOOKUP(OtherAmts[[#This Row],[LEA Name]],Sect611[],MATCH("Sig Dis",Sect611[#Headers],0),TRUE)=0,SUM(VLOOKUP(OtherAmts[[#This Row],[LEA Name]],Sect611[],8,FALSE),VLOOKUP(OtherAmts[[#This Row],[LEA Name]],Sect619[],8,FALSE))*0.15,"")</f>
        <v>66075.032999999996</v>
      </c>
      <c r="E68" s="9" t="str">
        <f>IF(VLOOKUP(OtherAmts[[#This Row],[LEA Name]],Sect611[],MATCH("Sig Dis",Sect611[#Headers],0),TRUE)=1,SUM(VLOOKUP(OtherAmts[[#This Row],[LEA Name]],Sect611[],8,FALSE),VLOOKUP(OtherAmts[[#This Row],[LEA Name]],Sect619[],8,FALSE))*0.15,"")</f>
        <v/>
      </c>
      <c r="F68" s="8"/>
    </row>
    <row r="69" spans="1:6" x14ac:dyDescent="0.2">
      <c r="A69" s="6" t="s">
        <v>40</v>
      </c>
      <c r="B69" s="3">
        <v>0</v>
      </c>
      <c r="C69" s="3">
        <v>0</v>
      </c>
      <c r="D69" s="3">
        <f>IF(VLOOKUP(OtherAmts[[#This Row],[LEA Name]],Sect611[],MATCH("Sig Dis",Sect611[#Headers],0),TRUE)=0,SUM(VLOOKUP(OtherAmts[[#This Row],[LEA Name]],Sect611[],8,FALSE),VLOOKUP(OtherAmts[[#This Row],[LEA Name]],Sect619[],8,FALSE))*0.15,"")</f>
        <v>10565.5875</v>
      </c>
      <c r="E69" s="9" t="str">
        <f>IF(VLOOKUP(OtherAmts[[#This Row],[LEA Name]],Sect611[],MATCH("Sig Dis",Sect611[#Headers],0),TRUE)=1,SUM(VLOOKUP(OtherAmts[[#This Row],[LEA Name]],Sect611[],8,FALSE),VLOOKUP(OtherAmts[[#This Row],[LEA Name]],Sect619[],8,FALSE))*0.15,"")</f>
        <v/>
      </c>
      <c r="F69" s="8"/>
    </row>
    <row r="70" spans="1:6" x14ac:dyDescent="0.2">
      <c r="A70" s="6" t="s">
        <v>34</v>
      </c>
      <c r="B70" s="3">
        <v>11453.58</v>
      </c>
      <c r="C70" s="3">
        <v>610.70000000000005</v>
      </c>
      <c r="D70" s="3">
        <f>IF(VLOOKUP(OtherAmts[[#This Row],[LEA Name]],Sect611[],MATCH("Sig Dis",Sect611[#Headers],0),TRUE)=0,SUM(VLOOKUP(OtherAmts[[#This Row],[LEA Name]],Sect611[],8,FALSE),VLOOKUP(OtherAmts[[#This Row],[LEA Name]],Sect619[],8,FALSE))*0.15,"")</f>
        <v>28866.128999999997</v>
      </c>
      <c r="E70" s="9" t="str">
        <f>IF(VLOOKUP(OtherAmts[[#This Row],[LEA Name]],Sect611[],MATCH("Sig Dis",Sect611[#Headers],0),TRUE)=1,SUM(VLOOKUP(OtherAmts[[#This Row],[LEA Name]],Sect611[],8,FALSE),VLOOKUP(OtherAmts[[#This Row],[LEA Name]],Sect619[],8,FALSE))*0.15,"")</f>
        <v/>
      </c>
      <c r="F70" s="8"/>
    </row>
    <row r="71" spans="1:6" x14ac:dyDescent="0.2">
      <c r="A71" s="6" t="s">
        <v>73</v>
      </c>
      <c r="B71" s="3">
        <v>4286.8999999999996</v>
      </c>
      <c r="C71" s="3">
        <v>0</v>
      </c>
      <c r="D71" s="3">
        <f>IF(VLOOKUP(OtherAmts[[#This Row],[LEA Name]],Sect611[],MATCH("Sig Dis",Sect611[#Headers],0),TRUE)=0,SUM(VLOOKUP(OtherAmts[[#This Row],[LEA Name]],Sect611[],8,FALSE),VLOOKUP(OtherAmts[[#This Row],[LEA Name]],Sect619[],8,FALSE))*0.15,"")</f>
        <v>184576.82250000001</v>
      </c>
      <c r="E71" s="9" t="str">
        <f>IF(VLOOKUP(OtherAmts[[#This Row],[LEA Name]],Sect611[],MATCH("Sig Dis",Sect611[#Headers],0),TRUE)=1,SUM(VLOOKUP(OtherAmts[[#This Row],[LEA Name]],Sect611[],8,FALSE),VLOOKUP(OtherAmts[[#This Row],[LEA Name]],Sect619[],8,FALSE))*0.15,"")</f>
        <v/>
      </c>
      <c r="F71" s="8"/>
    </row>
    <row r="72" spans="1:6" x14ac:dyDescent="0.2">
      <c r="A72" s="6" t="s">
        <v>219</v>
      </c>
      <c r="B72" s="3">
        <v>2681.14</v>
      </c>
      <c r="C72" s="3">
        <v>277.7</v>
      </c>
      <c r="D72" s="3">
        <f>IF(VLOOKUP(OtherAmts[[#This Row],[LEA Name]],Sect611[],MATCH("Sig Dis",Sect611[#Headers],0),TRUE)=0,SUM(VLOOKUP(OtherAmts[[#This Row],[LEA Name]],Sect611[],8,FALSE),VLOOKUP(OtherAmts[[#This Row],[LEA Name]],Sect619[],8,FALSE))*0.15,"")</f>
        <v>293691.24149999995</v>
      </c>
      <c r="E72" s="9" t="str">
        <f>IF(VLOOKUP(OtherAmts[[#This Row],[LEA Name]],Sect611[],MATCH("Sig Dis",Sect611[#Headers],0),TRUE)=1,SUM(VLOOKUP(OtherAmts[[#This Row],[LEA Name]],Sect611[],8,FALSE),VLOOKUP(OtherAmts[[#This Row],[LEA Name]],Sect619[],8,FALSE))*0.15,"")</f>
        <v/>
      </c>
      <c r="F72" s="8"/>
    </row>
    <row r="73" spans="1:6" x14ac:dyDescent="0.2">
      <c r="A73" s="6" t="s">
        <v>124</v>
      </c>
      <c r="B73" s="3">
        <v>1455.9</v>
      </c>
      <c r="C73" s="3">
        <v>0</v>
      </c>
      <c r="D73" s="3">
        <f>IF(VLOOKUP(OtherAmts[[#This Row],[LEA Name]],Sect611[],MATCH("Sig Dis",Sect611[#Headers],0),TRUE)=0,SUM(VLOOKUP(OtherAmts[[#This Row],[LEA Name]],Sect611[],8,FALSE),VLOOKUP(OtherAmts[[#This Row],[LEA Name]],Sect619[],8,FALSE))*0.15,"")</f>
        <v>377390.12849999999</v>
      </c>
      <c r="E73" s="9" t="str">
        <f>IF(VLOOKUP(OtherAmts[[#This Row],[LEA Name]],Sect611[],MATCH("Sig Dis",Sect611[#Headers],0),TRUE)=1,SUM(VLOOKUP(OtherAmts[[#This Row],[LEA Name]],Sect611[],8,FALSE),VLOOKUP(OtherAmts[[#This Row],[LEA Name]],Sect619[],8,FALSE))*0.15,"")</f>
        <v/>
      </c>
      <c r="F73" s="8"/>
    </row>
    <row r="74" spans="1:6" x14ac:dyDescent="0.2">
      <c r="A74" s="6" t="s">
        <v>51</v>
      </c>
      <c r="B74" s="3">
        <v>0</v>
      </c>
      <c r="C74" s="3">
        <v>0</v>
      </c>
      <c r="D74" s="3">
        <f>IF(VLOOKUP(OtherAmts[[#This Row],[LEA Name]],Sect611[],MATCH("Sig Dis",Sect611[#Headers],0),TRUE)=0,SUM(VLOOKUP(OtherAmts[[#This Row],[LEA Name]],Sect611[],8,FALSE),VLOOKUP(OtherAmts[[#This Row],[LEA Name]],Sect619[],8,FALSE))*0.15,"")</f>
        <v>35634.072000000007</v>
      </c>
      <c r="E74" s="9" t="str">
        <f>IF(VLOOKUP(OtherAmts[[#This Row],[LEA Name]],Sect611[],MATCH("Sig Dis",Sect611[#Headers],0),TRUE)=1,SUM(VLOOKUP(OtherAmts[[#This Row],[LEA Name]],Sect611[],8,FALSE),VLOOKUP(OtherAmts[[#This Row],[LEA Name]],Sect619[],8,FALSE))*0.15,"")</f>
        <v/>
      </c>
      <c r="F74" s="8"/>
    </row>
    <row r="75" spans="1:6" x14ac:dyDescent="0.2">
      <c r="A75" s="6" t="s">
        <v>52</v>
      </c>
      <c r="B75" s="3">
        <v>0</v>
      </c>
      <c r="C75" s="3">
        <v>0</v>
      </c>
      <c r="D75" s="3">
        <f>IF(VLOOKUP(OtherAmts[[#This Row],[LEA Name]],Sect611[],MATCH("Sig Dis",Sect611[#Headers],0),TRUE)=0,SUM(VLOOKUP(OtherAmts[[#This Row],[LEA Name]],Sect611[],8,FALSE),VLOOKUP(OtherAmts[[#This Row],[LEA Name]],Sect619[],8,FALSE))*0.15,"")</f>
        <v>7933.4969999999994</v>
      </c>
      <c r="E75" s="9" t="str">
        <f>IF(VLOOKUP(OtherAmts[[#This Row],[LEA Name]],Sect611[],MATCH("Sig Dis",Sect611[#Headers],0),TRUE)=1,SUM(VLOOKUP(OtherAmts[[#This Row],[LEA Name]],Sect611[],8,FALSE),VLOOKUP(OtherAmts[[#This Row],[LEA Name]],Sect619[],8,FALSE))*0.15,"")</f>
        <v/>
      </c>
      <c r="F75" s="8"/>
    </row>
    <row r="76" spans="1:6" x14ac:dyDescent="0.2">
      <c r="A76" s="6" t="s">
        <v>220</v>
      </c>
      <c r="B76" s="3">
        <v>0</v>
      </c>
      <c r="C76" s="3">
        <v>0</v>
      </c>
      <c r="D76" s="3">
        <f>IF(VLOOKUP(OtherAmts[[#This Row],[LEA Name]],Sect611[],MATCH("Sig Dis",Sect611[#Headers],0),TRUE)=0,SUM(VLOOKUP(OtherAmts[[#This Row],[LEA Name]],Sect611[],8,FALSE),VLOOKUP(OtherAmts[[#This Row],[LEA Name]],Sect619[],8,FALSE))*0.15,"")</f>
        <v>2124.201</v>
      </c>
      <c r="E76" s="9" t="str">
        <f>IF(VLOOKUP(OtherAmts[[#This Row],[LEA Name]],Sect611[],MATCH("Sig Dis",Sect611[#Headers],0),TRUE)=1,SUM(VLOOKUP(OtherAmts[[#This Row],[LEA Name]],Sect611[],8,FALSE),VLOOKUP(OtherAmts[[#This Row],[LEA Name]],Sect619[],8,FALSE))*0.15,"")</f>
        <v/>
      </c>
      <c r="F76" s="8"/>
    </row>
    <row r="77" spans="1:6" x14ac:dyDescent="0.2">
      <c r="A77" s="6" t="s">
        <v>107</v>
      </c>
      <c r="B77" s="3">
        <v>0</v>
      </c>
      <c r="C77" s="3">
        <v>0</v>
      </c>
      <c r="D77" s="3">
        <f>IF(VLOOKUP(OtherAmts[[#This Row],[LEA Name]],Sect611[],MATCH("Sig Dis",Sect611[#Headers],0),TRUE)=0,SUM(VLOOKUP(OtherAmts[[#This Row],[LEA Name]],Sect611[],8,FALSE),VLOOKUP(OtherAmts[[#This Row],[LEA Name]],Sect619[],8,FALSE))*0.15,"")</f>
        <v>3477.2594999999997</v>
      </c>
      <c r="E77" s="9" t="str">
        <f>IF(VLOOKUP(OtherAmts[[#This Row],[LEA Name]],Sect611[],MATCH("Sig Dis",Sect611[#Headers],0),TRUE)=1,SUM(VLOOKUP(OtherAmts[[#This Row],[LEA Name]],Sect611[],8,FALSE),VLOOKUP(OtherAmts[[#This Row],[LEA Name]],Sect619[],8,FALSE))*0.15,"")</f>
        <v/>
      </c>
      <c r="F77" s="8"/>
    </row>
    <row r="78" spans="1:6" x14ac:dyDescent="0.2">
      <c r="A78" s="6" t="s">
        <v>95</v>
      </c>
      <c r="B78" s="3">
        <v>0</v>
      </c>
      <c r="C78" s="3">
        <v>0</v>
      </c>
      <c r="D78" s="3">
        <f>IF(VLOOKUP(OtherAmts[[#This Row],[LEA Name]],Sect611[],MATCH("Sig Dis",Sect611[#Headers],0),TRUE)=0,SUM(VLOOKUP(OtherAmts[[#This Row],[LEA Name]],Sect611[],8,FALSE),VLOOKUP(OtherAmts[[#This Row],[LEA Name]],Sect619[],8,FALSE))*0.15,"")</f>
        <v>24919.467000000001</v>
      </c>
      <c r="E78" s="9" t="str">
        <f>IF(VLOOKUP(OtherAmts[[#This Row],[LEA Name]],Sect611[],MATCH("Sig Dis",Sect611[#Headers],0),TRUE)=1,SUM(VLOOKUP(OtherAmts[[#This Row],[LEA Name]],Sect611[],8,FALSE),VLOOKUP(OtherAmts[[#This Row],[LEA Name]],Sect619[],8,FALSE))*0.15,"")</f>
        <v/>
      </c>
      <c r="F78" s="8"/>
    </row>
    <row r="79" spans="1:6" x14ac:dyDescent="0.2">
      <c r="A79" s="6" t="s">
        <v>136</v>
      </c>
      <c r="B79" s="3">
        <v>0</v>
      </c>
      <c r="C79" s="3">
        <v>0</v>
      </c>
      <c r="D79" s="3">
        <f>IF(VLOOKUP(OtherAmts[[#This Row],[LEA Name]],Sect611[],MATCH("Sig Dis",Sect611[#Headers],0),TRUE)=0,SUM(VLOOKUP(OtherAmts[[#This Row],[LEA Name]],Sect611[],8,FALSE),VLOOKUP(OtherAmts[[#This Row],[LEA Name]],Sect619[],8,FALSE))*0.15,"")</f>
        <v>4211.5095000000001</v>
      </c>
      <c r="E79" s="9" t="str">
        <f>IF(VLOOKUP(OtherAmts[[#This Row],[LEA Name]],Sect611[],MATCH("Sig Dis",Sect611[#Headers],0),TRUE)=1,SUM(VLOOKUP(OtherAmts[[#This Row],[LEA Name]],Sect611[],8,FALSE),VLOOKUP(OtherAmts[[#This Row],[LEA Name]],Sect619[],8,FALSE))*0.15,"")</f>
        <v/>
      </c>
      <c r="F79" s="8"/>
    </row>
    <row r="80" spans="1:6" x14ac:dyDescent="0.2">
      <c r="A80" s="6" t="s">
        <v>221</v>
      </c>
      <c r="B80" s="3">
        <v>2900.97</v>
      </c>
      <c r="C80" s="3">
        <v>0</v>
      </c>
      <c r="D80" s="3">
        <f>IF(VLOOKUP(OtherAmts[[#This Row],[LEA Name]],Sect611[],MATCH("Sig Dis",Sect611[#Headers],0),TRUE)=0,SUM(VLOOKUP(OtherAmts[[#This Row],[LEA Name]],Sect611[],8,FALSE),VLOOKUP(OtherAmts[[#This Row],[LEA Name]],Sect619[],8,FALSE))*0.15,"")</f>
        <v>167055.03449999998</v>
      </c>
      <c r="E80" s="9" t="str">
        <f>IF(VLOOKUP(OtherAmts[[#This Row],[LEA Name]],Sect611[],MATCH("Sig Dis",Sect611[#Headers],0),TRUE)=1,SUM(VLOOKUP(OtherAmts[[#This Row],[LEA Name]],Sect611[],8,FALSE),VLOOKUP(OtherAmts[[#This Row],[LEA Name]],Sect619[],8,FALSE))*0.15,"")</f>
        <v/>
      </c>
      <c r="F80" s="8"/>
    </row>
    <row r="81" spans="1:6" x14ac:dyDescent="0.2">
      <c r="A81" s="6" t="s">
        <v>151</v>
      </c>
      <c r="B81" s="3">
        <v>27446.47</v>
      </c>
      <c r="C81" s="3">
        <v>451.47</v>
      </c>
      <c r="D81" s="3">
        <f>IF(VLOOKUP(OtherAmts[[#This Row],[LEA Name]],Sect611[],MATCH("Sig Dis",Sect611[#Headers],0),TRUE)=0,SUM(VLOOKUP(OtherAmts[[#This Row],[LEA Name]],Sect611[],8,FALSE),VLOOKUP(OtherAmts[[#This Row],[LEA Name]],Sect619[],8,FALSE))*0.15,"")</f>
        <v>593838.10649999988</v>
      </c>
      <c r="E81" s="9" t="str">
        <f>IF(VLOOKUP(OtherAmts[[#This Row],[LEA Name]],Sect611[],MATCH("Sig Dis",Sect611[#Headers],0),TRUE)=1,SUM(VLOOKUP(OtherAmts[[#This Row],[LEA Name]],Sect611[],8,FALSE),VLOOKUP(OtherAmts[[#This Row],[LEA Name]],Sect619[],8,FALSE))*0.15,"")</f>
        <v/>
      </c>
      <c r="F81" s="8"/>
    </row>
    <row r="82" spans="1:6" x14ac:dyDescent="0.2">
      <c r="A82" s="6" t="s">
        <v>222</v>
      </c>
      <c r="B82" s="3">
        <v>12088.29</v>
      </c>
      <c r="C82" s="3">
        <v>0</v>
      </c>
      <c r="D82" s="3">
        <f>IF(VLOOKUP(OtherAmts[[#This Row],[LEA Name]],Sect611[],MATCH("Sig Dis",Sect611[#Headers],0),TRUE)=0,SUM(VLOOKUP(OtherAmts[[#This Row],[LEA Name]],Sect611[],8,FALSE),VLOOKUP(OtherAmts[[#This Row],[LEA Name]],Sect619[],8,FALSE))*0.15,"")</f>
        <v>123581.61449999998</v>
      </c>
      <c r="E82" s="9" t="str">
        <f>IF(VLOOKUP(OtherAmts[[#This Row],[LEA Name]],Sect611[],MATCH("Sig Dis",Sect611[#Headers],0),TRUE)=1,SUM(VLOOKUP(OtherAmts[[#This Row],[LEA Name]],Sect611[],8,FALSE),VLOOKUP(OtherAmts[[#This Row],[LEA Name]],Sect619[],8,FALSE))*0.15,"")</f>
        <v/>
      </c>
      <c r="F82" s="8"/>
    </row>
    <row r="83" spans="1:6" x14ac:dyDescent="0.2">
      <c r="A83" s="6" t="s">
        <v>2</v>
      </c>
      <c r="B83" s="3">
        <v>0</v>
      </c>
      <c r="C83" s="3">
        <v>0</v>
      </c>
      <c r="D83" s="3">
        <f>IF(VLOOKUP(OtherAmts[[#This Row],[LEA Name]],Sect611[],MATCH("Sig Dis",Sect611[#Headers],0),TRUE)=0,SUM(VLOOKUP(OtherAmts[[#This Row],[LEA Name]],Sect611[],8,FALSE),VLOOKUP(OtherAmts[[#This Row],[LEA Name]],Sect619[],8,FALSE))*0.15,"")</f>
        <v>3160.2165</v>
      </c>
      <c r="E83" s="9" t="str">
        <f>IF(VLOOKUP(OtherAmts[[#This Row],[LEA Name]],Sect611[],MATCH("Sig Dis",Sect611[#Headers],0),TRUE)=1,SUM(VLOOKUP(OtherAmts[[#This Row],[LEA Name]],Sect611[],8,FALSE),VLOOKUP(OtherAmts[[#This Row],[LEA Name]],Sect619[],8,FALSE))*0.15,"")</f>
        <v/>
      </c>
      <c r="F83" s="8"/>
    </row>
    <row r="84" spans="1:6" x14ac:dyDescent="0.2">
      <c r="A84" s="6" t="s">
        <v>143</v>
      </c>
      <c r="B84" s="3">
        <v>0</v>
      </c>
      <c r="C84" s="3">
        <v>0</v>
      </c>
      <c r="D84" s="3">
        <f>IF(VLOOKUP(OtherAmts[[#This Row],[LEA Name]],Sect611[],MATCH("Sig Dis",Sect611[#Headers],0),TRUE)=0,SUM(VLOOKUP(OtherAmts[[#This Row],[LEA Name]],Sect611[],8,FALSE),VLOOKUP(OtherAmts[[#This Row],[LEA Name]],Sect619[],8,FALSE))*0.15,"")</f>
        <v>11777.629499999999</v>
      </c>
      <c r="E84" s="9" t="str">
        <f>IF(VLOOKUP(OtherAmts[[#This Row],[LEA Name]],Sect611[],MATCH("Sig Dis",Sect611[#Headers],0),TRUE)=1,SUM(VLOOKUP(OtherAmts[[#This Row],[LEA Name]],Sect611[],8,FALSE),VLOOKUP(OtherAmts[[#This Row],[LEA Name]],Sect619[],8,FALSE))*0.15,"")</f>
        <v/>
      </c>
      <c r="F84" s="8"/>
    </row>
    <row r="85" spans="1:6" x14ac:dyDescent="0.2">
      <c r="A85" s="6" t="s">
        <v>223</v>
      </c>
      <c r="B85" s="3">
        <v>0</v>
      </c>
      <c r="C85" s="3">
        <v>0</v>
      </c>
      <c r="D85" s="3">
        <f>IF(VLOOKUP(OtherAmts[[#This Row],[LEA Name]],Sect611[],MATCH("Sig Dis",Sect611[#Headers],0),TRUE)=0,SUM(VLOOKUP(OtherAmts[[#This Row],[LEA Name]],Sect611[],8,FALSE),VLOOKUP(OtherAmts[[#This Row],[LEA Name]],Sect619[],8,FALSE))*0.15,"")</f>
        <v>4816.6454999999996</v>
      </c>
      <c r="E85" s="9" t="str">
        <f>IF(VLOOKUP(OtherAmts[[#This Row],[LEA Name]],Sect611[],MATCH("Sig Dis",Sect611[#Headers],0),TRUE)=1,SUM(VLOOKUP(OtherAmts[[#This Row],[LEA Name]],Sect611[],8,FALSE),VLOOKUP(OtherAmts[[#This Row],[LEA Name]],Sect619[],8,FALSE))*0.15,"")</f>
        <v/>
      </c>
      <c r="F85" s="8"/>
    </row>
    <row r="86" spans="1:6" x14ac:dyDescent="0.2">
      <c r="A86" s="6" t="s">
        <v>72</v>
      </c>
      <c r="B86" s="3">
        <v>0</v>
      </c>
      <c r="C86" s="3">
        <v>0</v>
      </c>
      <c r="D86" s="3">
        <f>IF(VLOOKUP(OtherAmts[[#This Row],[LEA Name]],Sect611[],MATCH("Sig Dis",Sect611[#Headers],0),TRUE)=0,SUM(VLOOKUP(OtherAmts[[#This Row],[LEA Name]],Sect611[],8,FALSE),VLOOKUP(OtherAmts[[#This Row],[LEA Name]],Sect619[],8,FALSE))*0.15,"")</f>
        <v>102340.8015</v>
      </c>
      <c r="E86" s="9" t="str">
        <f>IF(VLOOKUP(OtherAmts[[#This Row],[LEA Name]],Sect611[],MATCH("Sig Dis",Sect611[#Headers],0),TRUE)=1,SUM(VLOOKUP(OtherAmts[[#This Row],[LEA Name]],Sect611[],8,FALSE),VLOOKUP(OtherAmts[[#This Row],[LEA Name]],Sect619[],8,FALSE))*0.15,"")</f>
        <v/>
      </c>
      <c r="F86" s="8"/>
    </row>
    <row r="87" spans="1:6" x14ac:dyDescent="0.2">
      <c r="A87" s="6" t="s">
        <v>113</v>
      </c>
      <c r="B87" s="3">
        <v>0</v>
      </c>
      <c r="C87" s="3">
        <v>0</v>
      </c>
      <c r="D87" s="3">
        <f>IF(VLOOKUP(OtherAmts[[#This Row],[LEA Name]],Sect611[],MATCH("Sig Dis",Sect611[#Headers],0),TRUE)=0,SUM(VLOOKUP(OtherAmts[[#This Row],[LEA Name]],Sect611[],8,FALSE),VLOOKUP(OtherAmts[[#This Row],[LEA Name]],Sect619[],8,FALSE))*0.15,"")</f>
        <v>26918.132999999998</v>
      </c>
      <c r="E87" s="9" t="str">
        <f>IF(VLOOKUP(OtherAmts[[#This Row],[LEA Name]],Sect611[],MATCH("Sig Dis",Sect611[#Headers],0),TRUE)=1,SUM(VLOOKUP(OtherAmts[[#This Row],[LEA Name]],Sect611[],8,FALSE),VLOOKUP(OtherAmts[[#This Row],[LEA Name]],Sect619[],8,FALSE))*0.15,"")</f>
        <v/>
      </c>
      <c r="F87" s="8"/>
    </row>
    <row r="88" spans="1:6" x14ac:dyDescent="0.2">
      <c r="A88" s="6" t="s">
        <v>17</v>
      </c>
      <c r="B88" s="3">
        <v>0</v>
      </c>
      <c r="C88" s="3">
        <v>0</v>
      </c>
      <c r="D88" s="3">
        <f>IF(VLOOKUP(OtherAmts[[#This Row],[LEA Name]],Sect611[],MATCH("Sig Dis",Sect611[#Headers],0),TRUE)=0,SUM(VLOOKUP(OtherAmts[[#This Row],[LEA Name]],Sect611[],8,FALSE),VLOOKUP(OtherAmts[[#This Row],[LEA Name]],Sect619[],8,FALSE))*0.15,"")</f>
        <v>4456.3455000000004</v>
      </c>
      <c r="E88" s="9" t="str">
        <f>IF(VLOOKUP(OtherAmts[[#This Row],[LEA Name]],Sect611[],MATCH("Sig Dis",Sect611[#Headers],0),TRUE)=1,SUM(VLOOKUP(OtherAmts[[#This Row],[LEA Name]],Sect611[],8,FALSE),VLOOKUP(OtherAmts[[#This Row],[LEA Name]],Sect619[],8,FALSE))*0.15,"")</f>
        <v/>
      </c>
      <c r="F88" s="8"/>
    </row>
    <row r="89" spans="1:6" x14ac:dyDescent="0.2">
      <c r="A89" s="6" t="s">
        <v>46</v>
      </c>
      <c r="B89" s="3">
        <v>0</v>
      </c>
      <c r="C89" s="3">
        <v>0</v>
      </c>
      <c r="D89" s="3">
        <f>IF(VLOOKUP(OtherAmts[[#This Row],[LEA Name]],Sect611[],MATCH("Sig Dis",Sect611[#Headers],0),TRUE)=0,SUM(VLOOKUP(OtherAmts[[#This Row],[LEA Name]],Sect611[],8,FALSE),VLOOKUP(OtherAmts[[#This Row],[LEA Name]],Sect619[],8,FALSE))*0.15,"")</f>
        <v>26636.921999999995</v>
      </c>
      <c r="E89" s="9" t="str">
        <f>IF(VLOOKUP(OtherAmts[[#This Row],[LEA Name]],Sect611[],MATCH("Sig Dis",Sect611[#Headers],0),TRUE)=1,SUM(VLOOKUP(OtherAmts[[#This Row],[LEA Name]],Sect611[],8,FALSE),VLOOKUP(OtherAmts[[#This Row],[LEA Name]],Sect619[],8,FALSE))*0.15,"")</f>
        <v/>
      </c>
      <c r="F89" s="8"/>
    </row>
    <row r="90" spans="1:6" x14ac:dyDescent="0.2">
      <c r="A90" s="6" t="s">
        <v>101</v>
      </c>
      <c r="B90" s="3">
        <v>0</v>
      </c>
      <c r="C90" s="3">
        <v>0</v>
      </c>
      <c r="D90" s="3">
        <f>IF(VLOOKUP(OtherAmts[[#This Row],[LEA Name]],Sect611[],MATCH("Sig Dis",Sect611[#Headers],0),TRUE)=0,SUM(VLOOKUP(OtherAmts[[#This Row],[LEA Name]],Sect611[],8,FALSE),VLOOKUP(OtherAmts[[#This Row],[LEA Name]],Sect619[],8,FALSE))*0.15,"")</f>
        <v>2664.8175000000001</v>
      </c>
      <c r="E90" s="9" t="str">
        <f>IF(VLOOKUP(OtherAmts[[#This Row],[LEA Name]],Sect611[],MATCH("Sig Dis",Sect611[#Headers],0),TRUE)=1,SUM(VLOOKUP(OtherAmts[[#This Row],[LEA Name]],Sect611[],8,FALSE),VLOOKUP(OtherAmts[[#This Row],[LEA Name]],Sect619[],8,FALSE))*0.15,"")</f>
        <v/>
      </c>
      <c r="F90" s="8"/>
    </row>
    <row r="91" spans="1:6" x14ac:dyDescent="0.2">
      <c r="A91" s="6" t="s">
        <v>146</v>
      </c>
      <c r="B91" s="3">
        <v>0</v>
      </c>
      <c r="C91" s="3">
        <v>0</v>
      </c>
      <c r="D91" s="3">
        <f>IF(VLOOKUP(OtherAmts[[#This Row],[LEA Name]],Sect611[],MATCH("Sig Dis",Sect611[#Headers],0),TRUE)=0,SUM(VLOOKUP(OtherAmts[[#This Row],[LEA Name]],Sect611[],8,FALSE),VLOOKUP(OtherAmts[[#This Row],[LEA Name]],Sect619[],8,FALSE))*0.15,"")</f>
        <v>10861.86</v>
      </c>
      <c r="E91" s="9" t="str">
        <f>IF(VLOOKUP(OtherAmts[[#This Row],[LEA Name]],Sect611[],MATCH("Sig Dis",Sect611[#Headers],0),TRUE)=1,SUM(VLOOKUP(OtherAmts[[#This Row],[LEA Name]],Sect611[],8,FALSE),VLOOKUP(OtherAmts[[#This Row],[LEA Name]],Sect619[],8,FALSE))*0.15,"")</f>
        <v/>
      </c>
      <c r="F91" s="8"/>
    </row>
    <row r="92" spans="1:6" x14ac:dyDescent="0.2">
      <c r="A92" s="6" t="s">
        <v>88</v>
      </c>
      <c r="B92" s="3">
        <v>0</v>
      </c>
      <c r="C92" s="3">
        <v>0</v>
      </c>
      <c r="D92" s="3">
        <f>IF(VLOOKUP(OtherAmts[[#This Row],[LEA Name]],Sect611[],MATCH("Sig Dis",Sect611[#Headers],0),TRUE)=0,SUM(VLOOKUP(OtherAmts[[#This Row],[LEA Name]],Sect611[],8,FALSE),VLOOKUP(OtherAmts[[#This Row],[LEA Name]],Sect619[],8,FALSE))*0.15,"")</f>
        <v>61632.047999999995</v>
      </c>
      <c r="E92" s="9" t="str">
        <f>IF(VLOOKUP(OtherAmts[[#This Row],[LEA Name]],Sect611[],MATCH("Sig Dis",Sect611[#Headers],0),TRUE)=1,SUM(VLOOKUP(OtherAmts[[#This Row],[LEA Name]],Sect611[],8,FALSE),VLOOKUP(OtherAmts[[#This Row],[LEA Name]],Sect619[],8,FALSE))*0.15,"")</f>
        <v/>
      </c>
      <c r="F92" s="8"/>
    </row>
    <row r="93" spans="1:6" x14ac:dyDescent="0.2">
      <c r="A93" s="6" t="s">
        <v>102</v>
      </c>
      <c r="B93" s="3">
        <v>0</v>
      </c>
      <c r="C93" s="3">
        <v>0</v>
      </c>
      <c r="D93" s="3">
        <f>IF(VLOOKUP(OtherAmts[[#This Row],[LEA Name]],Sect611[],MATCH("Sig Dis",Sect611[#Headers],0),TRUE)=0,SUM(VLOOKUP(OtherAmts[[#This Row],[LEA Name]],Sect611[],8,FALSE),VLOOKUP(OtherAmts[[#This Row],[LEA Name]],Sect619[],8,FALSE))*0.15,"")</f>
        <v>198.8535</v>
      </c>
      <c r="E93" s="9" t="str">
        <f>IF(VLOOKUP(OtherAmts[[#This Row],[LEA Name]],Sect611[],MATCH("Sig Dis",Sect611[#Headers],0),TRUE)=1,SUM(VLOOKUP(OtherAmts[[#This Row],[LEA Name]],Sect611[],8,FALSE),VLOOKUP(OtherAmts[[#This Row],[LEA Name]],Sect619[],8,FALSE))*0.15,"")</f>
        <v/>
      </c>
      <c r="F93" s="8"/>
    </row>
    <row r="94" spans="1:6" x14ac:dyDescent="0.2">
      <c r="A94" s="6" t="s">
        <v>74</v>
      </c>
      <c r="B94" s="3">
        <v>29400.9</v>
      </c>
      <c r="C94" s="3">
        <v>0</v>
      </c>
      <c r="D94" s="3">
        <f>IF(VLOOKUP(OtherAmts[[#This Row],[LEA Name]],Sect611[],MATCH("Sig Dis",Sect611[#Headers],0),TRUE)=0,SUM(VLOOKUP(OtherAmts[[#This Row],[LEA Name]],Sect611[],8,FALSE),VLOOKUP(OtherAmts[[#This Row],[LEA Name]],Sect619[],8,FALSE))*0.15,"")</f>
        <v>241494.80999999997</v>
      </c>
      <c r="E94" s="9" t="str">
        <f>IF(VLOOKUP(OtherAmts[[#This Row],[LEA Name]],Sect611[],MATCH("Sig Dis",Sect611[#Headers],0),TRUE)=1,SUM(VLOOKUP(OtherAmts[[#This Row],[LEA Name]],Sect611[],8,FALSE),VLOOKUP(OtherAmts[[#This Row],[LEA Name]],Sect619[],8,FALSE))*0.15,"")</f>
        <v/>
      </c>
      <c r="F94" s="8"/>
    </row>
    <row r="95" spans="1:6" x14ac:dyDescent="0.2">
      <c r="A95" s="6" t="s">
        <v>224</v>
      </c>
      <c r="B95" s="3">
        <v>0</v>
      </c>
      <c r="C95" s="3">
        <v>0</v>
      </c>
      <c r="D95" s="3">
        <f>IF(VLOOKUP(OtherAmts[[#This Row],[LEA Name]],Sect611[],MATCH("Sig Dis",Sect611[#Headers],0),TRUE)=0,SUM(VLOOKUP(OtherAmts[[#This Row],[LEA Name]],Sect611[],8,FALSE),VLOOKUP(OtherAmts[[#This Row],[LEA Name]],Sect619[],8,FALSE))*0.15,"")</f>
        <v>133407.3615</v>
      </c>
      <c r="E95" s="9" t="str">
        <f>IF(VLOOKUP(OtherAmts[[#This Row],[LEA Name]],Sect611[],MATCH("Sig Dis",Sect611[#Headers],0),TRUE)=1,SUM(VLOOKUP(OtherAmts[[#This Row],[LEA Name]],Sect611[],8,FALSE),VLOOKUP(OtherAmts[[#This Row],[LEA Name]],Sect619[],8,FALSE))*0.15,"")</f>
        <v/>
      </c>
      <c r="F95" s="8"/>
    </row>
    <row r="96" spans="1:6" x14ac:dyDescent="0.2">
      <c r="A96" s="6" t="s">
        <v>167</v>
      </c>
      <c r="B96" s="3">
        <v>0</v>
      </c>
      <c r="C96" s="3">
        <v>0</v>
      </c>
      <c r="D96" s="3">
        <f>IF(VLOOKUP(OtherAmts[[#This Row],[LEA Name]],Sect611[],MATCH("Sig Dis",Sect611[#Headers],0),TRUE)=0,SUM(VLOOKUP(OtherAmts[[#This Row],[LEA Name]],Sect611[],8,FALSE),VLOOKUP(OtherAmts[[#This Row],[LEA Name]],Sect619[],8,FALSE))*0.15,"")</f>
        <v>15204.943500000001</v>
      </c>
      <c r="E96" s="9" t="str">
        <f>IF(VLOOKUP(OtherAmts[[#This Row],[LEA Name]],Sect611[],MATCH("Sig Dis",Sect611[#Headers],0),TRUE)=1,SUM(VLOOKUP(OtherAmts[[#This Row],[LEA Name]],Sect611[],8,FALSE),VLOOKUP(OtherAmts[[#This Row],[LEA Name]],Sect619[],8,FALSE))*0.15,"")</f>
        <v/>
      </c>
      <c r="F96" s="8"/>
    </row>
    <row r="97" spans="1:6" x14ac:dyDescent="0.2">
      <c r="A97" s="6" t="s">
        <v>140</v>
      </c>
      <c r="B97" s="3">
        <v>1348.13</v>
      </c>
      <c r="C97" s="3">
        <v>0</v>
      </c>
      <c r="D97" s="3">
        <f>IF(VLOOKUP(OtherAmts[[#This Row],[LEA Name]],Sect611[],MATCH("Sig Dis",Sect611[#Headers],0),TRUE)=0,SUM(VLOOKUP(OtherAmts[[#This Row],[LEA Name]],Sect611[],8,FALSE),VLOOKUP(OtherAmts[[#This Row],[LEA Name]],Sect619[],8,FALSE))*0.15,"")</f>
        <v>88395.409499999994</v>
      </c>
      <c r="E97" s="9" t="str">
        <f>IF(VLOOKUP(OtherAmts[[#This Row],[LEA Name]],Sect611[],MATCH("Sig Dis",Sect611[#Headers],0),TRUE)=1,SUM(VLOOKUP(OtherAmts[[#This Row],[LEA Name]],Sect611[],8,FALSE),VLOOKUP(OtherAmts[[#This Row],[LEA Name]],Sect619[],8,FALSE))*0.15,"")</f>
        <v/>
      </c>
      <c r="F97" s="8"/>
    </row>
    <row r="98" spans="1:6" x14ac:dyDescent="0.2">
      <c r="A98" s="6" t="s">
        <v>75</v>
      </c>
      <c r="B98" s="3">
        <v>0</v>
      </c>
      <c r="C98" s="3">
        <v>0</v>
      </c>
      <c r="D98" s="3">
        <f>IF(VLOOKUP(OtherAmts[[#This Row],[LEA Name]],Sect611[],MATCH("Sig Dis",Sect611[#Headers],0),TRUE)=0,SUM(VLOOKUP(OtherAmts[[#This Row],[LEA Name]],Sect611[],8,FALSE),VLOOKUP(OtherAmts[[#This Row],[LEA Name]],Sect619[],8,FALSE))*0.15,"")</f>
        <v>25014.313500000004</v>
      </c>
      <c r="E98" s="9" t="str">
        <f>IF(VLOOKUP(OtherAmts[[#This Row],[LEA Name]],Sect611[],MATCH("Sig Dis",Sect611[#Headers],0),TRUE)=1,SUM(VLOOKUP(OtherAmts[[#This Row],[LEA Name]],Sect611[],8,FALSE),VLOOKUP(OtherAmts[[#This Row],[LEA Name]],Sect619[],8,FALSE))*0.15,"")</f>
        <v/>
      </c>
      <c r="F98" s="8"/>
    </row>
    <row r="99" spans="1:6" x14ac:dyDescent="0.2">
      <c r="A99" s="6" t="s">
        <v>8</v>
      </c>
      <c r="B99" s="3">
        <v>44778.94</v>
      </c>
      <c r="C99" s="3">
        <v>302.79000000000002</v>
      </c>
      <c r="D99" s="3">
        <f>IF(VLOOKUP(OtherAmts[[#This Row],[LEA Name]],Sect611[],MATCH("Sig Dis",Sect611[#Headers],0),TRUE)=0,SUM(VLOOKUP(OtherAmts[[#This Row],[LEA Name]],Sect611[],8,FALSE),VLOOKUP(OtherAmts[[#This Row],[LEA Name]],Sect619[],8,FALSE))*0.15,"")</f>
        <v>222537.81749999998</v>
      </c>
      <c r="E99" s="9" t="str">
        <f>IF(VLOOKUP(OtherAmts[[#This Row],[LEA Name]],Sect611[],MATCH("Sig Dis",Sect611[#Headers],0),TRUE)=1,SUM(VLOOKUP(OtherAmts[[#This Row],[LEA Name]],Sect611[],8,FALSE),VLOOKUP(OtherAmts[[#This Row],[LEA Name]],Sect619[],8,FALSE))*0.15,"")</f>
        <v/>
      </c>
      <c r="F99" s="8"/>
    </row>
    <row r="100" spans="1:6" x14ac:dyDescent="0.2">
      <c r="A100" s="6" t="s">
        <v>96</v>
      </c>
      <c r="B100" s="3">
        <v>22826.91</v>
      </c>
      <c r="C100" s="3">
        <v>0</v>
      </c>
      <c r="D100" s="3">
        <f>IF(VLOOKUP(OtherAmts[[#This Row],[LEA Name]],Sect611[],MATCH("Sig Dis",Sect611[#Headers],0),TRUE)=0,SUM(VLOOKUP(OtherAmts[[#This Row],[LEA Name]],Sect611[],8,FALSE),VLOOKUP(OtherAmts[[#This Row],[LEA Name]],Sect619[],8,FALSE))*0.15,"")</f>
        <v>145843.35149999999</v>
      </c>
      <c r="E100" s="9" t="str">
        <f>IF(VLOOKUP(OtherAmts[[#This Row],[LEA Name]],Sect611[],MATCH("Sig Dis",Sect611[#Headers],0),TRUE)=1,SUM(VLOOKUP(OtherAmts[[#This Row],[LEA Name]],Sect611[],8,FALSE),VLOOKUP(OtherAmts[[#This Row],[LEA Name]],Sect619[],8,FALSE))*0.15,"")</f>
        <v/>
      </c>
      <c r="F100" s="8"/>
    </row>
    <row r="101" spans="1:6" x14ac:dyDescent="0.2">
      <c r="A101" s="6" t="s">
        <v>94</v>
      </c>
      <c r="B101" s="3">
        <v>9936.65</v>
      </c>
      <c r="C101" s="3">
        <v>0</v>
      </c>
      <c r="D101" s="3">
        <f>IF(VLOOKUP(OtherAmts[[#This Row],[LEA Name]],Sect611[],MATCH("Sig Dis",Sect611[#Headers],0),TRUE)=0,SUM(VLOOKUP(OtherAmts[[#This Row],[LEA Name]],Sect611[],8,FALSE),VLOOKUP(OtherAmts[[#This Row],[LEA Name]],Sect619[],8,FALSE))*0.15,"")</f>
        <v>212470.2795</v>
      </c>
      <c r="E101" s="9" t="str">
        <f>IF(VLOOKUP(OtherAmts[[#This Row],[LEA Name]],Sect611[],MATCH("Sig Dis",Sect611[#Headers],0),TRUE)=1,SUM(VLOOKUP(OtherAmts[[#This Row],[LEA Name]],Sect611[],8,FALSE),VLOOKUP(OtherAmts[[#This Row],[LEA Name]],Sect619[],8,FALSE))*0.15,"")</f>
        <v/>
      </c>
      <c r="F101" s="8"/>
    </row>
    <row r="102" spans="1:6" x14ac:dyDescent="0.2">
      <c r="A102" s="6" t="s">
        <v>50</v>
      </c>
      <c r="B102" s="3">
        <v>0</v>
      </c>
      <c r="C102" s="3">
        <v>0</v>
      </c>
      <c r="D102" s="3">
        <f>IF(VLOOKUP(OtherAmts[[#This Row],[LEA Name]],Sect611[],MATCH("Sig Dis",Sect611[#Headers],0),TRUE)=0,SUM(VLOOKUP(OtherAmts[[#This Row],[LEA Name]],Sect611[],8,FALSE),VLOOKUP(OtherAmts[[#This Row],[LEA Name]],Sect619[],8,FALSE))*0.15,"")</f>
        <v>1571.5274999999999</v>
      </c>
      <c r="E102" s="9" t="str">
        <f>IF(VLOOKUP(OtherAmts[[#This Row],[LEA Name]],Sect611[],MATCH("Sig Dis",Sect611[#Headers],0),TRUE)=1,SUM(VLOOKUP(OtherAmts[[#This Row],[LEA Name]],Sect611[],8,FALSE),VLOOKUP(OtherAmts[[#This Row],[LEA Name]],Sect619[],8,FALSE))*0.15,"")</f>
        <v/>
      </c>
      <c r="F102" s="8"/>
    </row>
    <row r="103" spans="1:6" x14ac:dyDescent="0.2">
      <c r="A103" s="6" t="s">
        <v>89</v>
      </c>
      <c r="B103" s="3">
        <v>0</v>
      </c>
      <c r="C103" s="3">
        <v>0</v>
      </c>
      <c r="D103" s="3">
        <f>IF(VLOOKUP(OtherAmts[[#This Row],[LEA Name]],Sect611[],MATCH("Sig Dis",Sect611[#Headers],0),TRUE)=0,SUM(VLOOKUP(OtherAmts[[#This Row],[LEA Name]],Sect611[],8,FALSE),VLOOKUP(OtherAmts[[#This Row],[LEA Name]],Sect619[],8,FALSE))*0.15,"")</f>
        <v>22009.490999999998</v>
      </c>
      <c r="E103" s="9" t="str">
        <f>IF(VLOOKUP(OtherAmts[[#This Row],[LEA Name]],Sect611[],MATCH("Sig Dis",Sect611[#Headers],0),TRUE)=1,SUM(VLOOKUP(OtherAmts[[#This Row],[LEA Name]],Sect611[],8,FALSE),VLOOKUP(OtherAmts[[#This Row],[LEA Name]],Sect619[],8,FALSE))*0.15,"")</f>
        <v/>
      </c>
      <c r="F103" s="8"/>
    </row>
    <row r="104" spans="1:6" x14ac:dyDescent="0.2">
      <c r="A104" s="6" t="s">
        <v>105</v>
      </c>
      <c r="B104" s="3">
        <v>0</v>
      </c>
      <c r="C104" s="3">
        <v>0</v>
      </c>
      <c r="D104" s="3">
        <f>IF(VLOOKUP(OtherAmts[[#This Row],[LEA Name]],Sect611[],MATCH("Sig Dis",Sect611[#Headers],0),TRUE)=0,SUM(VLOOKUP(OtherAmts[[#This Row],[LEA Name]],Sect611[],8,FALSE),VLOOKUP(OtherAmts[[#This Row],[LEA Name]],Sect619[],8,FALSE))*0.15,"")</f>
        <v>73.703999999999994</v>
      </c>
      <c r="E104" s="9" t="str">
        <f>IF(VLOOKUP(OtherAmts[[#This Row],[LEA Name]],Sect611[],MATCH("Sig Dis",Sect611[#Headers],0),TRUE)=1,SUM(VLOOKUP(OtherAmts[[#This Row],[LEA Name]],Sect611[],8,FALSE),VLOOKUP(OtherAmts[[#This Row],[LEA Name]],Sect619[],8,FALSE))*0.15,"")</f>
        <v/>
      </c>
      <c r="F104" s="8"/>
    </row>
    <row r="105" spans="1:6" x14ac:dyDescent="0.2">
      <c r="A105" s="6" t="s">
        <v>84</v>
      </c>
      <c r="B105" s="3">
        <v>0</v>
      </c>
      <c r="C105" s="3">
        <v>0</v>
      </c>
      <c r="D105" s="3">
        <f>IF(VLOOKUP(OtherAmts[[#This Row],[LEA Name]],Sect611[],MATCH("Sig Dis",Sect611[#Headers],0),TRUE)=0,SUM(VLOOKUP(OtherAmts[[#This Row],[LEA Name]],Sect611[],8,FALSE),VLOOKUP(OtherAmts[[#This Row],[LEA Name]],Sect619[],8,FALSE))*0.15,"")</f>
        <v>9156.5475000000006</v>
      </c>
      <c r="E105" s="9" t="str">
        <f>IF(VLOOKUP(OtherAmts[[#This Row],[LEA Name]],Sect611[],MATCH("Sig Dis",Sect611[#Headers],0),TRUE)=1,SUM(VLOOKUP(OtherAmts[[#This Row],[LEA Name]],Sect611[],8,FALSE),VLOOKUP(OtherAmts[[#This Row],[LEA Name]],Sect619[],8,FALSE))*0.15,"")</f>
        <v/>
      </c>
      <c r="F105" s="8"/>
    </row>
    <row r="106" spans="1:6" x14ac:dyDescent="0.2">
      <c r="A106" s="6" t="s">
        <v>91</v>
      </c>
      <c r="B106" s="3">
        <v>0</v>
      </c>
      <c r="C106" s="3">
        <v>0</v>
      </c>
      <c r="D106" s="3">
        <f>IF(VLOOKUP(OtherAmts[[#This Row],[LEA Name]],Sect611[],MATCH("Sig Dis",Sect611[#Headers],0),TRUE)=0,SUM(VLOOKUP(OtherAmts[[#This Row],[LEA Name]],Sect611[],8,FALSE),VLOOKUP(OtherAmts[[#This Row],[LEA Name]],Sect619[],8,FALSE))*0.15,"")</f>
        <v>14361.031499999999</v>
      </c>
      <c r="E106" s="9" t="str">
        <f>IF(VLOOKUP(OtherAmts[[#This Row],[LEA Name]],Sect611[],MATCH("Sig Dis",Sect611[#Headers],0),TRUE)=1,SUM(VLOOKUP(OtherAmts[[#This Row],[LEA Name]],Sect611[],8,FALSE),VLOOKUP(OtherAmts[[#This Row],[LEA Name]],Sect619[],8,FALSE))*0.15,"")</f>
        <v/>
      </c>
      <c r="F106" s="8"/>
    </row>
    <row r="107" spans="1:6" x14ac:dyDescent="0.2">
      <c r="A107" s="6" t="s">
        <v>87</v>
      </c>
      <c r="B107" s="3">
        <v>0</v>
      </c>
      <c r="C107" s="3">
        <v>0</v>
      </c>
      <c r="D107" s="3">
        <f>IF(VLOOKUP(OtherAmts[[#This Row],[LEA Name]],Sect611[],MATCH("Sig Dis",Sect611[#Headers],0),TRUE)=0,SUM(VLOOKUP(OtherAmts[[#This Row],[LEA Name]],Sect611[],8,FALSE),VLOOKUP(OtherAmts[[#This Row],[LEA Name]],Sect619[],8,FALSE))*0.15,"")</f>
        <v>8398.5479999999989</v>
      </c>
      <c r="E107" s="9" t="str">
        <f>IF(VLOOKUP(OtherAmts[[#This Row],[LEA Name]],Sect611[],MATCH("Sig Dis",Sect611[#Headers],0),TRUE)=1,SUM(VLOOKUP(OtherAmts[[#This Row],[LEA Name]],Sect611[],8,FALSE),VLOOKUP(OtherAmts[[#This Row],[LEA Name]],Sect619[],8,FALSE))*0.15,"")</f>
        <v/>
      </c>
      <c r="F107" s="8"/>
    </row>
    <row r="108" spans="1:6" x14ac:dyDescent="0.2">
      <c r="A108" s="6" t="s">
        <v>165</v>
      </c>
      <c r="B108" s="3">
        <v>4114.92</v>
      </c>
      <c r="C108" s="3">
        <v>0</v>
      </c>
      <c r="D108" s="3">
        <f>IF(VLOOKUP(OtherAmts[[#This Row],[LEA Name]],Sect611[],MATCH("Sig Dis",Sect611[#Headers],0),TRUE)=0,SUM(VLOOKUP(OtherAmts[[#This Row],[LEA Name]],Sect611[],8,FALSE),VLOOKUP(OtherAmts[[#This Row],[LEA Name]],Sect619[],8,FALSE))*0.15,"")</f>
        <v>194517.64350000001</v>
      </c>
      <c r="E108" s="9" t="str">
        <f>IF(VLOOKUP(OtherAmts[[#This Row],[LEA Name]],Sect611[],MATCH("Sig Dis",Sect611[#Headers],0),TRUE)=1,SUM(VLOOKUP(OtherAmts[[#This Row],[LEA Name]],Sect611[],8,FALSE),VLOOKUP(OtherAmts[[#This Row],[LEA Name]],Sect619[],8,FALSE))*0.15,"")</f>
        <v/>
      </c>
      <c r="F108" s="8"/>
    </row>
    <row r="109" spans="1:6" x14ac:dyDescent="0.2">
      <c r="A109" s="6" t="s">
        <v>68</v>
      </c>
      <c r="B109" s="3">
        <v>22007.38</v>
      </c>
      <c r="C109" s="3">
        <v>0</v>
      </c>
      <c r="D109" s="3">
        <f>IF(VLOOKUP(OtherAmts[[#This Row],[LEA Name]],Sect611[],MATCH("Sig Dis",Sect611[#Headers],0),TRUE)=0,SUM(VLOOKUP(OtherAmts[[#This Row],[LEA Name]],Sect611[],8,FALSE),VLOOKUP(OtherAmts[[#This Row],[LEA Name]],Sect619[],8,FALSE))*0.15,"")</f>
        <v>462218.02949999995</v>
      </c>
      <c r="E109" s="9" t="str">
        <f>IF(VLOOKUP(OtherAmts[[#This Row],[LEA Name]],Sect611[],MATCH("Sig Dis",Sect611[#Headers],0),TRUE)=1,SUM(VLOOKUP(OtherAmts[[#This Row],[LEA Name]],Sect611[],8,FALSE),VLOOKUP(OtherAmts[[#This Row],[LEA Name]],Sect619[],8,FALSE))*0.15,"")</f>
        <v/>
      </c>
      <c r="F109" s="8"/>
    </row>
    <row r="110" spans="1:6" x14ac:dyDescent="0.2">
      <c r="A110" s="6" t="s">
        <v>225</v>
      </c>
      <c r="B110" s="3">
        <v>0</v>
      </c>
      <c r="C110" s="3">
        <v>0</v>
      </c>
      <c r="D110" s="3">
        <f>IF(VLOOKUP(OtherAmts[[#This Row],[LEA Name]],Sect611[],MATCH("Sig Dis",Sect611[#Headers],0),TRUE)=0,SUM(VLOOKUP(OtherAmts[[#This Row],[LEA Name]],Sect611[],8,FALSE),VLOOKUP(OtherAmts[[#This Row],[LEA Name]],Sect619[],8,FALSE))*0.15,"")</f>
        <v>56467.105499999998</v>
      </c>
      <c r="E110" s="9" t="str">
        <f>IF(VLOOKUP(OtherAmts[[#This Row],[LEA Name]],Sect611[],MATCH("Sig Dis",Sect611[#Headers],0),TRUE)=1,SUM(VLOOKUP(OtherAmts[[#This Row],[LEA Name]],Sect611[],8,FALSE),VLOOKUP(OtherAmts[[#This Row],[LEA Name]],Sect619[],8,FALSE))*0.15,"")</f>
        <v/>
      </c>
      <c r="F110" s="8"/>
    </row>
    <row r="111" spans="1:6" x14ac:dyDescent="0.2">
      <c r="A111" s="6" t="s">
        <v>160</v>
      </c>
      <c r="B111" s="3">
        <v>0</v>
      </c>
      <c r="C111" s="3">
        <v>0</v>
      </c>
      <c r="D111" s="3">
        <f>IF(VLOOKUP(OtherAmts[[#This Row],[LEA Name]],Sect611[],MATCH("Sig Dis",Sect611[#Headers],0),TRUE)=0,SUM(VLOOKUP(OtherAmts[[#This Row],[LEA Name]],Sect611[],8,FALSE),VLOOKUP(OtherAmts[[#This Row],[LEA Name]],Sect619[],8,FALSE))*0.15,"")</f>
        <v>10946.947499999998</v>
      </c>
      <c r="E111" s="9" t="str">
        <f>IF(VLOOKUP(OtherAmts[[#This Row],[LEA Name]],Sect611[],MATCH("Sig Dis",Sect611[#Headers],0),TRUE)=1,SUM(VLOOKUP(OtherAmts[[#This Row],[LEA Name]],Sect611[],8,FALSE),VLOOKUP(OtherAmts[[#This Row],[LEA Name]],Sect619[],8,FALSE))*0.15,"")</f>
        <v/>
      </c>
      <c r="F111" s="8"/>
    </row>
    <row r="112" spans="1:6" x14ac:dyDescent="0.2">
      <c r="A112" s="6" t="s">
        <v>10</v>
      </c>
      <c r="B112" s="3">
        <v>4013.21</v>
      </c>
      <c r="C112" s="3">
        <v>0</v>
      </c>
      <c r="D112" s="3">
        <f>IF(VLOOKUP(OtherAmts[[#This Row],[LEA Name]],Sect611[],MATCH("Sig Dis",Sect611[#Headers],0),TRUE)=0,SUM(VLOOKUP(OtherAmts[[#This Row],[LEA Name]],Sect611[],8,FALSE),VLOOKUP(OtherAmts[[#This Row],[LEA Name]],Sect619[],8,FALSE))*0.15,"")</f>
        <v>87325.485000000001</v>
      </c>
      <c r="E112" s="9" t="str">
        <f>IF(VLOOKUP(OtherAmts[[#This Row],[LEA Name]],Sect611[],MATCH("Sig Dis",Sect611[#Headers],0),TRUE)=1,SUM(VLOOKUP(OtherAmts[[#This Row],[LEA Name]],Sect611[],8,FALSE),VLOOKUP(OtherAmts[[#This Row],[LEA Name]],Sect619[],8,FALSE))*0.15,"")</f>
        <v/>
      </c>
      <c r="F112" s="8"/>
    </row>
    <row r="113" spans="1:6" x14ac:dyDescent="0.2">
      <c r="A113" s="6" t="s">
        <v>4</v>
      </c>
      <c r="B113" s="3">
        <v>0</v>
      </c>
      <c r="C113" s="3">
        <v>0</v>
      </c>
      <c r="D113" s="3">
        <f>IF(VLOOKUP(OtherAmts[[#This Row],[LEA Name]],Sect611[],MATCH("Sig Dis",Sect611[#Headers],0),TRUE)=0,SUM(VLOOKUP(OtherAmts[[#This Row],[LEA Name]],Sect611[],8,FALSE),VLOOKUP(OtherAmts[[#This Row],[LEA Name]],Sect619[],8,FALSE))*0.15,"")</f>
        <v>13149.818999999998</v>
      </c>
      <c r="E113" s="9" t="str">
        <f>IF(VLOOKUP(OtherAmts[[#This Row],[LEA Name]],Sect611[],MATCH("Sig Dis",Sect611[#Headers],0),TRUE)=1,SUM(VLOOKUP(OtherAmts[[#This Row],[LEA Name]],Sect611[],8,FALSE),VLOOKUP(OtherAmts[[#This Row],[LEA Name]],Sect619[],8,FALSE))*0.15,"")</f>
        <v/>
      </c>
      <c r="F113" s="8"/>
    </row>
    <row r="114" spans="1:6" x14ac:dyDescent="0.2">
      <c r="A114" s="6" t="s">
        <v>48</v>
      </c>
      <c r="B114" s="3">
        <v>0</v>
      </c>
      <c r="C114" s="3">
        <v>0</v>
      </c>
      <c r="D114" s="3">
        <f>IF(VLOOKUP(OtherAmts[[#This Row],[LEA Name]],Sect611[],MATCH("Sig Dis",Sect611[#Headers],0),TRUE)=0,SUM(VLOOKUP(OtherAmts[[#This Row],[LEA Name]],Sect611[],8,FALSE),VLOOKUP(OtherAmts[[#This Row],[LEA Name]],Sect619[],8,FALSE))*0.15,"")</f>
        <v>2113.6994999999997</v>
      </c>
      <c r="E114" s="9" t="str">
        <f>IF(VLOOKUP(OtherAmts[[#This Row],[LEA Name]],Sect611[],MATCH("Sig Dis",Sect611[#Headers],0),TRUE)=1,SUM(VLOOKUP(OtherAmts[[#This Row],[LEA Name]],Sect611[],8,FALSE),VLOOKUP(OtherAmts[[#This Row],[LEA Name]],Sect619[],8,FALSE))*0.15,"")</f>
        <v/>
      </c>
      <c r="F114" s="8"/>
    </row>
    <row r="115" spans="1:6" x14ac:dyDescent="0.2">
      <c r="A115" s="6" t="s">
        <v>120</v>
      </c>
      <c r="B115" s="3">
        <v>0</v>
      </c>
      <c r="C115" s="3">
        <v>0</v>
      </c>
      <c r="D115" s="3">
        <f>IF(VLOOKUP(OtherAmts[[#This Row],[LEA Name]],Sect611[],MATCH("Sig Dis",Sect611[#Headers],0),TRUE)=0,SUM(VLOOKUP(OtherAmts[[#This Row],[LEA Name]],Sect611[],8,FALSE),VLOOKUP(OtherAmts[[#This Row],[LEA Name]],Sect619[],8,FALSE))*0.15,"")</f>
        <v>66297.834000000003</v>
      </c>
      <c r="E115" s="9" t="str">
        <f>IF(VLOOKUP(OtherAmts[[#This Row],[LEA Name]],Sect611[],MATCH("Sig Dis",Sect611[#Headers],0),TRUE)=1,SUM(VLOOKUP(OtherAmts[[#This Row],[LEA Name]],Sect611[],8,FALSE),VLOOKUP(OtherAmts[[#This Row],[LEA Name]],Sect619[],8,FALSE))*0.15,"")</f>
        <v/>
      </c>
      <c r="F115" s="8"/>
    </row>
    <row r="116" spans="1:6" x14ac:dyDescent="0.2">
      <c r="A116" s="6" t="s">
        <v>118</v>
      </c>
      <c r="B116" s="3">
        <v>0</v>
      </c>
      <c r="C116" s="3">
        <v>0</v>
      </c>
      <c r="D116" s="3">
        <f>IF(VLOOKUP(OtherAmts[[#This Row],[LEA Name]],Sect611[],MATCH("Sig Dis",Sect611[#Headers],0),TRUE)=0,SUM(VLOOKUP(OtherAmts[[#This Row],[LEA Name]],Sect611[],8,FALSE),VLOOKUP(OtherAmts[[#This Row],[LEA Name]],Sect619[],8,FALSE))*0.15,"")</f>
        <v>24117.118499999997</v>
      </c>
      <c r="E116" s="9" t="str">
        <f>IF(VLOOKUP(OtherAmts[[#This Row],[LEA Name]],Sect611[],MATCH("Sig Dis",Sect611[#Headers],0),TRUE)=1,SUM(VLOOKUP(OtherAmts[[#This Row],[LEA Name]],Sect611[],8,FALSE),VLOOKUP(OtherAmts[[#This Row],[LEA Name]],Sect619[],8,FALSE))*0.15,"")</f>
        <v/>
      </c>
      <c r="F116" s="8"/>
    </row>
    <row r="117" spans="1:6" x14ac:dyDescent="0.2">
      <c r="A117" s="6" t="s">
        <v>28</v>
      </c>
      <c r="B117" s="3">
        <v>0</v>
      </c>
      <c r="C117" s="3">
        <v>0</v>
      </c>
      <c r="D117" s="3">
        <f>IF(VLOOKUP(OtherAmts[[#This Row],[LEA Name]],Sect611[],MATCH("Sig Dis",Sect611[#Headers],0),TRUE)=0,SUM(VLOOKUP(OtherAmts[[#This Row],[LEA Name]],Sect611[],8,FALSE),VLOOKUP(OtherAmts[[#This Row],[LEA Name]],Sect619[],8,FALSE))*0.15,"")</f>
        <v>24603.459000000003</v>
      </c>
      <c r="E117" s="9" t="str">
        <f>IF(VLOOKUP(OtherAmts[[#This Row],[LEA Name]],Sect611[],MATCH("Sig Dis",Sect611[#Headers],0),TRUE)=1,SUM(VLOOKUP(OtherAmts[[#This Row],[LEA Name]],Sect611[],8,FALSE),VLOOKUP(OtherAmts[[#This Row],[LEA Name]],Sect619[],8,FALSE))*0.15,"")</f>
        <v/>
      </c>
      <c r="F117" s="8"/>
    </row>
    <row r="118" spans="1:6" x14ac:dyDescent="0.2">
      <c r="A118" s="6" t="s">
        <v>134</v>
      </c>
      <c r="B118" s="3">
        <v>0</v>
      </c>
      <c r="C118" s="3">
        <v>0</v>
      </c>
      <c r="D118" s="3">
        <f>IF(VLOOKUP(OtherAmts[[#This Row],[LEA Name]],Sect611[],MATCH("Sig Dis",Sect611[#Headers],0),TRUE)=0,SUM(VLOOKUP(OtherAmts[[#This Row],[LEA Name]],Sect611[],8,FALSE),VLOOKUP(OtherAmts[[#This Row],[LEA Name]],Sect619[],8,FALSE))*0.15,"")</f>
        <v>26123.814000000002</v>
      </c>
      <c r="E118" s="9" t="str">
        <f>IF(VLOOKUP(OtherAmts[[#This Row],[LEA Name]],Sect611[],MATCH("Sig Dis",Sect611[#Headers],0),TRUE)=1,SUM(VLOOKUP(OtherAmts[[#This Row],[LEA Name]],Sect611[],8,FALSE),VLOOKUP(OtherAmts[[#This Row],[LEA Name]],Sect619[],8,FALSE))*0.15,"")</f>
        <v/>
      </c>
      <c r="F118" s="8"/>
    </row>
    <row r="119" spans="1:6" x14ac:dyDescent="0.2">
      <c r="A119" s="6" t="s">
        <v>135</v>
      </c>
      <c r="B119" s="3">
        <v>0</v>
      </c>
      <c r="C119" s="3">
        <v>0</v>
      </c>
      <c r="D119" s="3">
        <f>IF(VLOOKUP(OtherAmts[[#This Row],[LEA Name]],Sect611[],MATCH("Sig Dis",Sect611[#Headers],0),TRUE)=0,SUM(VLOOKUP(OtherAmts[[#This Row],[LEA Name]],Sect611[],8,FALSE),VLOOKUP(OtherAmts[[#This Row],[LEA Name]],Sect619[],8,FALSE))*0.15,"")</f>
        <v>20662.745999999996</v>
      </c>
      <c r="E119" s="9" t="str">
        <f>IF(VLOOKUP(OtherAmts[[#This Row],[LEA Name]],Sect611[],MATCH("Sig Dis",Sect611[#Headers],0),TRUE)=1,SUM(VLOOKUP(OtherAmts[[#This Row],[LEA Name]],Sect611[],8,FALSE),VLOOKUP(OtherAmts[[#This Row],[LEA Name]],Sect619[],8,FALSE))*0.15,"")</f>
        <v/>
      </c>
      <c r="F119" s="8"/>
    </row>
    <row r="120" spans="1:6" x14ac:dyDescent="0.2">
      <c r="A120" s="6" t="s">
        <v>163</v>
      </c>
      <c r="B120" s="3">
        <v>9986.2199999999993</v>
      </c>
      <c r="C120" s="3">
        <v>0</v>
      </c>
      <c r="D120" s="3">
        <f>IF(VLOOKUP(OtherAmts[[#This Row],[LEA Name]],Sect611[],MATCH("Sig Dis",Sect611[#Headers],0),TRUE)=0,SUM(VLOOKUP(OtherAmts[[#This Row],[LEA Name]],Sect611[],8,FALSE),VLOOKUP(OtherAmts[[#This Row],[LEA Name]],Sect619[],8,FALSE))*0.15,"")</f>
        <v>156338.17199999999</v>
      </c>
      <c r="E120" s="9" t="str">
        <f>IF(VLOOKUP(OtherAmts[[#This Row],[LEA Name]],Sect611[],MATCH("Sig Dis",Sect611[#Headers],0),TRUE)=1,SUM(VLOOKUP(OtherAmts[[#This Row],[LEA Name]],Sect611[],8,FALSE),VLOOKUP(OtherAmts[[#This Row],[LEA Name]],Sect619[],8,FALSE))*0.15,"")</f>
        <v/>
      </c>
      <c r="F120" s="8"/>
    </row>
    <row r="121" spans="1:6" x14ac:dyDescent="0.2">
      <c r="A121" s="6" t="s">
        <v>26</v>
      </c>
      <c r="B121" s="3">
        <v>0</v>
      </c>
      <c r="C121" s="3">
        <v>0</v>
      </c>
      <c r="D121" s="3">
        <f>IF(VLOOKUP(OtherAmts[[#This Row],[LEA Name]],Sect611[],MATCH("Sig Dis",Sect611[#Headers],0),TRUE)=0,SUM(VLOOKUP(OtherAmts[[#This Row],[LEA Name]],Sect611[],8,FALSE),VLOOKUP(OtherAmts[[#This Row],[LEA Name]],Sect619[],8,FALSE))*0.15,"")</f>
        <v>120145.8885</v>
      </c>
      <c r="E121" s="9" t="str">
        <f>IF(VLOOKUP(OtherAmts[[#This Row],[LEA Name]],Sect611[],MATCH("Sig Dis",Sect611[#Headers],0),TRUE)=1,SUM(VLOOKUP(OtherAmts[[#This Row],[LEA Name]],Sect611[],8,FALSE),VLOOKUP(OtherAmts[[#This Row],[LEA Name]],Sect619[],8,FALSE))*0.15,"")</f>
        <v/>
      </c>
      <c r="F121" s="8"/>
    </row>
    <row r="122" spans="1:6" x14ac:dyDescent="0.2">
      <c r="A122" s="6" t="s">
        <v>9</v>
      </c>
      <c r="B122" s="3">
        <v>31882.23</v>
      </c>
      <c r="C122" s="3">
        <v>575.73</v>
      </c>
      <c r="D122" s="3">
        <f>IF(VLOOKUP(OtherAmts[[#This Row],[LEA Name]],Sect611[],MATCH("Sig Dis",Sect611[#Headers],0),TRUE)=0,SUM(VLOOKUP(OtherAmts[[#This Row],[LEA Name]],Sect611[],8,FALSE),VLOOKUP(OtherAmts[[#This Row],[LEA Name]],Sect619[],8,FALSE))*0.15,"")</f>
        <v>503223.55650000006</v>
      </c>
      <c r="E122" s="9" t="str">
        <f>IF(VLOOKUP(OtherAmts[[#This Row],[LEA Name]],Sect611[],MATCH("Sig Dis",Sect611[#Headers],0),TRUE)=1,SUM(VLOOKUP(OtherAmts[[#This Row],[LEA Name]],Sect611[],8,FALSE),VLOOKUP(OtherAmts[[#This Row],[LEA Name]],Sect619[],8,FALSE))*0.15,"")</f>
        <v/>
      </c>
      <c r="F122" s="8"/>
    </row>
    <row r="123" spans="1:6" x14ac:dyDescent="0.2">
      <c r="A123" s="6" t="s">
        <v>36</v>
      </c>
      <c r="B123" s="3">
        <v>0</v>
      </c>
      <c r="C123" s="3">
        <v>0</v>
      </c>
      <c r="D123" s="3">
        <f>IF(VLOOKUP(OtherAmts[[#This Row],[LEA Name]],Sect611[],MATCH("Sig Dis",Sect611[#Headers],0),TRUE)=0,SUM(VLOOKUP(OtherAmts[[#This Row],[LEA Name]],Sect611[],8,FALSE),VLOOKUP(OtherAmts[[#This Row],[LEA Name]],Sect619[],8,FALSE))*0.15,"")</f>
        <v>10087.597499999998</v>
      </c>
      <c r="E123" s="9" t="str">
        <f>IF(VLOOKUP(OtherAmts[[#This Row],[LEA Name]],Sect611[],MATCH("Sig Dis",Sect611[#Headers],0),TRUE)=1,SUM(VLOOKUP(OtherAmts[[#This Row],[LEA Name]],Sect611[],8,FALSE),VLOOKUP(OtherAmts[[#This Row],[LEA Name]],Sect619[],8,FALSE))*0.15,"")</f>
        <v/>
      </c>
      <c r="F123" s="8"/>
    </row>
    <row r="124" spans="1:6" x14ac:dyDescent="0.2">
      <c r="A124" s="6" t="s">
        <v>77</v>
      </c>
      <c r="B124" s="3">
        <v>0</v>
      </c>
      <c r="C124" s="3">
        <v>0</v>
      </c>
      <c r="D124" s="3">
        <f>IF(VLOOKUP(OtherAmts[[#This Row],[LEA Name]],Sect611[],MATCH("Sig Dis",Sect611[#Headers],0),TRUE)=0,SUM(VLOOKUP(OtherAmts[[#This Row],[LEA Name]],Sect611[],8,FALSE),VLOOKUP(OtherAmts[[#This Row],[LEA Name]],Sect619[],8,FALSE))*0.15,"")</f>
        <v>8944.1744999999992</v>
      </c>
      <c r="E124" s="9" t="str">
        <f>IF(VLOOKUP(OtherAmts[[#This Row],[LEA Name]],Sect611[],MATCH("Sig Dis",Sect611[#Headers],0),TRUE)=1,SUM(VLOOKUP(OtherAmts[[#This Row],[LEA Name]],Sect611[],8,FALSE),VLOOKUP(OtherAmts[[#This Row],[LEA Name]],Sect619[],8,FALSE))*0.15,"")</f>
        <v/>
      </c>
      <c r="F124" s="8"/>
    </row>
    <row r="125" spans="1:6" x14ac:dyDescent="0.2">
      <c r="A125" s="6" t="s">
        <v>114</v>
      </c>
      <c r="B125" s="3">
        <v>0</v>
      </c>
      <c r="C125" s="3">
        <v>0</v>
      </c>
      <c r="D125" s="3">
        <f>IF(VLOOKUP(OtherAmts[[#This Row],[LEA Name]],Sect611[],MATCH("Sig Dis",Sect611[#Headers],0),TRUE)=0,SUM(VLOOKUP(OtherAmts[[#This Row],[LEA Name]],Sect611[],8,FALSE),VLOOKUP(OtherAmts[[#This Row],[LEA Name]],Sect619[],8,FALSE))*0.15,"")</f>
        <v>53809.306499999999</v>
      </c>
      <c r="E125" s="9" t="str">
        <f>IF(VLOOKUP(OtherAmts[[#This Row],[LEA Name]],Sect611[],MATCH("Sig Dis",Sect611[#Headers],0),TRUE)=1,SUM(VLOOKUP(OtherAmts[[#This Row],[LEA Name]],Sect611[],8,FALSE),VLOOKUP(OtherAmts[[#This Row],[LEA Name]],Sect619[],8,FALSE))*0.15,"")</f>
        <v/>
      </c>
      <c r="F125" s="8"/>
    </row>
    <row r="126" spans="1:6" x14ac:dyDescent="0.2">
      <c r="A126" s="6" t="s">
        <v>142</v>
      </c>
      <c r="B126" s="3">
        <v>0</v>
      </c>
      <c r="C126" s="3">
        <v>0</v>
      </c>
      <c r="D126" s="3">
        <f>IF(VLOOKUP(OtherAmts[[#This Row],[LEA Name]],Sect611[],MATCH("Sig Dis",Sect611[#Headers],0),TRUE)=0,SUM(VLOOKUP(OtherAmts[[#This Row],[LEA Name]],Sect611[],8,FALSE),VLOOKUP(OtherAmts[[#This Row],[LEA Name]],Sect619[],8,FALSE))*0.15,"")</f>
        <v>9058.2029999999995</v>
      </c>
      <c r="E126" s="9" t="str">
        <f>IF(VLOOKUP(OtherAmts[[#This Row],[LEA Name]],Sect611[],MATCH("Sig Dis",Sect611[#Headers],0),TRUE)=1,SUM(VLOOKUP(OtherAmts[[#This Row],[LEA Name]],Sect611[],8,FALSE),VLOOKUP(OtherAmts[[#This Row],[LEA Name]],Sect619[],8,FALSE))*0.15,"")</f>
        <v/>
      </c>
      <c r="F126" s="8"/>
    </row>
    <row r="127" spans="1:6" x14ac:dyDescent="0.2">
      <c r="A127" s="6" t="s">
        <v>116</v>
      </c>
      <c r="B127" s="3">
        <v>22932.69</v>
      </c>
      <c r="C127" s="3">
        <v>522.70000000000005</v>
      </c>
      <c r="D127" s="3">
        <f>IF(VLOOKUP(OtherAmts[[#This Row],[LEA Name]],Sect611[],MATCH("Sig Dis",Sect611[#Headers],0),TRUE)=0,SUM(VLOOKUP(OtherAmts[[#This Row],[LEA Name]],Sect611[],8,FALSE),VLOOKUP(OtherAmts[[#This Row],[LEA Name]],Sect619[],8,FALSE))*0.15,"")</f>
        <v>84958.774500000014</v>
      </c>
      <c r="E127" s="9" t="str">
        <f>IF(VLOOKUP(OtherAmts[[#This Row],[LEA Name]],Sect611[],MATCH("Sig Dis",Sect611[#Headers],0),TRUE)=1,SUM(VLOOKUP(OtherAmts[[#This Row],[LEA Name]],Sect611[],8,FALSE),VLOOKUP(OtherAmts[[#This Row],[LEA Name]],Sect619[],8,FALSE))*0.15,"")</f>
        <v/>
      </c>
      <c r="F127" s="8"/>
    </row>
    <row r="128" spans="1:6" x14ac:dyDescent="0.2">
      <c r="A128" s="6" t="s">
        <v>226</v>
      </c>
      <c r="B128" s="3">
        <v>6783</v>
      </c>
      <c r="C128" s="3">
        <v>280.74</v>
      </c>
      <c r="D128" s="3">
        <f>IF(VLOOKUP(OtherAmts[[#This Row],[LEA Name]],Sect611[],MATCH("Sig Dis",Sect611[#Headers],0),TRUE)=0,SUM(VLOOKUP(OtherAmts[[#This Row],[LEA Name]],Sect611[],8,FALSE),VLOOKUP(OtherAmts[[#This Row],[LEA Name]],Sect619[],8,FALSE))*0.15,"")</f>
        <v>110222.36100000002</v>
      </c>
      <c r="E128" s="9" t="str">
        <f>IF(VLOOKUP(OtherAmts[[#This Row],[LEA Name]],Sect611[],MATCH("Sig Dis",Sect611[#Headers],0),TRUE)=1,SUM(VLOOKUP(OtherAmts[[#This Row],[LEA Name]],Sect611[],8,FALSE),VLOOKUP(OtherAmts[[#This Row],[LEA Name]],Sect619[],8,FALSE))*0.15,"")</f>
        <v/>
      </c>
      <c r="F128" s="8"/>
    </row>
    <row r="129" spans="1:6" x14ac:dyDescent="0.2">
      <c r="A129" s="6" t="s">
        <v>103</v>
      </c>
      <c r="B129" s="3">
        <v>0</v>
      </c>
      <c r="C129" s="3">
        <v>0</v>
      </c>
      <c r="D129" s="3">
        <f>IF(VLOOKUP(OtherAmts[[#This Row],[LEA Name]],Sect611[],MATCH("Sig Dis",Sect611[#Headers],0),TRUE)=0,SUM(VLOOKUP(OtherAmts[[#This Row],[LEA Name]],Sect611[],8,FALSE),VLOOKUP(OtherAmts[[#This Row],[LEA Name]],Sect619[],8,FALSE))*0.15,"")</f>
        <v>41639.927999999993</v>
      </c>
      <c r="E129" s="9" t="str">
        <f>IF(VLOOKUP(OtherAmts[[#This Row],[LEA Name]],Sect611[],MATCH("Sig Dis",Sect611[#Headers],0),TRUE)=1,SUM(VLOOKUP(OtherAmts[[#This Row],[LEA Name]],Sect611[],8,FALSE),VLOOKUP(OtherAmts[[#This Row],[LEA Name]],Sect619[],8,FALSE))*0.15,"")</f>
        <v/>
      </c>
      <c r="F129" s="8"/>
    </row>
    <row r="130" spans="1:6" x14ac:dyDescent="0.2">
      <c r="A130" s="6" t="s">
        <v>33</v>
      </c>
      <c r="B130" s="3">
        <v>0</v>
      </c>
      <c r="C130" s="3">
        <v>0</v>
      </c>
      <c r="D130" s="3">
        <f>IF(VLOOKUP(OtherAmts[[#This Row],[LEA Name]],Sect611[],MATCH("Sig Dis",Sect611[#Headers],0),TRUE)=0,SUM(VLOOKUP(OtherAmts[[#This Row],[LEA Name]],Sect611[],8,FALSE),VLOOKUP(OtherAmts[[#This Row],[LEA Name]],Sect619[],8,FALSE))*0.15,"")</f>
        <v>19893.554999999997</v>
      </c>
      <c r="E130" s="9" t="str">
        <f>IF(VLOOKUP(OtherAmts[[#This Row],[LEA Name]],Sect611[],MATCH("Sig Dis",Sect611[#Headers],0),TRUE)=1,SUM(VLOOKUP(OtherAmts[[#This Row],[LEA Name]],Sect611[],8,FALSE),VLOOKUP(OtherAmts[[#This Row],[LEA Name]],Sect619[],8,FALSE))*0.15,"")</f>
        <v/>
      </c>
      <c r="F130" s="8"/>
    </row>
    <row r="131" spans="1:6" x14ac:dyDescent="0.2">
      <c r="A131" s="6" t="s">
        <v>90</v>
      </c>
      <c r="B131" s="3">
        <v>0</v>
      </c>
      <c r="C131" s="3">
        <v>0</v>
      </c>
      <c r="D131" s="3">
        <f>IF(VLOOKUP(OtherAmts[[#This Row],[LEA Name]],Sect611[],MATCH("Sig Dis",Sect611[#Headers],0),TRUE)=0,SUM(VLOOKUP(OtherAmts[[#This Row],[LEA Name]],Sect611[],8,FALSE),VLOOKUP(OtherAmts[[#This Row],[LEA Name]],Sect619[],8,FALSE))*0.15,"")</f>
        <v>30774.646499999999</v>
      </c>
      <c r="E131" s="9" t="str">
        <f>IF(VLOOKUP(OtherAmts[[#This Row],[LEA Name]],Sect611[],MATCH("Sig Dis",Sect611[#Headers],0),TRUE)=1,SUM(VLOOKUP(OtherAmts[[#This Row],[LEA Name]],Sect611[],8,FALSE),VLOOKUP(OtherAmts[[#This Row],[LEA Name]],Sect619[],8,FALSE))*0.15,"")</f>
        <v/>
      </c>
      <c r="F131" s="8"/>
    </row>
    <row r="132" spans="1:6" x14ac:dyDescent="0.2">
      <c r="A132" s="6" t="s">
        <v>227</v>
      </c>
      <c r="B132" s="3">
        <v>0</v>
      </c>
      <c r="C132" s="3">
        <v>0</v>
      </c>
      <c r="D132" s="3">
        <f>IF(VLOOKUP(OtherAmts[[#This Row],[LEA Name]],Sect611[],MATCH("Sig Dis",Sect611[#Headers],0),TRUE)=0,SUM(VLOOKUP(OtherAmts[[#This Row],[LEA Name]],Sect611[],8,FALSE),VLOOKUP(OtherAmts[[#This Row],[LEA Name]],Sect619[],8,FALSE))*0.15,"")</f>
        <v>93192.964500000002</v>
      </c>
      <c r="E132" s="9" t="str">
        <f>IF(VLOOKUP(OtherAmts[[#This Row],[LEA Name]],Sect611[],MATCH("Sig Dis",Sect611[#Headers],0),TRUE)=1,SUM(VLOOKUP(OtherAmts[[#This Row],[LEA Name]],Sect611[],8,FALSE),VLOOKUP(OtherAmts[[#This Row],[LEA Name]],Sect619[],8,FALSE))*0.15,"")</f>
        <v/>
      </c>
      <c r="F132" s="8"/>
    </row>
    <row r="133" spans="1:6" x14ac:dyDescent="0.2">
      <c r="A133" s="6" t="s">
        <v>13</v>
      </c>
      <c r="B133" s="3">
        <v>12604.9</v>
      </c>
      <c r="C133" s="3">
        <v>0</v>
      </c>
      <c r="D133" s="3">
        <f>IF(VLOOKUP(OtherAmts[[#This Row],[LEA Name]],Sect611[],MATCH("Sig Dis",Sect611[#Headers],0),TRUE)=0,SUM(VLOOKUP(OtherAmts[[#This Row],[LEA Name]],Sect611[],8,FALSE),VLOOKUP(OtherAmts[[#This Row],[LEA Name]],Sect619[],8,FALSE))*0.15,"")</f>
        <v>252357.02249999996</v>
      </c>
      <c r="E133" s="9" t="str">
        <f>IF(VLOOKUP(OtherAmts[[#This Row],[LEA Name]],Sect611[],MATCH("Sig Dis",Sect611[#Headers],0),TRUE)=1,SUM(VLOOKUP(OtherAmts[[#This Row],[LEA Name]],Sect611[],8,FALSE),VLOOKUP(OtherAmts[[#This Row],[LEA Name]],Sect619[],8,FALSE))*0.15,"")</f>
        <v/>
      </c>
      <c r="F133" s="8"/>
    </row>
    <row r="134" spans="1:6" x14ac:dyDescent="0.2">
      <c r="A134" s="6" t="s">
        <v>11</v>
      </c>
      <c r="B134" s="3">
        <v>2659.03</v>
      </c>
      <c r="C134" s="3">
        <v>277.13</v>
      </c>
      <c r="D134" s="3">
        <f>IF(VLOOKUP(OtherAmts[[#This Row],[LEA Name]],Sect611[],MATCH("Sig Dis",Sect611[#Headers],0),TRUE)=0,SUM(VLOOKUP(OtherAmts[[#This Row],[LEA Name]],Sect611[],8,FALSE),VLOOKUP(OtherAmts[[#This Row],[LEA Name]],Sect619[],8,FALSE))*0.15,"")</f>
        <v>133476.6</v>
      </c>
      <c r="E134" s="9" t="str">
        <f>IF(VLOOKUP(OtherAmts[[#This Row],[LEA Name]],Sect611[],MATCH("Sig Dis",Sect611[#Headers],0),TRUE)=1,SUM(VLOOKUP(OtherAmts[[#This Row],[LEA Name]],Sect611[],8,FALSE),VLOOKUP(OtherAmts[[#This Row],[LEA Name]],Sect619[],8,FALSE))*0.15,"")</f>
        <v/>
      </c>
      <c r="F134" s="8"/>
    </row>
    <row r="135" spans="1:6" x14ac:dyDescent="0.2">
      <c r="A135" s="6" t="s">
        <v>76</v>
      </c>
      <c r="B135" s="3">
        <v>0</v>
      </c>
      <c r="C135" s="3">
        <v>0</v>
      </c>
      <c r="D135" s="3">
        <f>IF(VLOOKUP(OtherAmts[[#This Row],[LEA Name]],Sect611[],MATCH("Sig Dis",Sect611[#Headers],0),TRUE)=0,SUM(VLOOKUP(OtherAmts[[#This Row],[LEA Name]],Sect611[],8,FALSE),VLOOKUP(OtherAmts[[#This Row],[LEA Name]],Sect619[],8,FALSE))*0.15,"")</f>
        <v>5332.5405000000001</v>
      </c>
      <c r="E135" s="9" t="str">
        <f>IF(VLOOKUP(OtherAmts[[#This Row],[LEA Name]],Sect611[],MATCH("Sig Dis",Sect611[#Headers],0),TRUE)=1,SUM(VLOOKUP(OtherAmts[[#This Row],[LEA Name]],Sect611[],8,FALSE),VLOOKUP(OtherAmts[[#This Row],[LEA Name]],Sect619[],8,FALSE))*0.15,"")</f>
        <v/>
      </c>
      <c r="F135" s="8"/>
    </row>
    <row r="136" spans="1:6" x14ac:dyDescent="0.2">
      <c r="A136" s="6" t="s">
        <v>122</v>
      </c>
      <c r="B136" s="3">
        <v>0</v>
      </c>
      <c r="C136" s="3">
        <v>0</v>
      </c>
      <c r="D136" s="3">
        <f>IF(VLOOKUP(OtherAmts[[#This Row],[LEA Name]],Sect611[],MATCH("Sig Dis",Sect611[#Headers],0),TRUE)=0,SUM(VLOOKUP(OtherAmts[[#This Row],[LEA Name]],Sect611[],8,FALSE),VLOOKUP(OtherAmts[[#This Row],[LEA Name]],Sect619[],8,FALSE))*0.15,"")</f>
        <v>107163.42150000001</v>
      </c>
      <c r="E136" s="9" t="str">
        <f>IF(VLOOKUP(OtherAmts[[#This Row],[LEA Name]],Sect611[],MATCH("Sig Dis",Sect611[#Headers],0),TRUE)=1,SUM(VLOOKUP(OtherAmts[[#This Row],[LEA Name]],Sect611[],8,FALSE),VLOOKUP(OtherAmts[[#This Row],[LEA Name]],Sect619[],8,FALSE))*0.15,"")</f>
        <v/>
      </c>
      <c r="F136" s="8"/>
    </row>
    <row r="137" spans="1:6" x14ac:dyDescent="0.2">
      <c r="A137" s="6" t="s">
        <v>228</v>
      </c>
      <c r="B137" s="3">
        <v>5556.75</v>
      </c>
      <c r="C137" s="3">
        <v>0</v>
      </c>
      <c r="D137" s="3">
        <f>IF(VLOOKUP(OtherAmts[[#This Row],[LEA Name]],Sect611[],MATCH("Sig Dis",Sect611[#Headers],0),TRUE)=0,SUM(VLOOKUP(OtherAmts[[#This Row],[LEA Name]],Sect611[],8,FALSE),VLOOKUP(OtherAmts[[#This Row],[LEA Name]],Sect619[],8,FALSE))*0.15,"")</f>
        <v>114321.44700000001</v>
      </c>
      <c r="E137" s="9" t="str">
        <f>IF(VLOOKUP(OtherAmts[[#This Row],[LEA Name]],Sect611[],MATCH("Sig Dis",Sect611[#Headers],0),TRUE)=1,SUM(VLOOKUP(OtherAmts[[#This Row],[LEA Name]],Sect611[],8,FALSE),VLOOKUP(OtherAmts[[#This Row],[LEA Name]],Sect619[],8,FALSE))*0.15,"")</f>
        <v/>
      </c>
      <c r="F137" s="8"/>
    </row>
    <row r="138" spans="1:6" x14ac:dyDescent="0.2">
      <c r="A138" s="6" t="s">
        <v>131</v>
      </c>
      <c r="B138" s="3">
        <v>0</v>
      </c>
      <c r="C138" s="3">
        <v>0</v>
      </c>
      <c r="D138" s="3">
        <f>IF(VLOOKUP(OtherAmts[[#This Row],[LEA Name]],Sect611[],MATCH("Sig Dis",Sect611[#Headers],0),TRUE)=0,SUM(VLOOKUP(OtherAmts[[#This Row],[LEA Name]],Sect611[],8,FALSE),VLOOKUP(OtherAmts[[#This Row],[LEA Name]],Sect619[],8,FALSE))*0.15,"")</f>
        <v>6890.5739999999996</v>
      </c>
      <c r="E138" s="9" t="str">
        <f>IF(VLOOKUP(OtherAmts[[#This Row],[LEA Name]],Sect611[],MATCH("Sig Dis",Sect611[#Headers],0),TRUE)=1,SUM(VLOOKUP(OtherAmts[[#This Row],[LEA Name]],Sect611[],8,FALSE),VLOOKUP(OtherAmts[[#This Row],[LEA Name]],Sect619[],8,FALSE))*0.15,"")</f>
        <v/>
      </c>
      <c r="F138" s="8"/>
    </row>
    <row r="139" spans="1:6" x14ac:dyDescent="0.2">
      <c r="A139" s="6" t="s">
        <v>6</v>
      </c>
      <c r="B139" s="3">
        <v>0</v>
      </c>
      <c r="C139" s="3">
        <v>0</v>
      </c>
      <c r="D139" s="3">
        <f>IF(VLOOKUP(OtherAmts[[#This Row],[LEA Name]],Sect611[],MATCH("Sig Dis",Sect611[#Headers],0),TRUE)=0,SUM(VLOOKUP(OtherAmts[[#This Row],[LEA Name]],Sect611[],8,FALSE),VLOOKUP(OtherAmts[[#This Row],[LEA Name]],Sect619[],8,FALSE))*0.15,"")</f>
        <v>49316.051999999996</v>
      </c>
      <c r="E139" s="9" t="str">
        <f>IF(VLOOKUP(OtherAmts[[#This Row],[LEA Name]],Sect611[],MATCH("Sig Dis",Sect611[#Headers],0),TRUE)=1,SUM(VLOOKUP(OtherAmts[[#This Row],[LEA Name]],Sect611[],8,FALSE),VLOOKUP(OtherAmts[[#This Row],[LEA Name]],Sect619[],8,FALSE))*0.15,"")</f>
        <v/>
      </c>
      <c r="F139" s="8"/>
    </row>
    <row r="140" spans="1:6" x14ac:dyDescent="0.2">
      <c r="A140" s="6" t="s">
        <v>60</v>
      </c>
      <c r="B140" s="3">
        <v>0</v>
      </c>
      <c r="C140" s="3">
        <v>0</v>
      </c>
      <c r="D140" s="3">
        <f>IF(VLOOKUP(OtherAmts[[#This Row],[LEA Name]],Sect611[],MATCH("Sig Dis",Sect611[#Headers],0),TRUE)=0,SUM(VLOOKUP(OtherAmts[[#This Row],[LEA Name]],Sect611[],8,FALSE),VLOOKUP(OtherAmts[[#This Row],[LEA Name]],Sect619[],8,FALSE))*0.15,"")</f>
        <v>98256.452999999994</v>
      </c>
      <c r="E140" s="9" t="str">
        <f>IF(VLOOKUP(OtherAmts[[#This Row],[LEA Name]],Sect611[],MATCH("Sig Dis",Sect611[#Headers],0),TRUE)=1,SUM(VLOOKUP(OtherAmts[[#This Row],[LEA Name]],Sect611[],8,FALSE),VLOOKUP(OtherAmts[[#This Row],[LEA Name]],Sect619[],8,FALSE))*0.15,"")</f>
        <v/>
      </c>
      <c r="F140" s="8"/>
    </row>
    <row r="141" spans="1:6" x14ac:dyDescent="0.2">
      <c r="A141" s="6" t="s">
        <v>137</v>
      </c>
      <c r="B141" s="3">
        <v>0</v>
      </c>
      <c r="C141" s="3">
        <v>0</v>
      </c>
      <c r="D141" s="3">
        <f>IF(VLOOKUP(OtherAmts[[#This Row],[LEA Name]],Sect611[],MATCH("Sig Dis",Sect611[#Headers],0),TRUE)=0,SUM(VLOOKUP(OtherAmts[[#This Row],[LEA Name]],Sect611[],8,FALSE),VLOOKUP(OtherAmts[[#This Row],[LEA Name]],Sect619[],8,FALSE))*0.15,"")</f>
        <v>12441.0075</v>
      </c>
      <c r="E141" s="9" t="str">
        <f>IF(VLOOKUP(OtherAmts[[#This Row],[LEA Name]],Sect611[],MATCH("Sig Dis",Sect611[#Headers],0),TRUE)=1,SUM(VLOOKUP(OtherAmts[[#This Row],[LEA Name]],Sect611[],8,FALSE),VLOOKUP(OtherAmts[[#This Row],[LEA Name]],Sect619[],8,FALSE))*0.15,"")</f>
        <v/>
      </c>
      <c r="F141" s="8"/>
    </row>
    <row r="142" spans="1:6" x14ac:dyDescent="0.2">
      <c r="A142" s="6" t="s">
        <v>53</v>
      </c>
      <c r="B142" s="3">
        <v>0</v>
      </c>
      <c r="C142" s="3">
        <v>0</v>
      </c>
      <c r="D142" s="3">
        <f>IF(VLOOKUP(OtherAmts[[#This Row],[LEA Name]],Sect611[],MATCH("Sig Dis",Sect611[#Headers],0),TRUE)=0,SUM(VLOOKUP(OtherAmts[[#This Row],[LEA Name]],Sect611[],8,FALSE),VLOOKUP(OtherAmts[[#This Row],[LEA Name]],Sect619[],8,FALSE))*0.15,"")</f>
        <v>0</v>
      </c>
      <c r="E142" s="9" t="str">
        <f>IF(VLOOKUP(OtherAmts[[#This Row],[LEA Name]],Sect611[],MATCH("Sig Dis",Sect611[#Headers],0),TRUE)=1,SUM(VLOOKUP(OtherAmts[[#This Row],[LEA Name]],Sect611[],8,FALSE),VLOOKUP(OtherAmts[[#This Row],[LEA Name]],Sect619[],8,FALSE))*0.15,"")</f>
        <v/>
      </c>
      <c r="F142" s="8"/>
    </row>
    <row r="143" spans="1:6" x14ac:dyDescent="0.2">
      <c r="A143" s="6" t="s">
        <v>229</v>
      </c>
      <c r="B143" s="3">
        <v>0</v>
      </c>
      <c r="C143" s="3">
        <v>0</v>
      </c>
      <c r="D143" s="3">
        <f>IF(VLOOKUP(OtherAmts[[#This Row],[LEA Name]],Sect611[],MATCH("Sig Dis",Sect611[#Headers],0),TRUE)=0,SUM(VLOOKUP(OtherAmts[[#This Row],[LEA Name]],Sect611[],8,FALSE),VLOOKUP(OtherAmts[[#This Row],[LEA Name]],Sect619[],8,FALSE))*0.15,"")</f>
        <v>6652.9979999999987</v>
      </c>
      <c r="E143" s="9" t="str">
        <f>IF(VLOOKUP(OtherAmts[[#This Row],[LEA Name]],Sect611[],MATCH("Sig Dis",Sect611[#Headers],0),TRUE)=1,SUM(VLOOKUP(OtherAmts[[#This Row],[LEA Name]],Sect611[],8,FALSE),VLOOKUP(OtherAmts[[#This Row],[LEA Name]],Sect619[],8,FALSE))*0.15,"")</f>
        <v/>
      </c>
      <c r="F143" s="8"/>
    </row>
    <row r="144" spans="1:6" x14ac:dyDescent="0.2">
      <c r="A144" s="6" t="s">
        <v>67</v>
      </c>
      <c r="B144" s="3">
        <v>0</v>
      </c>
      <c r="C144" s="3">
        <v>0</v>
      </c>
      <c r="D144" s="3">
        <f>IF(VLOOKUP(OtherAmts[[#This Row],[LEA Name]],Sect611[],MATCH("Sig Dis",Sect611[#Headers],0),TRUE)=0,SUM(VLOOKUP(OtherAmts[[#This Row],[LEA Name]],Sect611[],8,FALSE),VLOOKUP(OtherAmts[[#This Row],[LEA Name]],Sect619[],8,FALSE))*0.15,"")</f>
        <v>1198.9425000000001</v>
      </c>
      <c r="E144" s="9" t="str">
        <f>IF(VLOOKUP(OtherAmts[[#This Row],[LEA Name]],Sect611[],MATCH("Sig Dis",Sect611[#Headers],0),TRUE)=1,SUM(VLOOKUP(OtherAmts[[#This Row],[LEA Name]],Sect611[],8,FALSE),VLOOKUP(OtherAmts[[#This Row],[LEA Name]],Sect619[],8,FALSE))*0.15,"")</f>
        <v/>
      </c>
      <c r="F144" s="8"/>
    </row>
    <row r="145" spans="1:6" x14ac:dyDescent="0.2">
      <c r="A145" s="6" t="s">
        <v>80</v>
      </c>
      <c r="B145" s="3">
        <v>0</v>
      </c>
      <c r="C145" s="3">
        <v>0</v>
      </c>
      <c r="D145" s="3">
        <f>IF(VLOOKUP(OtherAmts[[#This Row],[LEA Name]],Sect611[],MATCH("Sig Dis",Sect611[#Headers],0),TRUE)=0,SUM(VLOOKUP(OtherAmts[[#This Row],[LEA Name]],Sect611[],8,FALSE),VLOOKUP(OtherAmts[[#This Row],[LEA Name]],Sect619[],8,FALSE))*0.15,"")</f>
        <v>35360.972999999998</v>
      </c>
      <c r="E145" s="9" t="str">
        <f>IF(VLOOKUP(OtherAmts[[#This Row],[LEA Name]],Sect611[],MATCH("Sig Dis",Sect611[#Headers],0),TRUE)=1,SUM(VLOOKUP(OtherAmts[[#This Row],[LEA Name]],Sect611[],8,FALSE),VLOOKUP(OtherAmts[[#This Row],[LEA Name]],Sect619[],8,FALSE))*0.15,"")</f>
        <v/>
      </c>
      <c r="F145" s="8"/>
    </row>
    <row r="146" spans="1:6" x14ac:dyDescent="0.2">
      <c r="A146" s="6" t="s">
        <v>78</v>
      </c>
      <c r="B146" s="3">
        <v>0</v>
      </c>
      <c r="C146" s="3">
        <v>0</v>
      </c>
      <c r="D146" s="3">
        <f>IF(VLOOKUP(OtherAmts[[#This Row],[LEA Name]],Sect611[],MATCH("Sig Dis",Sect611[#Headers],0),TRUE)=0,SUM(VLOOKUP(OtherAmts[[#This Row],[LEA Name]],Sect611[],8,FALSE),VLOOKUP(OtherAmts[[#This Row],[LEA Name]],Sect619[],8,FALSE))*0.15,"")</f>
        <v>528.471</v>
      </c>
      <c r="E146" s="9" t="str">
        <f>IF(VLOOKUP(OtherAmts[[#This Row],[LEA Name]],Sect611[],MATCH("Sig Dis",Sect611[#Headers],0),TRUE)=1,SUM(VLOOKUP(OtherAmts[[#This Row],[LEA Name]],Sect611[],8,FALSE),VLOOKUP(OtherAmts[[#This Row],[LEA Name]],Sect619[],8,FALSE))*0.15,"")</f>
        <v/>
      </c>
      <c r="F146" s="8"/>
    </row>
    <row r="147" spans="1:6" x14ac:dyDescent="0.2">
      <c r="A147" s="6" t="s">
        <v>230</v>
      </c>
      <c r="B147" s="3">
        <v>0</v>
      </c>
      <c r="C147" s="3">
        <v>0</v>
      </c>
      <c r="D147" s="3">
        <f>IF(VLOOKUP(OtherAmts[[#This Row],[LEA Name]],Sect611[],MATCH("Sig Dis",Sect611[#Headers],0),TRUE)=0,SUM(VLOOKUP(OtherAmts[[#This Row],[LEA Name]],Sect611[],8,FALSE),VLOOKUP(OtherAmts[[#This Row],[LEA Name]],Sect619[],8,FALSE))*0.15,"")</f>
        <v>12104.1765</v>
      </c>
      <c r="E147" s="9" t="str">
        <f>IF(VLOOKUP(OtherAmts[[#This Row],[LEA Name]],Sect611[],MATCH("Sig Dis",Sect611[#Headers],0),TRUE)=1,SUM(VLOOKUP(OtherAmts[[#This Row],[LEA Name]],Sect611[],8,FALSE),VLOOKUP(OtherAmts[[#This Row],[LEA Name]],Sect619[],8,FALSE))*0.15,"")</f>
        <v/>
      </c>
      <c r="F147" s="8"/>
    </row>
    <row r="148" spans="1:6" x14ac:dyDescent="0.2">
      <c r="A148" s="6" t="s">
        <v>121</v>
      </c>
      <c r="B148" s="3">
        <v>100987.64</v>
      </c>
      <c r="C148" s="3">
        <v>1513.75</v>
      </c>
      <c r="D148" s="3" t="str">
        <f>IF(VLOOKUP(OtherAmts[[#This Row],[LEA Name]],Sect611[],MATCH("Sig Dis",Sect611[#Headers],0),TRUE)=0,SUM(VLOOKUP(OtherAmts[[#This Row],[LEA Name]],Sect611[],8,FALSE),VLOOKUP(OtherAmts[[#This Row],[LEA Name]],Sect619[],8,FALSE))*0.15,"")</f>
        <v/>
      </c>
      <c r="E148" s="9">
        <f>IF(VLOOKUP(OtherAmts[[#This Row],[LEA Name]],Sect611[],MATCH("Sig Dis",Sect611[#Headers],0),TRUE)=1,SUM(VLOOKUP(OtherAmts[[#This Row],[LEA Name]],Sect611[],8,FALSE),VLOOKUP(OtherAmts[[#This Row],[LEA Name]],Sect619[],8,FALSE))*0.15,"")</f>
        <v>1648193.2844999994</v>
      </c>
      <c r="F148" s="8"/>
    </row>
    <row r="149" spans="1:6" x14ac:dyDescent="0.2">
      <c r="A149" s="6" t="s">
        <v>27</v>
      </c>
      <c r="B149" s="3">
        <v>0</v>
      </c>
      <c r="C149" s="3">
        <v>0</v>
      </c>
      <c r="D149" s="3">
        <f>IF(VLOOKUP(OtherAmts[[#This Row],[LEA Name]],Sect611[],MATCH("Sig Dis",Sect611[#Headers],0),TRUE)=0,SUM(VLOOKUP(OtherAmts[[#This Row],[LEA Name]],Sect611[],8,FALSE),VLOOKUP(OtherAmts[[#This Row],[LEA Name]],Sect619[],8,FALSE))*0.15,"")</f>
        <v>4201.5569999999998</v>
      </c>
      <c r="E149" s="9" t="str">
        <f>IF(VLOOKUP(OtherAmts[[#This Row],[LEA Name]],Sect611[],MATCH("Sig Dis",Sect611[#Headers],0),TRUE)=1,SUM(VLOOKUP(OtherAmts[[#This Row],[LEA Name]],Sect611[],8,FALSE),VLOOKUP(OtherAmts[[#This Row],[LEA Name]],Sect619[],8,FALSE))*0.15,"")</f>
        <v/>
      </c>
      <c r="F149" s="8"/>
    </row>
    <row r="150" spans="1:6" x14ac:dyDescent="0.2">
      <c r="A150" s="6" t="s">
        <v>47</v>
      </c>
      <c r="B150" s="3">
        <v>0</v>
      </c>
      <c r="C150" s="3">
        <v>0</v>
      </c>
      <c r="D150" s="3">
        <f>IF(VLOOKUP(OtherAmts[[#This Row],[LEA Name]],Sect611[],MATCH("Sig Dis",Sect611[#Headers],0),TRUE)=0,SUM(VLOOKUP(OtherAmts[[#This Row],[LEA Name]],Sect611[],8,FALSE),VLOOKUP(OtherAmts[[#This Row],[LEA Name]],Sect619[],8,FALSE))*0.15,"")</f>
        <v>5688.2069999999994</v>
      </c>
      <c r="E150" s="9" t="str">
        <f>IF(VLOOKUP(OtherAmts[[#This Row],[LEA Name]],Sect611[],MATCH("Sig Dis",Sect611[#Headers],0),TRUE)=1,SUM(VLOOKUP(OtherAmts[[#This Row],[LEA Name]],Sect611[],8,FALSE),VLOOKUP(OtherAmts[[#This Row],[LEA Name]],Sect619[],8,FALSE))*0.15,"")</f>
        <v/>
      </c>
      <c r="F150" s="8"/>
    </row>
    <row r="151" spans="1:6" x14ac:dyDescent="0.2">
      <c r="A151" s="6" t="s">
        <v>65</v>
      </c>
      <c r="B151" s="3">
        <v>0</v>
      </c>
      <c r="C151" s="3">
        <v>0</v>
      </c>
      <c r="D151" s="3">
        <f>IF(VLOOKUP(OtherAmts[[#This Row],[LEA Name]],Sect611[],MATCH("Sig Dis",Sect611[#Headers],0),TRUE)=0,SUM(VLOOKUP(OtherAmts[[#This Row],[LEA Name]],Sect611[],8,FALSE),VLOOKUP(OtherAmts[[#This Row],[LEA Name]],Sect619[],8,FALSE))*0.15,"")</f>
        <v>5936.5304999999998</v>
      </c>
      <c r="E151" s="9" t="str">
        <f>IF(VLOOKUP(OtherAmts[[#This Row],[LEA Name]],Sect611[],MATCH("Sig Dis",Sect611[#Headers],0),TRUE)=1,SUM(VLOOKUP(OtherAmts[[#This Row],[LEA Name]],Sect611[],8,FALSE),VLOOKUP(OtherAmts[[#This Row],[LEA Name]],Sect619[],8,FALSE))*0.15,"")</f>
        <v/>
      </c>
      <c r="F151" s="8"/>
    </row>
    <row r="152" spans="1:6" x14ac:dyDescent="0.2">
      <c r="A152" s="6" t="s">
        <v>21</v>
      </c>
      <c r="B152" s="3">
        <v>0</v>
      </c>
      <c r="C152" s="3">
        <v>0</v>
      </c>
      <c r="D152" s="3">
        <f>IF(VLOOKUP(OtherAmts[[#This Row],[LEA Name]],Sect611[],MATCH("Sig Dis",Sect611[#Headers],0),TRUE)=0,SUM(VLOOKUP(OtherAmts[[#This Row],[LEA Name]],Sect611[],8,FALSE),VLOOKUP(OtherAmts[[#This Row],[LEA Name]],Sect619[],8,FALSE))*0.15,"")</f>
        <v>34289.157000000007</v>
      </c>
      <c r="E152" s="9" t="str">
        <f>IF(VLOOKUP(OtherAmts[[#This Row],[LEA Name]],Sect611[],MATCH("Sig Dis",Sect611[#Headers],0),TRUE)=1,SUM(VLOOKUP(OtherAmts[[#This Row],[LEA Name]],Sect611[],8,FALSE),VLOOKUP(OtherAmts[[#This Row],[LEA Name]],Sect619[],8,FALSE))*0.15,"")</f>
        <v/>
      </c>
      <c r="F152" s="8"/>
    </row>
    <row r="153" spans="1:6" x14ac:dyDescent="0.2">
      <c r="A153" s="6" t="s">
        <v>31</v>
      </c>
      <c r="B153" s="3">
        <v>6780.04</v>
      </c>
      <c r="C153" s="3">
        <v>0</v>
      </c>
      <c r="D153" s="3">
        <f>IF(VLOOKUP(OtherAmts[[#This Row],[LEA Name]],Sect611[],MATCH("Sig Dis",Sect611[#Headers],0),TRUE)=0,SUM(VLOOKUP(OtherAmts[[#This Row],[LEA Name]],Sect611[],8,FALSE),VLOOKUP(OtherAmts[[#This Row],[LEA Name]],Sect619[],8,FALSE))*0.15,"")</f>
        <v>205356.77399999998</v>
      </c>
      <c r="E153" s="9" t="str">
        <f>IF(VLOOKUP(OtherAmts[[#This Row],[LEA Name]],Sect611[],MATCH("Sig Dis",Sect611[#Headers],0),TRUE)=1,SUM(VLOOKUP(OtherAmts[[#This Row],[LEA Name]],Sect611[],8,FALSE),VLOOKUP(OtherAmts[[#This Row],[LEA Name]],Sect619[],8,FALSE))*0.15,"")</f>
        <v/>
      </c>
      <c r="F153" s="8"/>
    </row>
    <row r="154" spans="1:6" x14ac:dyDescent="0.2">
      <c r="A154" s="6" t="s">
        <v>41</v>
      </c>
      <c r="B154" s="3">
        <v>0</v>
      </c>
      <c r="C154" s="3">
        <v>0</v>
      </c>
      <c r="D154" s="3">
        <f>IF(VLOOKUP(OtherAmts[[#This Row],[LEA Name]],Sect611[],MATCH("Sig Dis",Sect611[#Headers],0),TRUE)=0,SUM(VLOOKUP(OtherAmts[[#This Row],[LEA Name]],Sect611[],8,FALSE),VLOOKUP(OtherAmts[[#This Row],[LEA Name]],Sect619[],8,FALSE))*0.15,"")</f>
        <v>26867.953499999996</v>
      </c>
      <c r="E154" s="9" t="str">
        <f>IF(VLOOKUP(OtherAmts[[#This Row],[LEA Name]],Sect611[],MATCH("Sig Dis",Sect611[#Headers],0),TRUE)=1,SUM(VLOOKUP(OtherAmts[[#This Row],[LEA Name]],Sect611[],8,FALSE),VLOOKUP(OtherAmts[[#This Row],[LEA Name]],Sect619[],8,FALSE))*0.15,"")</f>
        <v/>
      </c>
      <c r="F154" s="8"/>
    </row>
    <row r="155" spans="1:6" x14ac:dyDescent="0.2">
      <c r="A155" s="6" t="s">
        <v>123</v>
      </c>
      <c r="B155" s="3">
        <v>0</v>
      </c>
      <c r="C155" s="3">
        <v>0</v>
      </c>
      <c r="D155" s="3">
        <f>IF(VLOOKUP(OtherAmts[[#This Row],[LEA Name]],Sect611[],MATCH("Sig Dis",Sect611[#Headers],0),TRUE)=0,SUM(VLOOKUP(OtherAmts[[#This Row],[LEA Name]],Sect611[],8,FALSE),VLOOKUP(OtherAmts[[#This Row],[LEA Name]],Sect619[],8,FALSE))*0.15,"")</f>
        <v>334641.33299999993</v>
      </c>
      <c r="E155" s="9" t="str">
        <f>IF(VLOOKUP(OtherAmts[[#This Row],[LEA Name]],Sect611[],MATCH("Sig Dis",Sect611[#Headers],0),TRUE)=1,SUM(VLOOKUP(OtherAmts[[#This Row],[LEA Name]],Sect611[],8,FALSE),VLOOKUP(OtherAmts[[#This Row],[LEA Name]],Sect619[],8,FALSE))*0.15,"")</f>
        <v/>
      </c>
      <c r="F155" s="8"/>
    </row>
    <row r="156" spans="1:6" x14ac:dyDescent="0.2">
      <c r="A156" s="6" t="s">
        <v>39</v>
      </c>
      <c r="B156" s="3">
        <v>1185.55</v>
      </c>
      <c r="C156" s="3">
        <v>0</v>
      </c>
      <c r="D156" s="3">
        <f>IF(VLOOKUP(OtherAmts[[#This Row],[LEA Name]],Sect611[],MATCH("Sig Dis",Sect611[#Headers],0),TRUE)=0,SUM(VLOOKUP(OtherAmts[[#This Row],[LEA Name]],Sect611[],8,FALSE),VLOOKUP(OtherAmts[[#This Row],[LEA Name]],Sect619[],8,FALSE))*0.15,"")</f>
        <v>13610.008500000002</v>
      </c>
      <c r="E156" s="9" t="str">
        <f>IF(VLOOKUP(OtherAmts[[#This Row],[LEA Name]],Sect611[],MATCH("Sig Dis",Sect611[#Headers],0),TRUE)=1,SUM(VLOOKUP(OtherAmts[[#This Row],[LEA Name]],Sect611[],8,FALSE),VLOOKUP(OtherAmts[[#This Row],[LEA Name]],Sect619[],8,FALSE))*0.15,"")</f>
        <v/>
      </c>
      <c r="F156" s="8"/>
    </row>
    <row r="157" spans="1:6" x14ac:dyDescent="0.2">
      <c r="A157" s="6" t="s">
        <v>128</v>
      </c>
      <c r="B157" s="3">
        <v>0</v>
      </c>
      <c r="C157" s="3">
        <v>0</v>
      </c>
      <c r="D157" s="3">
        <f>IF(VLOOKUP(OtherAmts[[#This Row],[LEA Name]],Sect611[],MATCH("Sig Dis",Sect611[#Headers],0),TRUE)=0,SUM(VLOOKUP(OtherAmts[[#This Row],[LEA Name]],Sect611[],8,FALSE),VLOOKUP(OtherAmts[[#This Row],[LEA Name]],Sect619[],8,FALSE))*0.15,"")</f>
        <v>13307.529</v>
      </c>
      <c r="E157" s="9" t="str">
        <f>IF(VLOOKUP(OtherAmts[[#This Row],[LEA Name]],Sect611[],MATCH("Sig Dis",Sect611[#Headers],0),TRUE)=1,SUM(VLOOKUP(OtherAmts[[#This Row],[LEA Name]],Sect611[],8,FALSE),VLOOKUP(OtherAmts[[#This Row],[LEA Name]],Sect619[],8,FALSE))*0.15,"")</f>
        <v/>
      </c>
      <c r="F157" s="8"/>
    </row>
    <row r="158" spans="1:6" x14ac:dyDescent="0.2">
      <c r="A158" s="6" t="s">
        <v>64</v>
      </c>
      <c r="B158" s="3">
        <v>0</v>
      </c>
      <c r="C158" s="3">
        <v>0</v>
      </c>
      <c r="D158" s="3">
        <f>IF(VLOOKUP(OtherAmts[[#This Row],[LEA Name]],Sect611[],MATCH("Sig Dis",Sect611[#Headers],0),TRUE)=0,SUM(VLOOKUP(OtherAmts[[#This Row],[LEA Name]],Sect611[],8,FALSE),VLOOKUP(OtherAmts[[#This Row],[LEA Name]],Sect619[],8,FALSE))*0.15,"")</f>
        <v>34968.326999999997</v>
      </c>
      <c r="E158" s="9" t="str">
        <f>IF(VLOOKUP(OtherAmts[[#This Row],[LEA Name]],Sect611[],MATCH("Sig Dis",Sect611[#Headers],0),TRUE)=1,SUM(VLOOKUP(OtherAmts[[#This Row],[LEA Name]],Sect611[],8,FALSE),VLOOKUP(OtherAmts[[#This Row],[LEA Name]],Sect619[],8,FALSE))*0.15,"")</f>
        <v/>
      </c>
      <c r="F158" s="8"/>
    </row>
    <row r="159" spans="1:6" x14ac:dyDescent="0.2">
      <c r="A159" s="6" t="s">
        <v>115</v>
      </c>
      <c r="B159" s="3">
        <v>68475.63</v>
      </c>
      <c r="C159" s="3">
        <v>543.47</v>
      </c>
      <c r="D159" s="3">
        <f>IF(VLOOKUP(OtherAmts[[#This Row],[LEA Name]],Sect611[],MATCH("Sig Dis",Sect611[#Headers],0),TRUE)=0,SUM(VLOOKUP(OtherAmts[[#This Row],[LEA Name]],Sect611[],8,FALSE),VLOOKUP(OtherAmts[[#This Row],[LEA Name]],Sect619[],8,FALSE))*0.15,"")</f>
        <v>1255109.4240000001</v>
      </c>
      <c r="E159" s="9" t="str">
        <f>IF(VLOOKUP(OtherAmts[[#This Row],[LEA Name]],Sect611[],MATCH("Sig Dis",Sect611[#Headers],0),TRUE)=1,SUM(VLOOKUP(OtherAmts[[#This Row],[LEA Name]],Sect611[],8,FALSE),VLOOKUP(OtherAmts[[#This Row],[LEA Name]],Sect619[],8,FALSE))*0.15,"")</f>
        <v/>
      </c>
      <c r="F159" s="8"/>
    </row>
    <row r="160" spans="1:6" x14ac:dyDescent="0.2">
      <c r="A160" s="6" t="s">
        <v>99</v>
      </c>
      <c r="B160" s="3">
        <v>0</v>
      </c>
      <c r="C160" s="3">
        <v>0</v>
      </c>
      <c r="D160" s="3">
        <f>IF(VLOOKUP(OtherAmts[[#This Row],[LEA Name]],Sect611[],MATCH("Sig Dis",Sect611[#Headers],0),TRUE)=0,SUM(VLOOKUP(OtherAmts[[#This Row],[LEA Name]],Sect611[],8,FALSE),VLOOKUP(OtherAmts[[#This Row],[LEA Name]],Sect619[],8,FALSE))*0.15,"")</f>
        <v>97105.592999999993</v>
      </c>
      <c r="E160" s="9" t="str">
        <f>IF(VLOOKUP(OtherAmts[[#This Row],[LEA Name]],Sect611[],MATCH("Sig Dis",Sect611[#Headers],0),TRUE)=1,SUM(VLOOKUP(OtherAmts[[#This Row],[LEA Name]],Sect611[],8,FALSE),VLOOKUP(OtherAmts[[#This Row],[LEA Name]],Sect619[],8,FALSE))*0.15,"")</f>
        <v/>
      </c>
      <c r="F160" s="8"/>
    </row>
    <row r="161" spans="1:6" x14ac:dyDescent="0.2">
      <c r="A161" s="6" t="s">
        <v>19</v>
      </c>
      <c r="B161" s="3">
        <v>15006.32</v>
      </c>
      <c r="C161" s="3">
        <v>0</v>
      </c>
      <c r="D161" s="3">
        <f>IF(VLOOKUP(OtherAmts[[#This Row],[LEA Name]],Sect611[],MATCH("Sig Dis",Sect611[#Headers],0),TRUE)=0,SUM(VLOOKUP(OtherAmts[[#This Row],[LEA Name]],Sect611[],8,FALSE),VLOOKUP(OtherAmts[[#This Row],[LEA Name]],Sect619[],8,FALSE))*0.15,"")</f>
        <v>67100.845499999996</v>
      </c>
      <c r="E161" s="9" t="str">
        <f>IF(VLOOKUP(OtherAmts[[#This Row],[LEA Name]],Sect611[],MATCH("Sig Dis",Sect611[#Headers],0),TRUE)=1,SUM(VLOOKUP(OtherAmts[[#This Row],[LEA Name]],Sect611[],8,FALSE),VLOOKUP(OtherAmts[[#This Row],[LEA Name]],Sect619[],8,FALSE))*0.15,"")</f>
        <v/>
      </c>
      <c r="F161" s="8"/>
    </row>
    <row r="162" spans="1:6" x14ac:dyDescent="0.2">
      <c r="A162" s="6" t="s">
        <v>98</v>
      </c>
      <c r="B162" s="3">
        <v>0</v>
      </c>
      <c r="C162" s="3">
        <v>0</v>
      </c>
      <c r="D162" s="3">
        <f>IF(VLOOKUP(OtherAmts[[#This Row],[LEA Name]],Sect611[],MATCH("Sig Dis",Sect611[#Headers],0),TRUE)=0,SUM(VLOOKUP(OtherAmts[[#This Row],[LEA Name]],Sect611[],8,FALSE),VLOOKUP(OtherAmts[[#This Row],[LEA Name]],Sect619[],8,FALSE))*0.15,"")</f>
        <v>22318.8645</v>
      </c>
      <c r="E162" s="9" t="str">
        <f>IF(VLOOKUP(OtherAmts[[#This Row],[LEA Name]],Sect611[],MATCH("Sig Dis",Sect611[#Headers],0),TRUE)=1,SUM(VLOOKUP(OtherAmts[[#This Row],[LEA Name]],Sect611[],8,FALSE),VLOOKUP(OtherAmts[[#This Row],[LEA Name]],Sect619[],8,FALSE))*0.15,"")</f>
        <v/>
      </c>
      <c r="F162" s="8"/>
    </row>
    <row r="163" spans="1:6" x14ac:dyDescent="0.2">
      <c r="A163" s="6" t="s">
        <v>18</v>
      </c>
      <c r="B163" s="3">
        <v>0</v>
      </c>
      <c r="C163" s="3">
        <v>0</v>
      </c>
      <c r="D163" s="3">
        <f>IF(VLOOKUP(OtherAmts[[#This Row],[LEA Name]],Sect611[],MATCH("Sig Dis",Sect611[#Headers],0),TRUE)=0,SUM(VLOOKUP(OtherAmts[[#This Row],[LEA Name]],Sect611[],8,FALSE),VLOOKUP(OtherAmts[[#This Row],[LEA Name]],Sect619[],8,FALSE))*0.15,"")</f>
        <v>52615.177500000005</v>
      </c>
      <c r="E163" s="9" t="str">
        <f>IF(VLOOKUP(OtherAmts[[#This Row],[LEA Name]],Sect611[],MATCH("Sig Dis",Sect611[#Headers],0),TRUE)=1,SUM(VLOOKUP(OtherAmts[[#This Row],[LEA Name]],Sect611[],8,FALSE),VLOOKUP(OtherAmts[[#This Row],[LEA Name]],Sect619[],8,FALSE))*0.15,"")</f>
        <v/>
      </c>
      <c r="F163" s="8"/>
    </row>
    <row r="164" spans="1:6" x14ac:dyDescent="0.2">
      <c r="A164" s="6" t="s">
        <v>166</v>
      </c>
      <c r="B164" s="3">
        <v>0</v>
      </c>
      <c r="C164" s="3">
        <v>0</v>
      </c>
      <c r="D164" s="3">
        <f>IF(VLOOKUP(OtherAmts[[#This Row],[LEA Name]],Sect611[],MATCH("Sig Dis",Sect611[#Headers],0),TRUE)=0,SUM(VLOOKUP(OtherAmts[[#This Row],[LEA Name]],Sect611[],8,FALSE),VLOOKUP(OtherAmts[[#This Row],[LEA Name]],Sect619[],8,FALSE))*0.15,"")</f>
        <v>30817.269</v>
      </c>
      <c r="E164" s="9" t="str">
        <f>IF(VLOOKUP(OtherAmts[[#This Row],[LEA Name]],Sect611[],MATCH("Sig Dis",Sect611[#Headers],0),TRUE)=1,SUM(VLOOKUP(OtherAmts[[#This Row],[LEA Name]],Sect611[],8,FALSE),VLOOKUP(OtherAmts[[#This Row],[LEA Name]],Sect619[],8,FALSE))*0.15,"")</f>
        <v/>
      </c>
      <c r="F164" s="8"/>
    </row>
    <row r="165" spans="1:6" x14ac:dyDescent="0.2">
      <c r="A165" s="6" t="s">
        <v>231</v>
      </c>
      <c r="B165" s="3">
        <v>0</v>
      </c>
      <c r="C165" s="3">
        <v>0</v>
      </c>
      <c r="D165" s="3">
        <f>IF(VLOOKUP(OtherAmts[[#This Row],[LEA Name]],Sect611[],MATCH("Sig Dis",Sect611[#Headers],0),TRUE)=0,SUM(VLOOKUP(OtherAmts[[#This Row],[LEA Name]],Sect611[],8,FALSE),VLOOKUP(OtherAmts[[#This Row],[LEA Name]],Sect619[],8,FALSE))*0.15,"")</f>
        <v>9384.7725000000009</v>
      </c>
      <c r="E165" s="9" t="str">
        <f>IF(VLOOKUP(OtherAmts[[#This Row],[LEA Name]],Sect611[],MATCH("Sig Dis",Sect611[#Headers],0),TRUE)=1,SUM(VLOOKUP(OtherAmts[[#This Row],[LEA Name]],Sect611[],8,FALSE),VLOOKUP(OtherAmts[[#This Row],[LEA Name]],Sect619[],8,FALSE))*0.15,"")</f>
        <v/>
      </c>
      <c r="F165" s="8"/>
    </row>
    <row r="166" spans="1:6" x14ac:dyDescent="0.2">
      <c r="A166" s="6" t="s">
        <v>156</v>
      </c>
      <c r="B166" s="3">
        <v>7432.73</v>
      </c>
      <c r="C166" s="3">
        <v>0</v>
      </c>
      <c r="D166" s="3">
        <f>IF(VLOOKUP(OtherAmts[[#This Row],[LEA Name]],Sect611[],MATCH("Sig Dis",Sect611[#Headers],0),TRUE)=0,SUM(VLOOKUP(OtherAmts[[#This Row],[LEA Name]],Sect611[],8,FALSE),VLOOKUP(OtherAmts[[#This Row],[LEA Name]],Sect619[],8,FALSE))*0.15,"")</f>
        <v>126293.80499999999</v>
      </c>
      <c r="E166" s="9" t="str">
        <f>IF(VLOOKUP(OtherAmts[[#This Row],[LEA Name]],Sect611[],MATCH("Sig Dis",Sect611[#Headers],0),TRUE)=1,SUM(VLOOKUP(OtherAmts[[#This Row],[LEA Name]],Sect611[],8,FALSE),VLOOKUP(OtherAmts[[#This Row],[LEA Name]],Sect619[],8,FALSE))*0.15,"")</f>
        <v/>
      </c>
      <c r="F166" s="8"/>
    </row>
    <row r="167" spans="1:6" x14ac:dyDescent="0.2">
      <c r="A167" s="6" t="s">
        <v>111</v>
      </c>
      <c r="B167" s="3">
        <v>0</v>
      </c>
      <c r="C167" s="3">
        <v>0</v>
      </c>
      <c r="D167" s="3">
        <f>IF(VLOOKUP(OtherAmts[[#This Row],[LEA Name]],Sect611[],MATCH("Sig Dis",Sect611[#Headers],0),TRUE)=0,SUM(VLOOKUP(OtherAmts[[#This Row],[LEA Name]],Sect611[],8,FALSE),VLOOKUP(OtherAmts[[#This Row],[LEA Name]],Sect619[],8,FALSE))*0.15,"")</f>
        <v>107229.8355</v>
      </c>
      <c r="E167" s="9" t="str">
        <f>IF(VLOOKUP(OtherAmts[[#This Row],[LEA Name]],Sect611[],MATCH("Sig Dis",Sect611[#Headers],0),TRUE)=1,SUM(VLOOKUP(OtherAmts[[#This Row],[LEA Name]],Sect611[],8,FALSE),VLOOKUP(OtherAmts[[#This Row],[LEA Name]],Sect619[],8,FALSE))*0.15,"")</f>
        <v/>
      </c>
      <c r="F167" s="8"/>
    </row>
    <row r="168" spans="1:6" x14ac:dyDescent="0.2">
      <c r="A168" s="6" t="s">
        <v>32</v>
      </c>
      <c r="B168" s="3">
        <v>0</v>
      </c>
      <c r="C168" s="3">
        <v>0</v>
      </c>
      <c r="D168" s="3">
        <f>IF(VLOOKUP(OtherAmts[[#This Row],[LEA Name]],Sect611[],MATCH("Sig Dis",Sect611[#Headers],0),TRUE)=0,SUM(VLOOKUP(OtherAmts[[#This Row],[LEA Name]],Sect611[],8,FALSE),VLOOKUP(OtherAmts[[#This Row],[LEA Name]],Sect619[],8,FALSE))*0.15,"")</f>
        <v>30685.106999999996</v>
      </c>
      <c r="E168" s="9" t="str">
        <f>IF(VLOOKUP(OtherAmts[[#This Row],[LEA Name]],Sect611[],MATCH("Sig Dis",Sect611[#Headers],0),TRUE)=1,SUM(VLOOKUP(OtherAmts[[#This Row],[LEA Name]],Sect611[],8,FALSE),VLOOKUP(OtherAmts[[#This Row],[LEA Name]],Sect619[],8,FALSE))*0.15,"")</f>
        <v/>
      </c>
      <c r="F168" s="8"/>
    </row>
    <row r="169" spans="1:6" x14ac:dyDescent="0.2">
      <c r="A169" s="6" t="s">
        <v>93</v>
      </c>
      <c r="B169" s="3">
        <v>0</v>
      </c>
      <c r="C169" s="3">
        <v>0</v>
      </c>
      <c r="D169" s="3">
        <f>IF(VLOOKUP(OtherAmts[[#This Row],[LEA Name]],Sect611[],MATCH("Sig Dis",Sect611[#Headers],0),TRUE)=0,SUM(VLOOKUP(OtherAmts[[#This Row],[LEA Name]],Sect611[],8,FALSE),VLOOKUP(OtherAmts[[#This Row],[LEA Name]],Sect619[],8,FALSE))*0.15,"")</f>
        <v>48723.088499999991</v>
      </c>
      <c r="E169" s="9" t="str">
        <f>IF(VLOOKUP(OtherAmts[[#This Row],[LEA Name]],Sect611[],MATCH("Sig Dis",Sect611[#Headers],0),TRUE)=1,SUM(VLOOKUP(OtherAmts[[#This Row],[LEA Name]],Sect611[],8,FALSE),VLOOKUP(OtherAmts[[#This Row],[LEA Name]],Sect619[],8,FALSE))*0.15,"")</f>
        <v/>
      </c>
      <c r="F169" s="8"/>
    </row>
    <row r="170" spans="1:6" x14ac:dyDescent="0.2">
      <c r="A170" s="6" t="s">
        <v>59</v>
      </c>
      <c r="B170" s="3">
        <v>0</v>
      </c>
      <c r="C170" s="3">
        <v>0</v>
      </c>
      <c r="D170" s="3">
        <f>IF(VLOOKUP(OtherAmts[[#This Row],[LEA Name]],Sect611[],MATCH("Sig Dis",Sect611[#Headers],0),TRUE)=0,SUM(VLOOKUP(OtherAmts[[#This Row],[LEA Name]],Sect611[],8,FALSE),VLOOKUP(OtherAmts[[#This Row],[LEA Name]],Sect619[],8,FALSE))*0.15,"")</f>
        <v>0</v>
      </c>
      <c r="E170" s="9" t="str">
        <f>IF(VLOOKUP(OtherAmts[[#This Row],[LEA Name]],Sect611[],MATCH("Sig Dis",Sect611[#Headers],0),TRUE)=1,SUM(VLOOKUP(OtherAmts[[#This Row],[LEA Name]],Sect611[],8,FALSE),VLOOKUP(OtherAmts[[#This Row],[LEA Name]],Sect619[],8,FALSE))*0.15,"")</f>
        <v/>
      </c>
      <c r="F170" s="8"/>
    </row>
    <row r="171" spans="1:6" x14ac:dyDescent="0.2">
      <c r="A171" s="6" t="s">
        <v>232</v>
      </c>
      <c r="B171" s="3">
        <v>0</v>
      </c>
      <c r="C171" s="3">
        <v>0</v>
      </c>
      <c r="D171" s="3">
        <f>IF(VLOOKUP(OtherAmts[[#This Row],[LEA Name]],Sect611[],MATCH("Sig Dis",Sect611[#Headers],0),TRUE)=0,SUM(VLOOKUP(OtherAmts[[#This Row],[LEA Name]],Sect611[],8,FALSE),VLOOKUP(OtherAmts[[#This Row],[LEA Name]],Sect619[],8,FALSE))*0.15,"")</f>
        <v>98808.004499999995</v>
      </c>
      <c r="E171" s="9" t="str">
        <f>IF(VLOOKUP(OtherAmts[[#This Row],[LEA Name]],Sect611[],MATCH("Sig Dis",Sect611[#Headers],0),TRUE)=1,SUM(VLOOKUP(OtherAmts[[#This Row],[LEA Name]],Sect611[],8,FALSE),VLOOKUP(OtherAmts[[#This Row],[LEA Name]],Sect619[],8,FALSE))*0.15,"")</f>
        <v/>
      </c>
      <c r="F171" s="8"/>
    </row>
    <row r="172" spans="1:6" x14ac:dyDescent="0.2">
      <c r="A172" s="6" t="s">
        <v>35</v>
      </c>
      <c r="B172" s="3">
        <v>0</v>
      </c>
      <c r="C172" s="3">
        <v>0</v>
      </c>
      <c r="D172" s="3">
        <f>IF(VLOOKUP(OtherAmts[[#This Row],[LEA Name]],Sect611[],MATCH("Sig Dis",Sect611[#Headers],0),TRUE)=0,SUM(VLOOKUP(OtherAmts[[#This Row],[LEA Name]],Sect611[],8,FALSE),VLOOKUP(OtherAmts[[#This Row],[LEA Name]],Sect619[],8,FALSE))*0.15,"")</f>
        <v>59689.516499999998</v>
      </c>
      <c r="E172" s="9" t="str">
        <f>IF(VLOOKUP(OtherAmts[[#This Row],[LEA Name]],Sect611[],MATCH("Sig Dis",Sect611[#Headers],0),TRUE)=1,SUM(VLOOKUP(OtherAmts[[#This Row],[LEA Name]],Sect611[],8,FALSE),VLOOKUP(OtherAmts[[#This Row],[LEA Name]],Sect619[],8,FALSE))*0.15,"")</f>
        <v/>
      </c>
      <c r="F172" s="8"/>
    </row>
    <row r="173" spans="1:6" x14ac:dyDescent="0.2">
      <c r="A173" s="6" t="s">
        <v>233</v>
      </c>
      <c r="B173" s="3">
        <v>0</v>
      </c>
      <c r="C173" s="3">
        <v>0</v>
      </c>
      <c r="D173" s="3">
        <f>IF(VLOOKUP(OtherAmts[[#This Row],[LEA Name]],Sect611[],MATCH("Sig Dis",Sect611[#Headers],0),TRUE)=0,SUM(VLOOKUP(OtherAmts[[#This Row],[LEA Name]],Sect611[],8,FALSE),VLOOKUP(OtherAmts[[#This Row],[LEA Name]],Sect619[],8,FALSE))*0.15,"")</f>
        <v>10324.5</v>
      </c>
      <c r="E173" s="9" t="str">
        <f>IF(VLOOKUP(OtherAmts[[#This Row],[LEA Name]],Sect611[],MATCH("Sig Dis",Sect611[#Headers],0),TRUE)=1,SUM(VLOOKUP(OtherAmts[[#This Row],[LEA Name]],Sect611[],8,FALSE),VLOOKUP(OtherAmts[[#This Row],[LEA Name]],Sect619[],8,FALSE))*0.15,"")</f>
        <v/>
      </c>
      <c r="F173" s="8"/>
    </row>
    <row r="174" spans="1:6" x14ac:dyDescent="0.2">
      <c r="A174" s="6" t="s">
        <v>158</v>
      </c>
      <c r="B174" s="3">
        <v>0</v>
      </c>
      <c r="C174" s="3">
        <v>0</v>
      </c>
      <c r="D174" s="3">
        <f>IF(VLOOKUP(OtherAmts[[#This Row],[LEA Name]],Sect611[],MATCH("Sig Dis",Sect611[#Headers],0),TRUE)=0,SUM(VLOOKUP(OtherAmts[[#This Row],[LEA Name]],Sect611[],8,FALSE),VLOOKUP(OtherAmts[[#This Row],[LEA Name]],Sect619[],8,FALSE))*0.15,"")</f>
        <v>1760.0399999999997</v>
      </c>
      <c r="E174" s="9" t="str">
        <f>IF(VLOOKUP(OtherAmts[[#This Row],[LEA Name]],Sect611[],MATCH("Sig Dis",Sect611[#Headers],0),TRUE)=1,SUM(VLOOKUP(OtherAmts[[#This Row],[LEA Name]],Sect611[],8,FALSE),VLOOKUP(OtherAmts[[#This Row],[LEA Name]],Sect619[],8,FALSE))*0.15,"")</f>
        <v/>
      </c>
      <c r="F174" s="8"/>
    </row>
    <row r="175" spans="1:6" x14ac:dyDescent="0.2">
      <c r="A175" s="6" t="s">
        <v>82</v>
      </c>
      <c r="B175" s="3">
        <v>0</v>
      </c>
      <c r="C175" s="3">
        <v>0</v>
      </c>
      <c r="D175" s="3">
        <f>IF(VLOOKUP(OtherAmts[[#This Row],[LEA Name]],Sect611[],MATCH("Sig Dis",Sect611[#Headers],0),TRUE)=0,SUM(VLOOKUP(OtherAmts[[#This Row],[LEA Name]],Sect611[],8,FALSE),VLOOKUP(OtherAmts[[#This Row],[LEA Name]],Sect619[],8,FALSE))*0.15,"")</f>
        <v>375792.92699999997</v>
      </c>
      <c r="E175" s="9" t="str">
        <f>IF(VLOOKUP(OtherAmts[[#This Row],[LEA Name]],Sect611[],MATCH("Sig Dis",Sect611[#Headers],0),TRUE)=1,SUM(VLOOKUP(OtherAmts[[#This Row],[LEA Name]],Sect611[],8,FALSE),VLOOKUP(OtherAmts[[#This Row],[LEA Name]],Sect619[],8,FALSE))*0.15,"")</f>
        <v/>
      </c>
      <c r="F175" s="8"/>
    </row>
    <row r="176" spans="1:6" x14ac:dyDescent="0.2">
      <c r="A176" s="6" t="s">
        <v>23</v>
      </c>
      <c r="B176" s="3">
        <v>0</v>
      </c>
      <c r="C176" s="3">
        <v>0</v>
      </c>
      <c r="D176" s="3">
        <f>IF(VLOOKUP(OtherAmts[[#This Row],[LEA Name]],Sect611[],MATCH("Sig Dis",Sect611[#Headers],0),TRUE)=0,SUM(VLOOKUP(OtherAmts[[#This Row],[LEA Name]],Sect611[],8,FALSE),VLOOKUP(OtherAmts[[#This Row],[LEA Name]],Sect619[],8,FALSE))*0.15,"")</f>
        <v>101920.935</v>
      </c>
      <c r="E176" s="9" t="str">
        <f>IF(VLOOKUP(OtherAmts[[#This Row],[LEA Name]],Sect611[],MATCH("Sig Dis",Sect611[#Headers],0),TRUE)=1,SUM(VLOOKUP(OtherAmts[[#This Row],[LEA Name]],Sect611[],8,FALSE),VLOOKUP(OtherAmts[[#This Row],[LEA Name]],Sect619[],8,FALSE))*0.15,"")</f>
        <v/>
      </c>
      <c r="F176" s="8"/>
    </row>
    <row r="177" spans="1:6" x14ac:dyDescent="0.2">
      <c r="A177" s="6" t="s">
        <v>117</v>
      </c>
      <c r="B177" s="3">
        <v>10482.120000000001</v>
      </c>
      <c r="C177" s="3">
        <v>0</v>
      </c>
      <c r="D177" s="3">
        <f>IF(VLOOKUP(OtherAmts[[#This Row],[LEA Name]],Sect611[],MATCH("Sig Dis",Sect611[#Headers],0),TRUE)=0,SUM(VLOOKUP(OtherAmts[[#This Row],[LEA Name]],Sect611[],8,FALSE),VLOOKUP(OtherAmts[[#This Row],[LEA Name]],Sect619[],8,FALSE))*0.15,"")</f>
        <v>8100.5474999999997</v>
      </c>
      <c r="E177" s="9" t="str">
        <f>IF(VLOOKUP(OtherAmts[[#This Row],[LEA Name]],Sect611[],MATCH("Sig Dis",Sect611[#Headers],0),TRUE)=1,SUM(VLOOKUP(OtherAmts[[#This Row],[LEA Name]],Sect611[],8,FALSE),VLOOKUP(OtherAmts[[#This Row],[LEA Name]],Sect619[],8,FALSE))*0.15,"")</f>
        <v/>
      </c>
      <c r="F177" s="8"/>
    </row>
    <row r="178" spans="1:6" x14ac:dyDescent="0.2">
      <c r="A178" s="6" t="s">
        <v>139</v>
      </c>
      <c r="B178" s="3">
        <v>0</v>
      </c>
      <c r="C178" s="3">
        <v>0</v>
      </c>
      <c r="D178" s="3">
        <f>IF(VLOOKUP(OtherAmts[[#This Row],[LEA Name]],Sect611[],MATCH("Sig Dis",Sect611[#Headers],0),TRUE)=0,SUM(VLOOKUP(OtherAmts[[#This Row],[LEA Name]],Sect611[],8,FALSE),VLOOKUP(OtherAmts[[#This Row],[LEA Name]],Sect619[],8,FALSE))*0.15,"")</f>
        <v>15839.006999999998</v>
      </c>
      <c r="E178" s="9" t="str">
        <f>IF(VLOOKUP(OtherAmts[[#This Row],[LEA Name]],Sect611[],MATCH("Sig Dis",Sect611[#Headers],0),TRUE)=1,SUM(VLOOKUP(OtherAmts[[#This Row],[LEA Name]],Sect611[],8,FALSE),VLOOKUP(OtherAmts[[#This Row],[LEA Name]],Sect619[],8,FALSE))*0.15,"")</f>
        <v/>
      </c>
      <c r="F178" s="8"/>
    </row>
    <row r="179" spans="1:6" x14ac:dyDescent="0.2">
      <c r="A179" s="6" t="s">
        <v>55</v>
      </c>
      <c r="B179" s="3">
        <v>0</v>
      </c>
      <c r="C179" s="3">
        <v>0</v>
      </c>
      <c r="D179" s="3">
        <f>IF(VLOOKUP(OtherAmts[[#This Row],[LEA Name]],Sect611[],MATCH("Sig Dis",Sect611[#Headers],0),TRUE)=0,SUM(VLOOKUP(OtherAmts[[#This Row],[LEA Name]],Sect611[],8,FALSE),VLOOKUP(OtherAmts[[#This Row],[LEA Name]],Sect619[],8,FALSE))*0.15,"")</f>
        <v>0</v>
      </c>
      <c r="E179" s="9" t="str">
        <f>IF(VLOOKUP(OtherAmts[[#This Row],[LEA Name]],Sect611[],MATCH("Sig Dis",Sect611[#Headers],0),TRUE)=1,SUM(VLOOKUP(OtherAmts[[#This Row],[LEA Name]],Sect611[],8,FALSE),VLOOKUP(OtherAmts[[#This Row],[LEA Name]],Sect619[],8,FALSE))*0.15,"")</f>
        <v/>
      </c>
      <c r="F179" s="8"/>
    </row>
    <row r="180" spans="1:6" x14ac:dyDescent="0.2">
      <c r="A180" s="6" t="s">
        <v>43</v>
      </c>
      <c r="B180" s="3">
        <v>0</v>
      </c>
      <c r="C180" s="3">
        <v>0</v>
      </c>
      <c r="D180" s="3">
        <f>IF(VLOOKUP(OtherAmts[[#This Row],[LEA Name]],Sect611[],MATCH("Sig Dis",Sect611[#Headers],0),TRUE)=0,SUM(VLOOKUP(OtherAmts[[#This Row],[LEA Name]],Sect611[],8,FALSE),VLOOKUP(OtherAmts[[#This Row],[LEA Name]],Sect619[],8,FALSE))*0.15,"")</f>
        <v>44051.7</v>
      </c>
      <c r="E180" s="9" t="str">
        <f>IF(VLOOKUP(OtherAmts[[#This Row],[LEA Name]],Sect611[],MATCH("Sig Dis",Sect611[#Headers],0),TRUE)=1,SUM(VLOOKUP(OtherAmts[[#This Row],[LEA Name]],Sect611[],8,FALSE),VLOOKUP(OtherAmts[[#This Row],[LEA Name]],Sect619[],8,FALSE))*0.15,"")</f>
        <v/>
      </c>
      <c r="F180" s="8"/>
    </row>
    <row r="181" spans="1:6" x14ac:dyDescent="0.2">
      <c r="A181" s="6" t="s">
        <v>97</v>
      </c>
      <c r="B181" s="3">
        <v>0</v>
      </c>
      <c r="C181" s="3">
        <v>0</v>
      </c>
      <c r="D181" s="3">
        <f>IF(VLOOKUP(OtherAmts[[#This Row],[LEA Name]],Sect611[],MATCH("Sig Dis",Sect611[#Headers],0),TRUE)=0,SUM(VLOOKUP(OtherAmts[[#This Row],[LEA Name]],Sect611[],8,FALSE),VLOOKUP(OtherAmts[[#This Row],[LEA Name]],Sect619[],8,FALSE))*0.15,"")</f>
        <v>83585.818500000008</v>
      </c>
      <c r="E181" s="9" t="str">
        <f>IF(VLOOKUP(OtherAmts[[#This Row],[LEA Name]],Sect611[],MATCH("Sig Dis",Sect611[#Headers],0),TRUE)=1,SUM(VLOOKUP(OtherAmts[[#This Row],[LEA Name]],Sect611[],8,FALSE),VLOOKUP(OtherAmts[[#This Row],[LEA Name]],Sect619[],8,FALSE))*0.15,"")</f>
        <v/>
      </c>
      <c r="F181" s="8"/>
    </row>
    <row r="182" spans="1:6" x14ac:dyDescent="0.2">
      <c r="A182" s="6" t="s">
        <v>234</v>
      </c>
      <c r="B182" s="3">
        <v>5845.3</v>
      </c>
      <c r="C182" s="3">
        <v>0</v>
      </c>
      <c r="D182" s="3">
        <f>IF(VLOOKUP(OtherAmts[[#This Row],[LEA Name]],Sect611[],MATCH("Sig Dis",Sect611[#Headers],0),TRUE)=0,SUM(VLOOKUP(OtherAmts[[#This Row],[LEA Name]],Sect611[],8,FALSE),VLOOKUP(OtherAmts[[#This Row],[LEA Name]],Sect619[],8,FALSE))*0.15,"")</f>
        <v>182150.10000000003</v>
      </c>
      <c r="E182" s="9" t="str">
        <f>IF(VLOOKUP(OtherAmts[[#This Row],[LEA Name]],Sect611[],MATCH("Sig Dis",Sect611[#Headers],0),TRUE)=1,SUM(VLOOKUP(OtherAmts[[#This Row],[LEA Name]],Sect611[],8,FALSE),VLOOKUP(OtherAmts[[#This Row],[LEA Name]],Sect619[],8,FALSE))*0.15,"")</f>
        <v/>
      </c>
      <c r="F182" s="8"/>
    </row>
    <row r="183" spans="1:6" x14ac:dyDescent="0.2">
      <c r="A183" s="6" t="s">
        <v>154</v>
      </c>
      <c r="B183" s="3">
        <v>27337.45</v>
      </c>
      <c r="C183" s="3">
        <v>427.61</v>
      </c>
      <c r="D183" s="3">
        <f>IF(VLOOKUP(OtherAmts[[#This Row],[LEA Name]],Sect611[],MATCH("Sig Dis",Sect611[#Headers],0),TRUE)=0,SUM(VLOOKUP(OtherAmts[[#This Row],[LEA Name]],Sect611[],8,FALSE),VLOOKUP(OtherAmts[[#This Row],[LEA Name]],Sect619[],8,FALSE))*0.15,"")</f>
        <v>371975.11049999995</v>
      </c>
      <c r="E183" s="9" t="str">
        <f>IF(VLOOKUP(OtherAmts[[#This Row],[LEA Name]],Sect611[],MATCH("Sig Dis",Sect611[#Headers],0),TRUE)=1,SUM(VLOOKUP(OtherAmts[[#This Row],[LEA Name]],Sect611[],8,FALSE),VLOOKUP(OtherAmts[[#This Row],[LEA Name]],Sect619[],8,FALSE))*0.15,"")</f>
        <v/>
      </c>
      <c r="F183" s="8"/>
    </row>
    <row r="184" spans="1:6" x14ac:dyDescent="0.2">
      <c r="A184" s="6" t="s">
        <v>133</v>
      </c>
      <c r="B184" s="3">
        <v>2694.24</v>
      </c>
      <c r="C184" s="3">
        <v>251.61</v>
      </c>
      <c r="D184" s="3">
        <f>IF(VLOOKUP(OtherAmts[[#This Row],[LEA Name]],Sect611[],MATCH("Sig Dis",Sect611[#Headers],0),TRUE)=0,SUM(VLOOKUP(OtherAmts[[#This Row],[LEA Name]],Sect611[],8,FALSE),VLOOKUP(OtherAmts[[#This Row],[LEA Name]],Sect619[],8,FALSE))*0.15,"")</f>
        <v>77915.6685</v>
      </c>
      <c r="E184" s="9" t="str">
        <f>IF(VLOOKUP(OtherAmts[[#This Row],[LEA Name]],Sect611[],MATCH("Sig Dis",Sect611[#Headers],0),TRUE)=1,SUM(VLOOKUP(OtherAmts[[#This Row],[LEA Name]],Sect611[],8,FALSE),VLOOKUP(OtherAmts[[#This Row],[LEA Name]],Sect619[],8,FALSE))*0.15,"")</f>
        <v/>
      </c>
      <c r="F184" s="8"/>
    </row>
    <row r="185" spans="1:6" x14ac:dyDescent="0.2">
      <c r="A185" s="6" t="s">
        <v>149</v>
      </c>
      <c r="B185" s="3">
        <v>0</v>
      </c>
      <c r="C185" s="3">
        <v>0</v>
      </c>
      <c r="D185" s="3">
        <f>IF(VLOOKUP(OtherAmts[[#This Row],[LEA Name]],Sect611[],MATCH("Sig Dis",Sect611[#Headers],0),TRUE)=0,SUM(VLOOKUP(OtherAmts[[#This Row],[LEA Name]],Sect611[],8,FALSE),VLOOKUP(OtherAmts[[#This Row],[LEA Name]],Sect619[],8,FALSE))*0.15,"")</f>
        <v>345.1635</v>
      </c>
      <c r="E185" s="9" t="str">
        <f>IF(VLOOKUP(OtherAmts[[#This Row],[LEA Name]],Sect611[],MATCH("Sig Dis",Sect611[#Headers],0),TRUE)=1,SUM(VLOOKUP(OtherAmts[[#This Row],[LEA Name]],Sect611[],8,FALSE),VLOOKUP(OtherAmts[[#This Row],[LEA Name]],Sect619[],8,FALSE))*0.15,"")</f>
        <v/>
      </c>
      <c r="F185" s="8"/>
    </row>
    <row r="186" spans="1:6" x14ac:dyDescent="0.2">
      <c r="A186" s="6" t="s">
        <v>235</v>
      </c>
      <c r="B186" s="3">
        <v>0</v>
      </c>
      <c r="C186" s="3">
        <v>0</v>
      </c>
      <c r="D186" s="3">
        <f>IF(VLOOKUP(OtherAmts[[#This Row],[LEA Name]],Sect611[],MATCH("Sig Dis",Sect611[#Headers],0),TRUE)=0,SUM(VLOOKUP(OtherAmts[[#This Row],[LEA Name]],Sect611[],8,FALSE),VLOOKUP(OtherAmts[[#This Row],[LEA Name]],Sect619[],8,FALSE))*0.15,"")</f>
        <v>1126.4084999999998</v>
      </c>
      <c r="E186" s="9" t="str">
        <f>IF(VLOOKUP(OtherAmts[[#This Row],[LEA Name]],Sect611[],MATCH("Sig Dis",Sect611[#Headers],0),TRUE)=1,SUM(VLOOKUP(OtherAmts[[#This Row],[LEA Name]],Sect611[],8,FALSE),VLOOKUP(OtherAmts[[#This Row],[LEA Name]],Sect619[],8,FALSE))*0.15,"")</f>
        <v/>
      </c>
      <c r="F186" s="8"/>
    </row>
    <row r="187" spans="1:6" x14ac:dyDescent="0.2">
      <c r="A187" s="6" t="s">
        <v>236</v>
      </c>
      <c r="B187" s="3">
        <v>0</v>
      </c>
      <c r="C187" s="3">
        <v>0</v>
      </c>
      <c r="D187" s="3">
        <f>IF(VLOOKUP(OtherAmts[[#This Row],[LEA Name]],Sect611[],MATCH("Sig Dis",Sect611[#Headers],0),TRUE)=0,SUM(VLOOKUP(OtherAmts[[#This Row],[LEA Name]],Sect611[],8,FALSE),VLOOKUP(OtherAmts[[#This Row],[LEA Name]],Sect619[],8,FALSE))*0.15,"")</f>
        <v>40626.8655</v>
      </c>
      <c r="E187" s="9" t="str">
        <f>IF(VLOOKUP(OtherAmts[[#This Row],[LEA Name]],Sect611[],MATCH("Sig Dis",Sect611[#Headers],0),TRUE)=1,SUM(VLOOKUP(OtherAmts[[#This Row],[LEA Name]],Sect611[],8,FALSE),VLOOKUP(OtherAmts[[#This Row],[LEA Name]],Sect619[],8,FALSE))*0.15,"")</f>
        <v/>
      </c>
      <c r="F187" s="8"/>
    </row>
    <row r="188" spans="1:6" x14ac:dyDescent="0.2">
      <c r="A188" s="6" t="s">
        <v>141</v>
      </c>
      <c r="B188" s="3">
        <v>0</v>
      </c>
      <c r="C188" s="3">
        <v>0</v>
      </c>
      <c r="D188" s="3">
        <f>IF(VLOOKUP(OtherAmts[[#This Row],[LEA Name]],Sect611[],MATCH("Sig Dis",Sect611[#Headers],0),TRUE)=0,SUM(VLOOKUP(OtherAmts[[#This Row],[LEA Name]],Sect611[],8,FALSE),VLOOKUP(OtherAmts[[#This Row],[LEA Name]],Sect619[],8,FALSE))*0.15,"")</f>
        <v>11480.253000000001</v>
      </c>
      <c r="E188" s="9" t="str">
        <f>IF(VLOOKUP(OtherAmts[[#This Row],[LEA Name]],Sect611[],MATCH("Sig Dis",Sect611[#Headers],0),TRUE)=1,SUM(VLOOKUP(OtherAmts[[#This Row],[LEA Name]],Sect611[],8,FALSE),VLOOKUP(OtherAmts[[#This Row],[LEA Name]],Sect619[],8,FALSE))*0.15,"")</f>
        <v/>
      </c>
      <c r="F188" s="8"/>
    </row>
    <row r="189" spans="1:6" x14ac:dyDescent="0.2">
      <c r="A189" s="6" t="s">
        <v>109</v>
      </c>
      <c r="B189" s="3">
        <v>0</v>
      </c>
      <c r="C189" s="3">
        <v>0</v>
      </c>
      <c r="D189" s="3">
        <f>IF(VLOOKUP(OtherAmts[[#This Row],[LEA Name]],Sect611[],MATCH("Sig Dis",Sect611[#Headers],0),TRUE)=0,SUM(VLOOKUP(OtherAmts[[#This Row],[LEA Name]],Sect611[],8,FALSE),VLOOKUP(OtherAmts[[#This Row],[LEA Name]],Sect619[],8,FALSE))*0.15,"")</f>
        <v>30776.441999999999</v>
      </c>
      <c r="E189" s="9" t="str">
        <f>IF(VLOOKUP(OtherAmts[[#This Row],[LEA Name]],Sect611[],MATCH("Sig Dis",Sect611[#Headers],0),TRUE)=1,SUM(VLOOKUP(OtherAmts[[#This Row],[LEA Name]],Sect611[],8,FALSE),VLOOKUP(OtherAmts[[#This Row],[LEA Name]],Sect619[],8,FALSE))*0.15,"")</f>
        <v/>
      </c>
      <c r="F189" s="8"/>
    </row>
    <row r="190" spans="1:6" x14ac:dyDescent="0.2">
      <c r="A190" s="6" t="s">
        <v>22</v>
      </c>
      <c r="B190" s="3">
        <v>0</v>
      </c>
      <c r="C190" s="3">
        <v>0</v>
      </c>
      <c r="D190" s="3">
        <f>IF(VLOOKUP(OtherAmts[[#This Row],[LEA Name]],Sect611[],MATCH("Sig Dis",Sect611[#Headers],0),TRUE)=0,SUM(VLOOKUP(OtherAmts[[#This Row],[LEA Name]],Sect611[],8,FALSE),VLOOKUP(OtherAmts[[#This Row],[LEA Name]],Sect619[],8,FALSE))*0.15,"")</f>
        <v>20629.870500000001</v>
      </c>
      <c r="E190" s="9" t="str">
        <f>IF(VLOOKUP(OtherAmts[[#This Row],[LEA Name]],Sect611[],MATCH("Sig Dis",Sect611[#Headers],0),TRUE)=1,SUM(VLOOKUP(OtherAmts[[#This Row],[LEA Name]],Sect611[],8,FALSE),VLOOKUP(OtherAmts[[#This Row],[LEA Name]],Sect619[],8,FALSE))*0.15,"")</f>
        <v/>
      </c>
      <c r="F190" s="8"/>
    </row>
    <row r="191" spans="1:6" x14ac:dyDescent="0.2">
      <c r="A191" s="6" t="s">
        <v>147</v>
      </c>
      <c r="B191" s="3">
        <v>0</v>
      </c>
      <c r="C191" s="3">
        <v>0</v>
      </c>
      <c r="D191" s="3">
        <f>IF(VLOOKUP(OtherAmts[[#This Row],[LEA Name]],Sect611[],MATCH("Sig Dis",Sect611[#Headers],0),TRUE)=0,SUM(VLOOKUP(OtherAmts[[#This Row],[LEA Name]],Sect611[],8,FALSE),VLOOKUP(OtherAmts[[#This Row],[LEA Name]],Sect619[],8,FALSE))*0.15,"")</f>
        <v>9322.3604999999989</v>
      </c>
      <c r="E191" s="9" t="str">
        <f>IF(VLOOKUP(OtherAmts[[#This Row],[LEA Name]],Sect611[],MATCH("Sig Dis",Sect611[#Headers],0),TRUE)=1,SUM(VLOOKUP(OtherAmts[[#This Row],[LEA Name]],Sect611[],8,FALSE),VLOOKUP(OtherAmts[[#This Row],[LEA Name]],Sect619[],8,FALSE))*0.15,"")</f>
        <v/>
      </c>
      <c r="F191" s="8"/>
    </row>
    <row r="192" spans="1:6" x14ac:dyDescent="0.2">
      <c r="A192" s="6" t="s">
        <v>237</v>
      </c>
      <c r="B192" s="3">
        <v>2472.54</v>
      </c>
      <c r="C192" s="3">
        <v>142.11000000000001</v>
      </c>
      <c r="D192" s="3">
        <f>IF(VLOOKUP(OtherAmts[[#This Row],[LEA Name]],Sect611[],MATCH("Sig Dis",Sect611[#Headers],0),TRUE)=0,SUM(VLOOKUP(OtherAmts[[#This Row],[LEA Name]],Sect611[],8,FALSE),VLOOKUP(OtherAmts[[#This Row],[LEA Name]],Sect619[],8,FALSE))*0.15,"")</f>
        <v>32869.945500000002</v>
      </c>
      <c r="E192" s="9" t="str">
        <f>IF(VLOOKUP(OtherAmts[[#This Row],[LEA Name]],Sect611[],MATCH("Sig Dis",Sect611[#Headers],0),TRUE)=1,SUM(VLOOKUP(OtherAmts[[#This Row],[LEA Name]],Sect611[],8,FALSE),VLOOKUP(OtherAmts[[#This Row],[LEA Name]],Sect619[],8,FALSE))*0.15,"")</f>
        <v/>
      </c>
      <c r="F192" s="8"/>
    </row>
    <row r="193" spans="1:6" x14ac:dyDescent="0.2">
      <c r="A193" s="6" t="s">
        <v>238</v>
      </c>
      <c r="B193" s="3">
        <v>10569.26</v>
      </c>
      <c r="C193" s="3">
        <v>633.01</v>
      </c>
      <c r="D193" s="3">
        <f>IF(VLOOKUP(OtherAmts[[#This Row],[LEA Name]],Sect611[],MATCH("Sig Dis",Sect611[#Headers],0),TRUE)=0,SUM(VLOOKUP(OtherAmts[[#This Row],[LEA Name]],Sect611[],8,FALSE),VLOOKUP(OtherAmts[[#This Row],[LEA Name]],Sect619[],8,FALSE))*0.15,"")</f>
        <v>258446.36099999998</v>
      </c>
      <c r="E193" s="9" t="str">
        <f>IF(VLOOKUP(OtherAmts[[#This Row],[LEA Name]],Sect611[],MATCH("Sig Dis",Sect611[#Headers],0),TRUE)=1,SUM(VLOOKUP(OtherAmts[[#This Row],[LEA Name]],Sect611[],8,FALSE),VLOOKUP(OtherAmts[[#This Row],[LEA Name]],Sect619[],8,FALSE))*0.15,"")</f>
        <v/>
      </c>
      <c r="F193" s="8"/>
    </row>
    <row r="194" spans="1:6" x14ac:dyDescent="0.2">
      <c r="A194" s="6" t="s">
        <v>164</v>
      </c>
      <c r="B194" s="3">
        <v>0</v>
      </c>
      <c r="C194" s="3">
        <v>0</v>
      </c>
      <c r="D194" s="3">
        <f>IF(VLOOKUP(OtherAmts[[#This Row],[LEA Name]],Sect611[],MATCH("Sig Dis",Sect611[#Headers],0),TRUE)=0,SUM(VLOOKUP(OtherAmts[[#This Row],[LEA Name]],Sect611[],8,FALSE),VLOOKUP(OtherAmts[[#This Row],[LEA Name]],Sect619[],8,FALSE))*0.15,"")</f>
        <v>35973.502500000002</v>
      </c>
      <c r="E194" s="9" t="str">
        <f>IF(VLOOKUP(OtherAmts[[#This Row],[LEA Name]],Sect611[],MATCH("Sig Dis",Sect611[#Headers],0),TRUE)=1,SUM(VLOOKUP(OtherAmts[[#This Row],[LEA Name]],Sect611[],8,FALSE),VLOOKUP(OtherAmts[[#This Row],[LEA Name]],Sect619[],8,FALSE))*0.15,"")</f>
        <v/>
      </c>
      <c r="F194" s="8"/>
    </row>
    <row r="195" spans="1:6" x14ac:dyDescent="0.2">
      <c r="A195" s="6" t="s">
        <v>42</v>
      </c>
      <c r="B195" s="3">
        <v>0</v>
      </c>
      <c r="C195" s="3">
        <v>0</v>
      </c>
      <c r="D195" s="3">
        <f>IF(VLOOKUP(OtherAmts[[#This Row],[LEA Name]],Sect611[],MATCH("Sig Dis",Sect611[#Headers],0),TRUE)=0,SUM(VLOOKUP(OtherAmts[[#This Row],[LEA Name]],Sect611[],8,FALSE),VLOOKUP(OtherAmts[[#This Row],[LEA Name]],Sect619[],8,FALSE))*0.15,"")</f>
        <v>51475.991999999991</v>
      </c>
      <c r="E195" s="9" t="str">
        <f>IF(VLOOKUP(OtherAmts[[#This Row],[LEA Name]],Sect611[],MATCH("Sig Dis",Sect611[#Headers],0),TRUE)=1,SUM(VLOOKUP(OtherAmts[[#This Row],[LEA Name]],Sect611[],8,FALSE),VLOOKUP(OtherAmts[[#This Row],[LEA Name]],Sect619[],8,FALSE))*0.15,"")</f>
        <v/>
      </c>
      <c r="F195" s="8"/>
    </row>
    <row r="196" spans="1:6" x14ac:dyDescent="0.2">
      <c r="A196" s="6" t="s">
        <v>119</v>
      </c>
      <c r="B196" s="3">
        <v>19242.689999999999</v>
      </c>
      <c r="C196" s="3">
        <v>0</v>
      </c>
      <c r="D196" s="3">
        <f>IF(VLOOKUP(OtherAmts[[#This Row],[LEA Name]],Sect611[],MATCH("Sig Dis",Sect611[#Headers],0),TRUE)=0,SUM(VLOOKUP(OtherAmts[[#This Row],[LEA Name]],Sect611[],8,FALSE),VLOOKUP(OtherAmts[[#This Row],[LEA Name]],Sect619[],8,FALSE))*0.15,"")</f>
        <v>159443.65350000001</v>
      </c>
      <c r="E196" s="9" t="str">
        <f>IF(VLOOKUP(OtherAmts[[#This Row],[LEA Name]],Sect611[],MATCH("Sig Dis",Sect611[#Headers],0),TRUE)=1,SUM(VLOOKUP(OtherAmts[[#This Row],[LEA Name]],Sect611[],8,FALSE),VLOOKUP(OtherAmts[[#This Row],[LEA Name]],Sect619[],8,FALSE))*0.15,"")</f>
        <v/>
      </c>
      <c r="F196" s="8"/>
    </row>
    <row r="197" spans="1:6" x14ac:dyDescent="0.2">
      <c r="A197" s="6" t="s">
        <v>239</v>
      </c>
      <c r="B197" s="3">
        <v>0</v>
      </c>
      <c r="C197" s="3">
        <v>0</v>
      </c>
      <c r="D197" s="3">
        <f>IF(VLOOKUP(OtherAmts[[#This Row],[LEA Name]],Sect611[],MATCH("Sig Dis",Sect611[#Headers],0),TRUE)=0,SUM(VLOOKUP(OtherAmts[[#This Row],[LEA Name]],Sect611[],8,FALSE),VLOOKUP(OtherAmts[[#This Row],[LEA Name]],Sect619[],8,FALSE))*0.15,"")</f>
        <v>35551.306499999999</v>
      </c>
      <c r="E197" s="9" t="str">
        <f>IF(VLOOKUP(OtherAmts[[#This Row],[LEA Name]],Sect611[],MATCH("Sig Dis",Sect611[#Headers],0),TRUE)=1,SUM(VLOOKUP(OtherAmts[[#This Row],[LEA Name]],Sect611[],8,FALSE),VLOOKUP(OtherAmts[[#This Row],[LEA Name]],Sect619[],8,FALSE))*0.15,"")</f>
        <v/>
      </c>
      <c r="F197" s="8"/>
    </row>
    <row r="198" spans="1:6" x14ac:dyDescent="0.2">
      <c r="A198" s="6" t="s">
        <v>37</v>
      </c>
      <c r="B198" s="3">
        <v>0</v>
      </c>
      <c r="C198" s="3">
        <v>0</v>
      </c>
      <c r="D198" s="3">
        <f>IF(VLOOKUP(OtherAmts[[#This Row],[LEA Name]],Sect611[],MATCH("Sig Dis",Sect611[#Headers],0),TRUE)=0,SUM(VLOOKUP(OtherAmts[[#This Row],[LEA Name]],Sect611[],8,FALSE),VLOOKUP(OtherAmts[[#This Row],[LEA Name]],Sect619[],8,FALSE))*0.15,"")</f>
        <v>9631.2584999999981</v>
      </c>
      <c r="E198" s="9" t="str">
        <f>IF(VLOOKUP(OtherAmts[[#This Row],[LEA Name]],Sect611[],MATCH("Sig Dis",Sect611[#Headers],0),TRUE)=1,SUM(VLOOKUP(OtherAmts[[#This Row],[LEA Name]],Sect611[],8,FALSE),VLOOKUP(OtherAmts[[#This Row],[LEA Name]],Sect619[],8,FALSE))*0.15,"")</f>
        <v/>
      </c>
      <c r="F198" s="8"/>
    </row>
    <row r="199" spans="1:6" x14ac:dyDescent="0.2">
      <c r="A199" s="6" t="s">
        <v>240</v>
      </c>
      <c r="B199" s="3">
        <v>0</v>
      </c>
      <c r="C199" s="3">
        <v>0</v>
      </c>
      <c r="D199" s="3">
        <f>IF(VLOOKUP(OtherAmts[[#This Row],[LEA Name]],Sect611[],MATCH("Sig Dis",Sect611[#Headers],0),TRUE)=0,SUM(VLOOKUP(OtherAmts[[#This Row],[LEA Name]],Sect611[],8,FALSE),VLOOKUP(OtherAmts[[#This Row],[LEA Name]],Sect619[],8,FALSE))*0.15,"")</f>
        <v>8910.2294999999995</v>
      </c>
      <c r="E199" s="9" t="str">
        <f>IF(VLOOKUP(OtherAmts[[#This Row],[LEA Name]],Sect611[],MATCH("Sig Dis",Sect611[#Headers],0),TRUE)=1,SUM(VLOOKUP(OtherAmts[[#This Row],[LEA Name]],Sect611[],8,FALSE),VLOOKUP(OtherAmts[[#This Row],[LEA Name]],Sect619[],8,FALSE))*0.15,"")</f>
        <v/>
      </c>
      <c r="F199" s="8"/>
    </row>
    <row r="200" spans="1:6" x14ac:dyDescent="0.2">
      <c r="A200" s="6" t="s">
        <v>241</v>
      </c>
      <c r="B200" s="3">
        <v>0</v>
      </c>
      <c r="C200" s="3">
        <v>0</v>
      </c>
      <c r="D200" s="3">
        <f>IF(VLOOKUP(OtherAmts[[#This Row],[LEA Name]],Sect611[],MATCH("Sig Dis",Sect611[#Headers],0),TRUE)=0,SUM(VLOOKUP(OtherAmts[[#This Row],[LEA Name]],Sect611[],8,FALSE),VLOOKUP(OtherAmts[[#This Row],[LEA Name]],Sect619[],8,FALSE))*0.15,"")</f>
        <v>38908.86</v>
      </c>
      <c r="E200" s="9" t="str">
        <f>IF(VLOOKUP(OtherAmts[[#This Row],[LEA Name]],Sect611[],MATCH("Sig Dis",Sect611[#Headers],0),TRUE)=1,SUM(VLOOKUP(OtherAmts[[#This Row],[LEA Name]],Sect611[],8,FALSE),VLOOKUP(OtherAmts[[#This Row],[LEA Name]],Sect619[],8,FALSE))*0.15,"")</f>
        <v/>
      </c>
      <c r="F200" s="8"/>
    </row>
    <row r="201" spans="1:6" x14ac:dyDescent="0.2">
      <c r="A201" s="6" t="s">
        <v>242</v>
      </c>
      <c r="B201" s="3">
        <v>0</v>
      </c>
      <c r="C201" s="3">
        <v>0</v>
      </c>
      <c r="D201" s="3">
        <f>IF(VLOOKUP(OtherAmts[[#This Row],[LEA Name]],Sect611[],MATCH("Sig Dis",Sect611[#Headers],0),TRUE)=0,SUM(VLOOKUP(OtherAmts[[#This Row],[LEA Name]],Sect611[],8,FALSE),VLOOKUP(OtherAmts[[#This Row],[LEA Name]],Sect619[],8,FALSE))*0.15,"")</f>
        <v>7145.817</v>
      </c>
      <c r="E201" s="9" t="str">
        <f>IF(VLOOKUP(OtherAmts[[#This Row],[LEA Name]],Sect611[],MATCH("Sig Dis",Sect611[#Headers],0),TRUE)=1,SUM(VLOOKUP(OtherAmts[[#This Row],[LEA Name]],Sect611[],8,FALSE),VLOOKUP(OtherAmts[[#This Row],[LEA Name]],Sect619[],8,FALSE))*0.15,"")</f>
        <v/>
      </c>
      <c r="F201" s="8"/>
    </row>
    <row r="202" spans="1:6" x14ac:dyDescent="0.2">
      <c r="A202" s="6" t="s">
        <v>184</v>
      </c>
      <c r="B202" s="3">
        <v>0</v>
      </c>
      <c r="C202" s="3">
        <v>0</v>
      </c>
      <c r="D202" s="9">
        <f>IF(VLOOKUP(OtherAmts[[#This Row],[LEA Name]],Sect611[],MATCH("Sig Dis",Sect611[#Headers],0),TRUE)=0,SUM(VLOOKUP(OtherAmts[[#This Row],[LEA Name]],Sect611[],8,FALSE),VLOOKUP(OtherAmts[[#This Row],[LEA Name]],Sect619[],8,FALSE))*0.15,"")</f>
        <v>3184.1745000000001</v>
      </c>
      <c r="E202" s="9" t="str">
        <f>IF(VLOOKUP(OtherAmts[[#This Row],[LEA Name]],Sect611[],MATCH("Sig Dis",Sect611[#Headers],0),TRUE)=1,SUM(VLOOKUP(OtherAmts[[#This Row],[LEA Name]],Sect611[],8,FALSE),VLOOKUP(OtherAmts[[#This Row],[LEA Name]],Sect619[],8,FALSE))*0.15,"")</f>
        <v/>
      </c>
      <c r="F202" s="8"/>
    </row>
    <row r="203" spans="1:6" s="8" customFormat="1" x14ac:dyDescent="0.2">
      <c r="E203" s="6"/>
    </row>
    <row r="204" spans="1:6" hidden="1" x14ac:dyDescent="0.2"/>
  </sheetData>
  <conditionalFormatting sqref="E2:E202">
    <cfRule type="notContainsBlanks" dxfId="13" priority="1">
      <formula>LEN(TRIM(E2))&gt;0</formula>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6DA7A126F3FC40B3A9837B2983E5A7" ma:contentTypeVersion="2" ma:contentTypeDescription="Create a new document." ma:contentTypeScope="" ma:versionID="0279363fe623c9074cde9ec2ec330fcc">
  <xsd:schema xmlns:xsd="http://www.w3.org/2001/XMLSchema" xmlns:xs="http://www.w3.org/2001/XMLSchema" xmlns:p="http://schemas.microsoft.com/office/2006/metadata/properties" xmlns:ns1="http://schemas.microsoft.com/sharepoint/v3" xmlns:ns2="54031767-dd6d-417c-ab73-583408f47564" targetNamespace="http://schemas.microsoft.com/office/2006/metadata/properties" ma:root="true" ma:fieldsID="d9458e77cf9d198ba6dbaf0b974a459d" ns1:_="" ns2:_="">
    <xsd:import namespace="http://schemas.microsoft.com/sharepoint/v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4031767-dd6d-417c-ab73-583408f47564">
      <UserInfo>
        <DisplayName>RAY RaeAnn - ODE</DisplayName>
        <AccountId>48</AccountId>
        <AccountType/>
      </UserInfo>
      <UserInfo>
        <DisplayName>PELT Candace - ODE</DisplayName>
        <AccountId>25</AccountId>
        <AccountType/>
      </UserInfo>
    </SharedWithUsers>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3BE8820-049B-4FCA-98A4-4E3193637016}"/>
</file>

<file path=customXml/itemProps2.xml><?xml version="1.0" encoding="utf-8"?>
<ds:datastoreItem xmlns:ds="http://schemas.openxmlformats.org/officeDocument/2006/customXml" ds:itemID="{0CBF2B89-D415-48E0-AF74-FB1D6EDED5FF}">
  <ds:schemaRefs>
    <ds:schemaRef ds:uri="http://schemas.microsoft.com/sharepoint/v3/contenttype/forms"/>
  </ds:schemaRefs>
</ds:datastoreItem>
</file>

<file path=customXml/itemProps3.xml><?xml version="1.0" encoding="utf-8"?>
<ds:datastoreItem xmlns:ds="http://schemas.openxmlformats.org/officeDocument/2006/customXml" ds:itemID="{2A3B5BEF-FC36-4E83-BEB9-D92DDCA58189}">
  <ds:schemaRefs>
    <ds:schemaRef ds:uri="http://schemas.microsoft.com/office/2006/documentManagement/types"/>
    <ds:schemaRef ds:uri="ef311220-9bdc-47cc-8c56-c8c341bf2bda"/>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http://schemas.openxmlformats.org/package/2006/metadata/core-properties"/>
    <ds:schemaRef ds:uri="4566dc66-dbdb-403a-b527-9f9b721c353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Section 611 Awards</vt:lpstr>
      <vt:lpstr>Section 619 Awards</vt:lpstr>
      <vt:lpstr>Program Awards</vt:lpstr>
      <vt:lpstr>Other Amounts</vt:lpstr>
      <vt:lpstr>Information!Print_Titles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IDEA Flow-Through Estimates</dc:title>
  <dc:subject/>
  <dc:creator>Oregon Department of Education</dc:creator>
  <cp:keywords>IDEA; Flow-through;</cp:keywords>
  <dc:description/>
  <cp:lastModifiedBy>"turnbulm"</cp:lastModifiedBy>
  <cp:revision/>
  <cp:lastPrinted>2019-07-08T21:12:13Z</cp:lastPrinted>
  <dcterms:created xsi:type="dcterms:W3CDTF">2019-04-16T19:55:58Z</dcterms:created>
  <dcterms:modified xsi:type="dcterms:W3CDTF">2022-04-01T20:28:02Z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0x010100CE6DA7A126F3FC40B3A9837B2983E5A7</vt:lpwstr>
  </property>
</Properties>
</file>