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updateLinks="never" codeName="ThisWorkbook"/>
  <mc:AlternateContent xmlns:mc="http://schemas.openxmlformats.org/markup-compatibility/2006">
    <mc:Choice Requires="x15">
      <x15ac:absPath xmlns:x15ac="http://schemas.microsoft.com/office/spreadsheetml/2010/11/ac" url="C:\Users\loneill\Downloads\"/>
    </mc:Choice>
  </mc:AlternateContent>
  <xr:revisionPtr revIDLastSave="0" documentId="8_{215E39B9-6613-4E61-8A8C-5785C88D6859}" xr6:coauthVersionLast="47" xr6:coauthVersionMax="47" xr10:uidLastSave="{00000000-0000-0000-0000-000000000000}"/>
  <workbookProtection workbookPassword="C74A" lockStructure="1"/>
  <bookViews>
    <workbookView xWindow="2196" yWindow="2196" windowWidth="17280" windowHeight="8964" tabRatio="930" xr2:uid="{00000000-000D-0000-FFFF-FFFF00000000}"/>
  </bookViews>
  <sheets>
    <sheet name="CoverPg" sheetId="51" r:id="rId1"/>
    <sheet name="OF" sheetId="42" r:id="rId2"/>
    <sheet name="F" sheetId="3" r:id="rId3"/>
    <sheet name="T" sheetId="41" r:id="rId4"/>
    <sheet name="S" sheetId="4" r:id="rId5"/>
    <sheet name="Scores" sheetId="5" r:id="rId6"/>
    <sheet name="WS" sheetId="8" r:id="rId7"/>
    <sheet name="SR" sheetId="9" r:id="rId8"/>
    <sheet name="PR" sheetId="10" r:id="rId9"/>
    <sheet name="NR" sheetId="11" r:id="rId10"/>
    <sheet name="FA" sheetId="48" r:id="rId11"/>
    <sheet name="FR" sheetId="17" r:id="rId12"/>
    <sheet name="AM" sheetId="18" r:id="rId13"/>
    <sheet name="WBN" sheetId="20" r:id="rId14"/>
    <sheet name="WBF" sheetId="49" r:id="rId15"/>
    <sheet name="INV" sheetId="15" r:id="rId16"/>
    <sheet name="PD" sheetId="23" r:id="rId17"/>
    <sheet name="POL" sheetId="22" r:id="rId18"/>
    <sheet name="SBM" sheetId="21" r:id="rId19"/>
    <sheet name="WC" sheetId="12" r:id="rId20"/>
    <sheet name="OE" sheetId="14" r:id="rId21"/>
    <sheet name="CS" sheetId="13" r:id="rId22"/>
    <sheet name="PU" sheetId="27" r:id="rId23"/>
    <sheet name="Sens" sheetId="25" r:id="rId24"/>
    <sheet name="EC" sheetId="26" r:id="rId25"/>
    <sheet name="STR" sheetId="24" r:id="rId26"/>
    <sheet name="Sheet1" sheetId="52" r:id="rId27"/>
  </sheets>
  <externalReferences>
    <externalReference r:id="rId28"/>
    <externalReference r:id="rId29"/>
    <externalReference r:id="rId30"/>
    <externalReference r:id="rId31"/>
  </externalReferences>
  <definedNames>
    <definedName name="___FHR3">[1]FR!#REF!</definedName>
    <definedName name="__AMT7">[1]AM!#REF!</definedName>
    <definedName name="__Fen7">[1]WC!#REF!</definedName>
    <definedName name="__FHR3" localSheetId="10">FA!#REF!</definedName>
    <definedName name="__FHR3" localSheetId="14">FR!#REF!</definedName>
    <definedName name="__FHR3">FR!#REF!</definedName>
    <definedName name="__GDD1">[1]WS!#REF!</definedName>
    <definedName name="__GDD10">[1]FR!$G$13</definedName>
    <definedName name="__GDD11">[1]AM!$G$62</definedName>
    <definedName name="__GDD12">#REF!</definedName>
    <definedName name="__GDD13">[1]WBN!$G$56</definedName>
    <definedName name="__GDD14">[1]SBM!$G$60</definedName>
    <definedName name="__GDD18">[1]Sens!$G$67</definedName>
    <definedName name="__GDD2">[1]SR!#REF!</definedName>
    <definedName name="__GDD3">[1]PR!#REF!</definedName>
    <definedName name="__GDD5">[1]NR!$G$13</definedName>
    <definedName name="__GDD6">[1]CS!$G$3</definedName>
    <definedName name="__GDD7">[1]OE!$G$14</definedName>
    <definedName name="__GrW8">[1]INV!#REF!</definedName>
    <definedName name="__Hot7">[1]WC!#REF!</definedName>
    <definedName name="__IBA12">#REF!</definedName>
    <definedName name="__Ice12">#REF!</definedName>
    <definedName name="__OMX5">[1]OE!#REF!</definedName>
    <definedName name="__Out3">[1]PR!#REF!</definedName>
    <definedName name="__Pt2">[1]S!#REF!</definedName>
    <definedName name="__Pt3">[1]S!#REF!</definedName>
    <definedName name="__pt4">[1]S!#REF!</definedName>
    <definedName name="__SAV10">[1]FR!$G$62</definedName>
    <definedName name="__SAV11">[1]AM!$G$112</definedName>
    <definedName name="__SAV12">[1]WBF!$G$102</definedName>
    <definedName name="__SAV13">[1]WBN!$G$150</definedName>
    <definedName name="__SAV7">[1]OE!$G$56</definedName>
    <definedName name="__WBF10">[1]FR!#REF!</definedName>
    <definedName name="__WBF5">#REF!</definedName>
    <definedName name="__WQ10">[1]FR!#REF!</definedName>
    <definedName name="__WQ11">[1]AM!#REF!</definedName>
    <definedName name="__WQ13">[1]WBN!#REF!</definedName>
    <definedName name="__WQ20">[1]PH!#REF!</definedName>
    <definedName name="__WQ3">[1]PR!#REF!</definedName>
    <definedName name="__WQ8">[1]INV!#REF!</definedName>
    <definedName name="_AMT7" localSheetId="10">AM!#REF!</definedName>
    <definedName name="_AMT7" localSheetId="14">AM!#REF!</definedName>
    <definedName name="_AMT7">AM!#REF!</definedName>
    <definedName name="_CSQ1" localSheetId="10">CS!#REF!</definedName>
    <definedName name="_CSQ1" localSheetId="4">[2]CS!$G$137</definedName>
    <definedName name="_CSQ1" localSheetId="14">CS!#REF!</definedName>
    <definedName name="_CSQ1">CS!#REF!</definedName>
    <definedName name="_CSQ2" localSheetId="10">CS!#REF!</definedName>
    <definedName name="_CSQ2" localSheetId="4">[2]CS!$G$138</definedName>
    <definedName name="_CSQ2" localSheetId="14">CS!#REF!</definedName>
    <definedName name="_CSQ2">CS!#REF!</definedName>
    <definedName name="_CSQ3" localSheetId="10">CS!#REF!</definedName>
    <definedName name="_CSQ3" localSheetId="4">[2]CS!$G$139</definedName>
    <definedName name="_CSQ3" localSheetId="14">CS!#REF!</definedName>
    <definedName name="_CSQ3">CS!#REF!</definedName>
    <definedName name="_CSQ4" localSheetId="10">CS!#REF!</definedName>
    <definedName name="_CSQ4" localSheetId="4">[2]CS!$G$140</definedName>
    <definedName name="_CSQ4" localSheetId="14">CS!#REF!</definedName>
    <definedName name="_CSQ4">CS!#REF!</definedName>
    <definedName name="_Fen5" localSheetId="10">CS!#REF!</definedName>
    <definedName name="_Fen5" localSheetId="4">[2]CS!#REF!</definedName>
    <definedName name="_Fen5" localSheetId="14">CS!#REF!</definedName>
    <definedName name="_Fen5">CS!#REF!</definedName>
    <definedName name="_Fen7" localSheetId="10">WC!#REF!</definedName>
    <definedName name="_Fen7" localSheetId="14">WC!#REF!</definedName>
    <definedName name="_Fen7">WC!#REF!</definedName>
    <definedName name="_FHA1" localSheetId="4">[2]FA!$G$126</definedName>
    <definedName name="_FHA2" localSheetId="4">[2]FA!$G$127</definedName>
    <definedName name="_FHA3" localSheetId="4">[2]FA!#REF!</definedName>
    <definedName name="_FHA4" localSheetId="4">[2]FA!$G$128</definedName>
    <definedName name="_FHA5" localSheetId="4">[2]FA!$G$129</definedName>
    <definedName name="_FHA6" localSheetId="4">[2]FA!$G$130</definedName>
    <definedName name="_FHR1" localSheetId="10">FA!#REF!</definedName>
    <definedName name="_FHR1" localSheetId="4">[2]FR!$G$114</definedName>
    <definedName name="_FHR1" localSheetId="14">FR!#REF!</definedName>
    <definedName name="_FHR1">FR!#REF!</definedName>
    <definedName name="_FHR2" localSheetId="10">FA!#REF!</definedName>
    <definedName name="_FHR2" localSheetId="4">[2]FR!$G$115</definedName>
    <definedName name="_FHR2" localSheetId="14">FR!#REF!</definedName>
    <definedName name="_FHR2">FR!#REF!</definedName>
    <definedName name="_FHR3" localSheetId="10">FA!#REF!</definedName>
    <definedName name="_FHR3" localSheetId="4">[2]FR!$G$116</definedName>
    <definedName name="_FHR3" localSheetId="14">FR!#REF!</definedName>
    <definedName name="_FHR3">FR!#REF!</definedName>
    <definedName name="_FHR4" localSheetId="10">FA!#REF!</definedName>
    <definedName name="_FHR4" localSheetId="4">[2]FR!$G$117</definedName>
    <definedName name="_FHR4" localSheetId="14">FR!#REF!</definedName>
    <definedName name="_FHR4">FR!#REF!</definedName>
    <definedName name="_FHR5" localSheetId="10">FA!#REF!</definedName>
    <definedName name="_FHR5" localSheetId="4">[2]FR!$G$118</definedName>
    <definedName name="_FHR5" localSheetId="14">FR!#REF!</definedName>
    <definedName name="_FHR5">FR!#REF!</definedName>
    <definedName name="_GDD1" localSheetId="10">WS!#REF!</definedName>
    <definedName name="_GDD1" localSheetId="14">WS!#REF!</definedName>
    <definedName name="_GDD1">WS!#REF!</definedName>
    <definedName name="_GDD10" localSheetId="10">FA!#REF!</definedName>
    <definedName name="_GDD10" localSheetId="14">FR!#REF!</definedName>
    <definedName name="_GDD10">FR!$G$13</definedName>
    <definedName name="_GDD11">AM!$G$62</definedName>
    <definedName name="_GDD12">#REF!</definedName>
    <definedName name="_GDD13" localSheetId="14">WBF!#REF!</definedName>
    <definedName name="_GDD13">WBN!$G$56</definedName>
    <definedName name="_GDD14">SBM!$G$64</definedName>
    <definedName name="_GDD18">Sens!$G$71</definedName>
    <definedName name="_GDD2" localSheetId="10">SR!#REF!</definedName>
    <definedName name="_GDD2" localSheetId="14">SR!#REF!</definedName>
    <definedName name="_GDD2">SR!#REF!</definedName>
    <definedName name="_GDD3" localSheetId="10">PR!#REF!</definedName>
    <definedName name="_GDD3" localSheetId="14">PR!#REF!</definedName>
    <definedName name="_GDD3">PR!#REF!</definedName>
    <definedName name="_GDD5">NR!$G$7</definedName>
    <definedName name="_GDD6">CS!$G$3</definedName>
    <definedName name="_GDD7">OE!$G$14</definedName>
    <definedName name="_GrW8" localSheetId="10">INV!#REF!</definedName>
    <definedName name="_GrW8" localSheetId="14">INV!#REF!</definedName>
    <definedName name="_GrW8">INV!#REF!</definedName>
    <definedName name="_Hot7" localSheetId="10">WC!#REF!</definedName>
    <definedName name="_Hot7" localSheetId="14">WC!#REF!</definedName>
    <definedName name="_Hot7">WC!#REF!</definedName>
    <definedName name="_IBA12" localSheetId="4">[2]WBF!$G$162</definedName>
    <definedName name="_IBA12">#REF!</definedName>
    <definedName name="_IBA13" localSheetId="4">[2]WBN!$G$198</definedName>
    <definedName name="_IBA14" localSheetId="10">SBM!#REF!</definedName>
    <definedName name="_IBA14" localSheetId="4">[2]SBM!$G$198</definedName>
    <definedName name="_IBA14" localSheetId="14">SBM!#REF!</definedName>
    <definedName name="_Ice11">AM!$G$87</definedName>
    <definedName name="_Ice12">#REF!</definedName>
    <definedName name="_INV1" localSheetId="10">INV!#REF!</definedName>
    <definedName name="_INV1" localSheetId="4">[2]INV!$G$173</definedName>
    <definedName name="_INV1" localSheetId="14">INV!#REF!</definedName>
    <definedName name="_INV1">INV!#REF!</definedName>
    <definedName name="_INV2" localSheetId="10">INV!#REF!</definedName>
    <definedName name="_INV2" localSheetId="4">[2]INV!$G$166</definedName>
    <definedName name="_INV2" localSheetId="14">INV!#REF!</definedName>
    <definedName name="_INV2">INV!#REF!</definedName>
    <definedName name="_INV3" localSheetId="10">INV!#REF!</definedName>
    <definedName name="_INV3" localSheetId="4">[2]INV!$G$167</definedName>
    <definedName name="_INV3" localSheetId="14">INV!#REF!</definedName>
    <definedName name="_INV3">INV!#REF!</definedName>
    <definedName name="_INV4" localSheetId="10">INV!#REF!</definedName>
    <definedName name="_INV4" localSheetId="4">[2]INV!$G$168</definedName>
    <definedName name="_INV4" localSheetId="14">INV!#REF!</definedName>
    <definedName name="_INV4">INV!#REF!</definedName>
    <definedName name="_INV5" localSheetId="10">INV!#REF!</definedName>
    <definedName name="_INV5" localSheetId="4">[2]INV!$G$169</definedName>
    <definedName name="_INV5" localSheetId="14">INV!#REF!</definedName>
    <definedName name="_INV5">INV!#REF!</definedName>
    <definedName name="_INV6" localSheetId="10">INV!#REF!</definedName>
    <definedName name="_INV6" localSheetId="4">[2]INV!$G$170</definedName>
    <definedName name="_INV6" localSheetId="14">INV!#REF!</definedName>
    <definedName name="_INV6">INV!#REF!</definedName>
    <definedName name="_INV7" localSheetId="10">INV!#REF!</definedName>
    <definedName name="_INV7" localSheetId="4">[2]INV!$G$171</definedName>
    <definedName name="_INV7" localSheetId="14">INV!#REF!</definedName>
    <definedName name="_INV7">INV!#REF!</definedName>
    <definedName name="_INV8" localSheetId="10">INV!#REF!</definedName>
    <definedName name="_INV8" localSheetId="4">[2]INV!$G$172</definedName>
    <definedName name="_INV8" localSheetId="14">INV!#REF!</definedName>
    <definedName name="_INV8">INV!#REF!</definedName>
    <definedName name="_Iso2" localSheetId="10">SR!#REF!</definedName>
    <definedName name="_Iso2" localSheetId="4">[2]SR!$G$10</definedName>
    <definedName name="_Iso2" localSheetId="14">SR!#REF!</definedName>
    <definedName name="_Iso2">SR!#REF!</definedName>
    <definedName name="_ISO3" localSheetId="10">PR!#REF!</definedName>
    <definedName name="_ISO3" localSheetId="4">[2]PR!$G$20</definedName>
    <definedName name="_ISO3" localSheetId="14">PR!#REF!</definedName>
    <definedName name="_ISO3">PR!#REF!</definedName>
    <definedName name="_NRE1" localSheetId="10">NR!#REF!</definedName>
    <definedName name="_NRE1" localSheetId="4">[2]NR!$G$166</definedName>
    <definedName name="_NRE1" localSheetId="14">NR!#REF!</definedName>
    <definedName name="_NRE1">NR!#REF!</definedName>
    <definedName name="_NRE2" localSheetId="10">NR!#REF!</definedName>
    <definedName name="_NRE2" localSheetId="4">[2]NR!$G$167</definedName>
    <definedName name="_NRE2" localSheetId="14">NR!#REF!</definedName>
    <definedName name="_NRE2">NR!#REF!</definedName>
    <definedName name="_NRE3" localSheetId="10">NR!#REF!</definedName>
    <definedName name="_NRE3" localSheetId="4">[2]NR!$G$170</definedName>
    <definedName name="_NRE3" localSheetId="14">NR!#REF!</definedName>
    <definedName name="_NRE3">NR!#REF!</definedName>
    <definedName name="_NRE4" localSheetId="10">NR!#REF!</definedName>
    <definedName name="_NRE4" localSheetId="4">[2]NR!$G$169</definedName>
    <definedName name="_NRE4" localSheetId="14">NR!#REF!</definedName>
    <definedName name="_NRE4">NR!#REF!</definedName>
    <definedName name="_NRE5" localSheetId="10">NR!#REF!</definedName>
    <definedName name="_NRE5" localSheetId="4">[2]NR!$G$165</definedName>
    <definedName name="_NRE5" localSheetId="14">NR!#REF!</definedName>
    <definedName name="_NRE5">NR!#REF!</definedName>
    <definedName name="_OMX1" localSheetId="10">OE!#REF!</definedName>
    <definedName name="_OMX1" localSheetId="4">[2]OE!$G$118</definedName>
    <definedName name="_OMX1" localSheetId="14">OE!#REF!</definedName>
    <definedName name="_OMX1">OE!#REF!</definedName>
    <definedName name="_OMX2" localSheetId="10">OE!#REF!</definedName>
    <definedName name="_OMX2" localSheetId="4">[2]OE!$G$119</definedName>
    <definedName name="_OMX2" localSheetId="14">OE!#REF!</definedName>
    <definedName name="_OMX2">OE!#REF!</definedName>
    <definedName name="_OMX3" localSheetId="10">OE!#REF!</definedName>
    <definedName name="_OMX3" localSheetId="4">[2]OE!$G$120</definedName>
    <definedName name="_OMX3" localSheetId="14">OE!#REF!</definedName>
    <definedName name="_OMX3">OE!#REF!</definedName>
    <definedName name="_OMX4" localSheetId="10">OE!#REF!</definedName>
    <definedName name="_OMX4" localSheetId="4">[2]OE!$G$121</definedName>
    <definedName name="_OMX4" localSheetId="14">OE!#REF!</definedName>
    <definedName name="_OMX4">OE!#REF!</definedName>
    <definedName name="_OMX5" localSheetId="10">OE!#REF!</definedName>
    <definedName name="_OMX5" localSheetId="14">OE!#REF!</definedName>
    <definedName name="_OMX5">OE!#REF!</definedName>
    <definedName name="_Out3" localSheetId="10">PR!#REF!</definedName>
    <definedName name="_Out3" localSheetId="14">PR!#REF!</definedName>
    <definedName name="_Out3">PR!#REF!</definedName>
    <definedName name="_pcp13" localSheetId="10">WBN!#REF!</definedName>
    <definedName name="_pcp13" localSheetId="4">[2]WBN!$G$204</definedName>
    <definedName name="_pcp13" localSheetId="14">WBF!#REF!</definedName>
    <definedName name="_pcp13">WBN!#REF!</definedName>
    <definedName name="_pcp14" localSheetId="10">SBM!#REF!</definedName>
    <definedName name="_pcp14" localSheetId="4">[2]SBM!$G$204</definedName>
    <definedName name="_pcp14" localSheetId="14">SBM!#REF!</definedName>
    <definedName name="_pcp14">SBM!#REF!</definedName>
    <definedName name="_pcp8" localSheetId="10">INV!#REF!</definedName>
    <definedName name="_pcp8" localSheetId="4">[2]INV!$G$148</definedName>
    <definedName name="_pcp8" localSheetId="14">INV!#REF!</definedName>
    <definedName name="_pcp8">INV!#REF!</definedName>
    <definedName name="_PLD1" localSheetId="10">PD!#REF!</definedName>
    <definedName name="_PLD1" localSheetId="4">[2]PD!$G$203</definedName>
    <definedName name="_PLD1" localSheetId="14">PD!#REF!</definedName>
    <definedName name="_PLD1">PD!#REF!</definedName>
    <definedName name="_PLD2" localSheetId="10">PD!#REF!</definedName>
    <definedName name="_PLD2" localSheetId="4">[2]PD!$G$204</definedName>
    <definedName name="_PLD2" localSheetId="14">PD!#REF!</definedName>
    <definedName name="_PLD2">PD!#REF!</definedName>
    <definedName name="_PLD3" localSheetId="10">PD!#REF!</definedName>
    <definedName name="_PLD3" localSheetId="4">[2]PD!$G$205</definedName>
    <definedName name="_PLD3" localSheetId="14">PD!#REF!</definedName>
    <definedName name="_PLD3">PD!#REF!</definedName>
    <definedName name="_PR1" localSheetId="10">PR!#REF!</definedName>
    <definedName name="_PR1" localSheetId="4">[2]PR!$G$160</definedName>
    <definedName name="_PR1" localSheetId="14">PR!#REF!</definedName>
    <definedName name="_PR1">PR!#REF!</definedName>
    <definedName name="_PR2" localSheetId="10">PR!#REF!</definedName>
    <definedName name="_PR2" localSheetId="4">[2]PR!$G$161</definedName>
    <definedName name="_PR2" localSheetId="14">PR!#REF!</definedName>
    <definedName name="_PR2">PR!#REF!</definedName>
    <definedName name="_PR3" localSheetId="10">PR!#REF!</definedName>
    <definedName name="_PR3" localSheetId="4">[2]PR!$G$162</definedName>
    <definedName name="_PR3" localSheetId="14">PR!#REF!</definedName>
    <definedName name="_PR3">PR!#REF!</definedName>
    <definedName name="_PR4" localSheetId="10">PR!#REF!</definedName>
    <definedName name="_PR4" localSheetId="4">[2]PR!$G$163</definedName>
    <definedName name="_PR4" localSheetId="14">PR!#REF!</definedName>
    <definedName name="_PR4">PR!#REF!</definedName>
    <definedName name="_PR5" localSheetId="10">PR!#REF!</definedName>
    <definedName name="_PR5" localSheetId="4">[2]PR!$G$164</definedName>
    <definedName name="_PR5" localSheetId="14">PR!#REF!</definedName>
    <definedName name="_PR5">PR!#REF!</definedName>
    <definedName name="_PR6" localSheetId="10">PR!#REF!</definedName>
    <definedName name="_PR6" localSheetId="4">[2]PR!$G$165</definedName>
    <definedName name="_PR6" localSheetId="14">PR!#REF!</definedName>
    <definedName name="_PR6">PR!#REF!</definedName>
    <definedName name="_Pt2">S!#REF!</definedName>
    <definedName name="_Pt3">S!#REF!</definedName>
    <definedName name="_pt4">S!#REF!</definedName>
    <definedName name="_SAV10">FR!$G$62</definedName>
    <definedName name="_SAV11">AM!$G$113</definedName>
    <definedName name="_SAV12">WBF!$G$108</definedName>
    <definedName name="_SAV13">WBN!$G$139</definedName>
    <definedName name="_SAV4">PR!$G$45</definedName>
    <definedName name="_SAV7">OE!$G$55</definedName>
    <definedName name="_SED1" localSheetId="10">SR!#REF!</definedName>
    <definedName name="_SED1" localSheetId="4">[2]SR!#REF!</definedName>
    <definedName name="_SED1" localSheetId="14">SR!#REF!</definedName>
    <definedName name="_SED1">SR!#REF!</definedName>
    <definedName name="_SM1" localSheetId="10">SBM!#REF!</definedName>
    <definedName name="_SM1" localSheetId="4">[2]SBM!$G$216</definedName>
    <definedName name="_SM1" localSheetId="14">SBM!#REF!</definedName>
    <definedName name="_SM1">SBM!#REF!</definedName>
    <definedName name="_SM2" localSheetId="10">SBM!#REF!</definedName>
    <definedName name="_SM2" localSheetId="4">[2]SBM!$G$217</definedName>
    <definedName name="_SM2" localSheetId="14">SBM!#REF!</definedName>
    <definedName name="_SM2">SBM!#REF!</definedName>
    <definedName name="_SM3" localSheetId="10">SBM!#REF!</definedName>
    <definedName name="_SM3" localSheetId="4">[2]SBM!$G$218</definedName>
    <definedName name="_SM3" localSheetId="14">SBM!#REF!</definedName>
    <definedName name="_SM3">SBM!#REF!</definedName>
    <definedName name="_SM4" localSheetId="10">SBM!#REF!</definedName>
    <definedName name="_SM4" localSheetId="4">[2]SBM!$G$219</definedName>
    <definedName name="_SM4" localSheetId="14">SBM!#REF!</definedName>
    <definedName name="_SM4">SBM!#REF!</definedName>
    <definedName name="_SM5" localSheetId="10">SBM!#REF!</definedName>
    <definedName name="_SM5" localSheetId="14">SBM!#REF!</definedName>
    <definedName name="_SM5">SBM!#REF!</definedName>
    <definedName name="_SWO10" localSheetId="10">FA!#REF!</definedName>
    <definedName name="_SWO10" localSheetId="4">[2]FR!#REF!</definedName>
    <definedName name="_SWO10" localSheetId="14">FR!#REF!</definedName>
    <definedName name="_SWO10">FR!#REF!</definedName>
    <definedName name="_SWO12" localSheetId="4">[2]WBF!#REF!</definedName>
    <definedName name="_SWO13" localSheetId="10">WBN!#REF!</definedName>
    <definedName name="_SWO13" localSheetId="4">[2]WBN!#REF!</definedName>
    <definedName name="_SWO13" localSheetId="14">WBF!#REF!</definedName>
    <definedName name="_SWO13">WBN!#REF!</definedName>
    <definedName name="_SWO2" localSheetId="10">SR!#REF!</definedName>
    <definedName name="_SWO2" localSheetId="4">[2]SR!#REF!</definedName>
    <definedName name="_SWO2" localSheetId="14">SR!#REF!</definedName>
    <definedName name="_SWO2">SR!#REF!</definedName>
    <definedName name="_SWO3" localSheetId="10">PR!#REF!</definedName>
    <definedName name="_SWO3" localSheetId="4">[2]PR!#REF!</definedName>
    <definedName name="_SWO3" localSheetId="14">PR!#REF!</definedName>
    <definedName name="_SWO3">PR!#REF!</definedName>
    <definedName name="_SWO4" localSheetId="10">NR!#REF!</definedName>
    <definedName name="_SWO4" localSheetId="4">[2]NR!#REF!</definedName>
    <definedName name="_SWO4" localSheetId="14">NR!#REF!</definedName>
    <definedName name="_SWO4">NR!#REF!</definedName>
    <definedName name="_SWO5" localSheetId="10">CS!#REF!</definedName>
    <definedName name="_SWO5" localSheetId="4">[2]CS!#REF!</definedName>
    <definedName name="_SWO5" localSheetId="14">CS!#REF!</definedName>
    <definedName name="_SWO5">CS!#REF!</definedName>
    <definedName name="_SWO6" localSheetId="10">OE!#REF!</definedName>
    <definedName name="_SWO6" localSheetId="4">[2]OE!#REF!</definedName>
    <definedName name="_SWO6" localSheetId="14">OE!#REF!</definedName>
    <definedName name="_SWO6">OE!#REF!</definedName>
    <definedName name="_SWO7" localSheetId="10">WC!#REF!</definedName>
    <definedName name="_SWO7" localSheetId="4">[2]T!#REF!</definedName>
    <definedName name="_SWO7" localSheetId="14">WC!#REF!</definedName>
    <definedName name="_SWO7">WC!#REF!</definedName>
    <definedName name="_SWO9" localSheetId="4">[2]FA!#REF!</definedName>
    <definedName name="_TMO1" localSheetId="10">WC!#REF!</definedName>
    <definedName name="_TMO1" localSheetId="4">[2]T!$G$47</definedName>
    <definedName name="_TMO1" localSheetId="14">WC!#REF!</definedName>
    <definedName name="_TMO1">WC!#REF!</definedName>
    <definedName name="_TMO2" localSheetId="10">WC!#REF!</definedName>
    <definedName name="_TMO2" localSheetId="4">[2]T!$G$46</definedName>
    <definedName name="_TMO2" localSheetId="14">WC!#REF!</definedName>
    <definedName name="_TMO2">WC!#REF!</definedName>
    <definedName name="_Tox12">#REF!</definedName>
    <definedName name="_WBF10" localSheetId="10">FA!#REF!</definedName>
    <definedName name="_WBF10" localSheetId="14">FR!#REF!</definedName>
    <definedName name="_WBF10">FR!#REF!</definedName>
    <definedName name="_WBF2" localSheetId="4">[2]WBF!$G$186</definedName>
    <definedName name="_WBF3" localSheetId="4">[2]WBF!$G$187</definedName>
    <definedName name="_WBF4" localSheetId="4">[2]WBF!$G$188</definedName>
    <definedName name="_WBF5" localSheetId="10">#REF!</definedName>
    <definedName name="_WBF5" localSheetId="4">[2]WBF!$G$189</definedName>
    <definedName name="_WBF5" localSheetId="14">#REF!</definedName>
    <definedName name="_WBF5">#REF!</definedName>
    <definedName name="_WBF6" localSheetId="4">[2]WBF!$G$190</definedName>
    <definedName name="_WBF7" localSheetId="4">[2]WBF!$G$191</definedName>
    <definedName name="_WBF8" localSheetId="4">[2]WBF!$G$192</definedName>
    <definedName name="_WBN1" localSheetId="10">WBN!#REF!</definedName>
    <definedName name="_WBN1" localSheetId="4">[2]WBN!$G$216</definedName>
    <definedName name="_WBN1" localSheetId="14">WBF!#REF!</definedName>
    <definedName name="_WBN1">WBN!#REF!</definedName>
    <definedName name="_WBN2" localSheetId="10">WBN!#REF!</definedName>
    <definedName name="_WBN2" localSheetId="4">[2]WBN!$G$217</definedName>
    <definedName name="_WBN2" localSheetId="14">WBF!#REF!</definedName>
    <definedName name="_WBN2">WBN!#REF!</definedName>
    <definedName name="_WBN3" localSheetId="10">WBN!#REF!</definedName>
    <definedName name="_WBN3" localSheetId="4">[2]WBN!$G$218</definedName>
    <definedName name="_WBN3" localSheetId="14">WBF!#REF!</definedName>
    <definedName name="_WBN3">WBN!#REF!</definedName>
    <definedName name="_WBN4" localSheetId="10">WBN!#REF!</definedName>
    <definedName name="_WBN4" localSheetId="4">[2]WBN!$G$219</definedName>
    <definedName name="_WBN4" localSheetId="14">WBF!#REF!</definedName>
    <definedName name="_WBN4">WBN!#REF!</definedName>
    <definedName name="_WBN5" localSheetId="10">WBN!#REF!</definedName>
    <definedName name="_WBN5" localSheetId="4">[2]WBN!$G$220</definedName>
    <definedName name="_WBN5" localSheetId="14">WBF!#REF!</definedName>
    <definedName name="_WBN5">WBN!#REF!</definedName>
    <definedName name="_WBN6" localSheetId="10">WBN!#REF!</definedName>
    <definedName name="_WBN6" localSheetId="4">[2]WBN!$G$221</definedName>
    <definedName name="_WBN6" localSheetId="14">WBF!#REF!</definedName>
    <definedName name="_WBN6">WBN!#REF!</definedName>
    <definedName name="_WBN7" localSheetId="10">WBN!#REF!</definedName>
    <definedName name="_WBN7" localSheetId="4">[2]WBN!$G$222</definedName>
    <definedName name="_WBN7" localSheetId="14">WBF!#REF!</definedName>
    <definedName name="_WBN7">WBN!#REF!</definedName>
    <definedName name="_WBN8" localSheetId="10">WBN!#REF!</definedName>
    <definedName name="_WBN8" localSheetId="4">[2]WBN!$G$223</definedName>
    <definedName name="_WBN8" localSheetId="14">WBF!#REF!</definedName>
    <definedName name="_WBN8">WBN!#REF!</definedName>
    <definedName name="_WBN9" localSheetId="10">WBN!#REF!</definedName>
    <definedName name="_WBN9" localSheetId="4">[2]WBN!#REF!</definedName>
    <definedName name="_WBN9" localSheetId="14">WBF!#REF!</definedName>
    <definedName name="_WBN9">WBN!#REF!</definedName>
    <definedName name="_WQ10" localSheetId="10">FA!#REF!</definedName>
    <definedName name="_WQ10" localSheetId="14">FR!#REF!</definedName>
    <definedName name="_WQ10">FR!#REF!</definedName>
    <definedName name="_WQ11" localSheetId="10">AM!#REF!</definedName>
    <definedName name="_WQ11" localSheetId="14">AM!#REF!</definedName>
    <definedName name="_WQ11">AM!#REF!</definedName>
    <definedName name="_WQ13" localSheetId="10">WBN!#REF!</definedName>
    <definedName name="_WQ13" localSheetId="14">WBF!#REF!</definedName>
    <definedName name="_WQ13">WBN!#REF!</definedName>
    <definedName name="_WQ20" localSheetId="10">PD!#REF!</definedName>
    <definedName name="_WQ20" localSheetId="14">PD!#REF!</definedName>
    <definedName name="_WQ20">PD!#REF!</definedName>
    <definedName name="_WQ3" localSheetId="10">PR!#REF!</definedName>
    <definedName name="_WQ3" localSheetId="14">PR!#REF!</definedName>
    <definedName name="_WQ3">PR!#REF!</definedName>
    <definedName name="_WQ8" localSheetId="10">INV!#REF!</definedName>
    <definedName name="_WQ8" localSheetId="14">INV!#REF!</definedName>
    <definedName name="_WQ8">INV!#REF!</definedName>
    <definedName name="_WST1" localSheetId="10">WS!#REF!</definedName>
    <definedName name="_WST1" localSheetId="4">[2]WS!$G$111</definedName>
    <definedName name="_WST1" localSheetId="14">WS!#REF!</definedName>
    <definedName name="_WST1">WS!#REF!</definedName>
    <definedName name="_WST2" localSheetId="10">WS!#REF!</definedName>
    <definedName name="_WST2" localSheetId="4">[2]WS!$G$112</definedName>
    <definedName name="_WST2" localSheetId="14">WS!#REF!</definedName>
    <definedName name="_WST2">WS!#REF!</definedName>
    <definedName name="_WST3" localSheetId="10">WS!#REF!</definedName>
    <definedName name="_WST3" localSheetId="4">[2]WS!$G$113</definedName>
    <definedName name="_WST3" localSheetId="14">WS!#REF!</definedName>
    <definedName name="_WST3">WS!#REF!</definedName>
    <definedName name="AbioSens">Sens!$G$241</definedName>
    <definedName name="ABpct10" localSheetId="4">[2]FR!$G$89</definedName>
    <definedName name="ABpct11" localSheetId="10">AM!#REF!</definedName>
    <definedName name="ABpct11" localSheetId="4">[2]AM!$G$74</definedName>
    <definedName name="ABpct11" localSheetId="14">AM!#REF!</definedName>
    <definedName name="ABpct11">AM!#REF!</definedName>
    <definedName name="ABpct12" localSheetId="4">[2]WBF!$G$72</definedName>
    <definedName name="ABpct12">#REF!</definedName>
    <definedName name="ABpct8" localSheetId="4">[2]INV!$G$82</definedName>
    <definedName name="ABpct9">#REF!</definedName>
    <definedName name="Access10" localSheetId="4">[2]FR!#REF!</definedName>
    <definedName name="Access11" localSheetId="10">AM!#REF!</definedName>
    <definedName name="Access11" localSheetId="14">AM!#REF!</definedName>
    <definedName name="Access11">AM!#REF!</definedName>
    <definedName name="Access12">#REF!</definedName>
    <definedName name="Access8" localSheetId="4">[2]INV!$G$115</definedName>
    <definedName name="Access9" localSheetId="4">[2]FA!#REF!</definedName>
    <definedName name="AccessFR10" localSheetId="10">FA!#REF!</definedName>
    <definedName name="AccessFR10" localSheetId="4">[2]FR!$D$96</definedName>
    <definedName name="AccessFR10" localSheetId="14">FR!#REF!</definedName>
    <definedName name="AccessFR10">FR!#REF!</definedName>
    <definedName name="Acidic13" localSheetId="10">WBN!#REF!</definedName>
    <definedName name="Acidic13" localSheetId="14">WBF!#REF!</definedName>
    <definedName name="Acidic13">WBN!#REF!</definedName>
    <definedName name="AcidicPool10" localSheetId="10">FA!#REF!</definedName>
    <definedName name="AcidicPool10" localSheetId="14">FR!#REF!</definedName>
    <definedName name="AcidicPool10">FR!#REF!</definedName>
    <definedName name="Adsorb3">PR!$G$246</definedName>
    <definedName name="AESA10v">[3]FR!#REF!</definedName>
    <definedName name="AESA11v">[3]AM!#REF!</definedName>
    <definedName name="AESA13v">[3]WB!#REF!</definedName>
    <definedName name="AESA8v">[3]INV!#REF!</definedName>
    <definedName name="AfishShed9" localSheetId="4">[2]FA!$D$6</definedName>
    <definedName name="AfishShed9">#REF!</definedName>
    <definedName name="agland0" localSheetId="10">POL!#REF!</definedName>
    <definedName name="agland0" localSheetId="4">[2]POL!$G$107</definedName>
    <definedName name="agland0" localSheetId="14">POL!#REF!</definedName>
    <definedName name="agland0">POL!#REF!</definedName>
    <definedName name="aglandprox" localSheetId="10">POL!#REF!</definedName>
    <definedName name="aglandprox" localSheetId="4">[2]POL!$G$113</definedName>
    <definedName name="aglandprox" localSheetId="14">POL!#REF!</definedName>
    <definedName name="aglandprox">POL!#REF!</definedName>
    <definedName name="Agric">WS!$D$99</definedName>
    <definedName name="Algae10" localSheetId="10">FA!#REF!</definedName>
    <definedName name="Algae10">FR!#REF!</definedName>
    <definedName name="Algae12">WBF!$G$107</definedName>
    <definedName name="Algae13">WBN!$G$138</definedName>
    <definedName name="Algae19">EC!$G$10</definedName>
    <definedName name="Algae4">PR!$G$44</definedName>
    <definedName name="Algae9">FA!$G$76</definedName>
    <definedName name="AllDry10" localSheetId="10">FA!#REF!</definedName>
    <definedName name="AllDry10" localSheetId="4">[2]FR!#REF!</definedName>
    <definedName name="AllDry10" localSheetId="14">FR!#REF!</definedName>
    <definedName name="AllDry10">FR!#REF!</definedName>
    <definedName name="AllDry11" localSheetId="10">AM!#REF!</definedName>
    <definedName name="AllDry11" localSheetId="14">AM!#REF!</definedName>
    <definedName name="AllDry11">AM!#REF!</definedName>
    <definedName name="AllDry12" localSheetId="4">[2]WBF!$D$23</definedName>
    <definedName name="AllDry12">#REF!</definedName>
    <definedName name="AllDry13" localSheetId="10">WBN!#REF!</definedName>
    <definedName name="AllDry13" localSheetId="4">[2]WBN!#REF!</definedName>
    <definedName name="AllDry13" localSheetId="14">WBF!#REF!</definedName>
    <definedName name="AllDry13">WBN!#REF!</definedName>
    <definedName name="AllDry2" localSheetId="10">SR!#REF!</definedName>
    <definedName name="AllDry2" localSheetId="4">[2]SR!$D$9</definedName>
    <definedName name="AllDry2" localSheetId="14">SR!#REF!</definedName>
    <definedName name="AllDry2">SR!#REF!</definedName>
    <definedName name="AllDry5" localSheetId="10">CS!#REF!</definedName>
    <definedName name="AllDry5" localSheetId="4">[2]CS!#REF!</definedName>
    <definedName name="AllDry5" localSheetId="14">CS!#REF!</definedName>
    <definedName name="AllDry5">CS!#REF!</definedName>
    <definedName name="AllDry5a" localSheetId="10">CS!#REF!</definedName>
    <definedName name="AllDry5a" localSheetId="14">CS!#REF!</definedName>
    <definedName name="AllDry5a">CS!#REF!</definedName>
    <definedName name="AllDry6" localSheetId="10">OE!#REF!</definedName>
    <definedName name="AllDry6" localSheetId="4">[2]OE!#REF!</definedName>
    <definedName name="AllDry6" localSheetId="14">OE!#REF!</definedName>
    <definedName name="AllDry6">OE!#REF!</definedName>
    <definedName name="AllDry6a" localSheetId="10">OE!#REF!</definedName>
    <definedName name="AllDry6a" localSheetId="4">[2]OE!$D$21</definedName>
    <definedName name="AllDry6a" localSheetId="14">OE!#REF!</definedName>
    <definedName name="AllDry6a">OE!#REF!</definedName>
    <definedName name="Alldry7" localSheetId="10">WC!#REF!</definedName>
    <definedName name="Alldry7" localSheetId="4">[2]T!$D$5</definedName>
    <definedName name="Alldry7" localSheetId="14">WC!#REF!</definedName>
    <definedName name="Alldry7">WC!#REF!</definedName>
    <definedName name="AllDry7a" localSheetId="10">WC!#REF!</definedName>
    <definedName name="AllDry7a" localSheetId="14">WC!#REF!</definedName>
    <definedName name="AllDry7a">WC!#REF!</definedName>
    <definedName name="AllDry8" localSheetId="10">INV!#REF!</definedName>
    <definedName name="AllDry8" localSheetId="4">[2]INV!$D$15</definedName>
    <definedName name="AllDry8" localSheetId="14">INV!#REF!</definedName>
    <definedName name="AllDry8">INV!#REF!</definedName>
    <definedName name="AllDry8a" localSheetId="10">INV!#REF!</definedName>
    <definedName name="AllDry8a" localSheetId="14">INV!#REF!</definedName>
    <definedName name="AllDry8a">INV!#REF!</definedName>
    <definedName name="AllDry9" localSheetId="4">[2]FA!$D$20</definedName>
    <definedName name="AllDry9">#REF!</definedName>
    <definedName name="AllPermWater">F!$D$17</definedName>
    <definedName name="AllPerren" localSheetId="10">F!#REF!</definedName>
    <definedName name="AllPerren" localSheetId="14">F!#REF!</definedName>
    <definedName name="AllPerren">F!#REF!</definedName>
    <definedName name="AllUpPerren">F!$D$274</definedName>
    <definedName name="AllWater14" localSheetId="10">SBM!#REF!</definedName>
    <definedName name="AllWater14" localSheetId="14">SBM!#REF!</definedName>
    <definedName name="AllWater14">SBM!#REF!</definedName>
    <definedName name="AltTime11" localSheetId="10">AM!#REF!</definedName>
    <definedName name="AltTime11" localSheetId="14">AM!#REF!</definedName>
    <definedName name="AltTime11">AM!#REF!</definedName>
    <definedName name="AltTime8">INV!$G$120</definedName>
    <definedName name="AltTime9">#REF!</definedName>
    <definedName name="AltTiming" localSheetId="4">[2]STR!$G$4</definedName>
    <definedName name="AltTiming">STR!$G$132</definedName>
    <definedName name="AltTiming10">FR!$G$93</definedName>
    <definedName name="AltTiming15">PD!$G$174</definedName>
    <definedName name="AltTiming1v">WS!#REF!</definedName>
    <definedName name="AltTiming9">FA!$G$129</definedName>
    <definedName name="AltTimingOut" localSheetId="10">STR!#REF!</definedName>
    <definedName name="AltTimingOut" localSheetId="4">[2]STR!$G$5</definedName>
    <definedName name="AltTimingOut" localSheetId="14">STR!#REF!</definedName>
    <definedName name="AltTimingOut">STR!#REF!</definedName>
    <definedName name="AltTimingT15">PD!$G$275</definedName>
    <definedName name="AltTimingT15a">[1]PH!$G$276</definedName>
    <definedName name="Amphib" localSheetId="4">[2]INV!$G$161</definedName>
    <definedName name="AmphRare11">AM!$G$262</definedName>
    <definedName name="AmphScore">#REF!</definedName>
    <definedName name="AmPres11" localSheetId="10">AM!#REF!</definedName>
    <definedName name="AmPres11" localSheetId="14">AM!#REF!</definedName>
    <definedName name="AmPres11">AM!#REF!</definedName>
    <definedName name="AmpSiteS" localSheetId="10">Sens!#REF!</definedName>
    <definedName name="AmpSiteS" localSheetId="14">Sens!#REF!</definedName>
    <definedName name="AmpSiteS">Sens!#REF!</definedName>
    <definedName name="Anad3" localSheetId="10">PR!#REF!</definedName>
    <definedName name="Anad3" localSheetId="14">PR!#REF!</definedName>
    <definedName name="Anad3">PR!#REF!</definedName>
    <definedName name="Anad4" localSheetId="10">NR!#REF!</definedName>
    <definedName name="Anad4" localSheetId="14">NR!#REF!</definedName>
    <definedName name="Anad4">NR!#REF!</definedName>
    <definedName name="AnadFish" localSheetId="10">INV!#REF!</definedName>
    <definedName name="AnadFish" localSheetId="4">[2]INV!$G$159</definedName>
    <definedName name="AnadFish" localSheetId="14">INV!#REF!</definedName>
    <definedName name="AnadFish">INV!#REF!</definedName>
    <definedName name="AnadFish7" localSheetId="10">WC!#REF!</definedName>
    <definedName name="AnadFish7" localSheetId="14">WC!#REF!</definedName>
    <definedName name="AnadFish7">WC!#REF!</definedName>
    <definedName name="AnadHUC7" localSheetId="10">WC!#REF!</definedName>
    <definedName name="AnadHUC7" localSheetId="4">[2]T!$G$37</definedName>
    <definedName name="AnadHUC7" localSheetId="14">WC!#REF!</definedName>
    <definedName name="AnadHUC7">WC!#REF!</definedName>
    <definedName name="AnadPrio7" localSheetId="10">WC!#REF!</definedName>
    <definedName name="AnadPrio7" localSheetId="4">[2]T!#REF!</definedName>
    <definedName name="AnadPrio7" localSheetId="14">WC!#REF!</definedName>
    <definedName name="AnadPrio7">WC!#REF!</definedName>
    <definedName name="AnadPrioShed" localSheetId="4">[2]FA!$G$123</definedName>
    <definedName name="AnimSens_S" localSheetId="10">Sens!#REF!</definedName>
    <definedName name="AnimSens_S" localSheetId="4">[2]Sen!#REF!</definedName>
    <definedName name="AnimSens_S" localSheetId="14">Sens!#REF!</definedName>
    <definedName name="AnimSens_S">Sens!#REF!</definedName>
    <definedName name="AnoxRisk10" localSheetId="10">FA!#REF!</definedName>
    <definedName name="AnoxRisk10">FR!#REF!</definedName>
    <definedName name="AqFertilPD">PD!$G$317</definedName>
    <definedName name="AqPest8" localSheetId="10">INV!#REF!</definedName>
    <definedName name="AqPest8" localSheetId="4">[2]INV!$G$76</definedName>
    <definedName name="AqPest8" localSheetId="14">INV!#REF!</definedName>
    <definedName name="AqPest8">INV!#REF!</definedName>
    <definedName name="AqPestT8">INV!$G$146</definedName>
    <definedName name="AqPlantCov13" localSheetId="14">WBF!#REF!</definedName>
    <definedName name="AqStruc11">AM!$G$284</definedName>
    <definedName name="Aquif1" localSheetId="10">WS!#REF!</definedName>
    <definedName name="Aquif1" localSheetId="4">[2]WS!#REF!</definedName>
    <definedName name="Aquif1" localSheetId="14">WS!#REF!</definedName>
    <definedName name="Aquif1">WS!#REF!</definedName>
    <definedName name="Aquifer" localSheetId="10">WS!#REF!</definedName>
    <definedName name="Aquifer" localSheetId="4">[2]WS!#REF!</definedName>
    <definedName name="Aquifer" localSheetId="14">WS!#REF!</definedName>
    <definedName name="Aquifer">WS!#REF!</definedName>
    <definedName name="Aquifer4" localSheetId="4">[2]NR!$G$151</definedName>
    <definedName name="AquifVul1" localSheetId="10">WS!#REF!</definedName>
    <definedName name="AquifVul1" localSheetId="14">WS!#REF!</definedName>
    <definedName name="AquifVul1">WS!#REF!</definedName>
    <definedName name="Arid11">AM!$G$47</definedName>
    <definedName name="Arid11v">AM!$G$267</definedName>
    <definedName name="Arid13v">WBN!$G$234</definedName>
    <definedName name="Arid14">[3]SBM!$G$94</definedName>
    <definedName name="Arid14v">SBM!$G$290</definedName>
    <definedName name="Arid18">Sens!$G$52</definedName>
    <definedName name="Arid7">OE!$G$3</definedName>
    <definedName name="ArtifHydro18">Sens!#REF!</definedName>
    <definedName name="ArtifHydro18a">Sens!#REF!</definedName>
    <definedName name="aspect0" localSheetId="10">POL!#REF!</definedName>
    <definedName name="aspect0" localSheetId="14">POL!#REF!</definedName>
    <definedName name="Aspect1" localSheetId="10">WS!#REF!</definedName>
    <definedName name="Aspect1" localSheetId="14">WS!#REF!</definedName>
    <definedName name="Aspect1">WS!#REF!</definedName>
    <definedName name="Aspect11" localSheetId="10">AM!#REF!</definedName>
    <definedName name="Aspect11" localSheetId="14">AM!#REF!</definedName>
    <definedName name="Aspect7" localSheetId="10">WC!#REF!</definedName>
    <definedName name="Aspect7" localSheetId="14">WC!#REF!</definedName>
    <definedName name="Aspect7v" localSheetId="10">WC!#REF!</definedName>
    <definedName name="Aspect7v" localSheetId="14">WC!#REF!</definedName>
    <definedName name="AspectPD" localSheetId="10">PD!#REF!</definedName>
    <definedName name="AspectPD" localSheetId="14">PD!#REF!</definedName>
    <definedName name="AspectPD">PD!#REF!</definedName>
    <definedName name="BasinSize1" localSheetId="10">WS!#REF!</definedName>
    <definedName name="BasinSize1" localSheetId="14">WS!#REF!</definedName>
    <definedName name="BasinSize1">WS!#REF!</definedName>
    <definedName name="BasinSize10" localSheetId="10">FA!#REF!</definedName>
    <definedName name="BasinSize10" localSheetId="14">FR!#REF!</definedName>
    <definedName name="BasinSize10">FR!#REF!</definedName>
    <definedName name="BearPD" localSheetId="10">PD!#REF!</definedName>
    <definedName name="BearPD" localSheetId="14">PD!#REF!</definedName>
    <definedName name="BearPD">PD!#REF!</definedName>
    <definedName name="BearShed14" localSheetId="10">SBM!#REF!</definedName>
    <definedName name="BearShed14" localSheetId="14">SBM!#REF!</definedName>
    <definedName name="BearShed14">SBM!#REF!</definedName>
    <definedName name="Beaver10" localSheetId="10">FA!#REF!</definedName>
    <definedName name="Beaver10" localSheetId="14">FR!#REF!</definedName>
    <definedName name="Beaver10">FR!#REF!</definedName>
    <definedName name="Beaver11">AM!$G$120</definedName>
    <definedName name="Beaver12">#REF!</definedName>
    <definedName name="Beaver13" localSheetId="14">WBF!#REF!</definedName>
    <definedName name="Beaver13">WBN!$G$153</definedName>
    <definedName name="Beaver14">SBM!$G$109</definedName>
    <definedName name="Beaver15">PD!$G$72</definedName>
    <definedName name="Beaver18">Sens!$G$100</definedName>
    <definedName name="Beaver18a">Sens!$G$99</definedName>
    <definedName name="Beaver9">#REF!</definedName>
    <definedName name="BiggestWet12">WBF!#REF!</definedName>
    <definedName name="BigPondProx12" localSheetId="4">[2]WBF!$G$137</definedName>
    <definedName name="BigPondProx12">#REF!</definedName>
    <definedName name="Biological">EC!$G$69</definedName>
    <definedName name="BioSens">Sens!$G$242</definedName>
    <definedName name="Bioshed14" localSheetId="10">SBM!#REF!</definedName>
    <definedName name="Bioshed14" localSheetId="14">SBM!#REF!</definedName>
    <definedName name="Bioshed14">SBM!#REF!</definedName>
    <definedName name="BioShedX" localSheetId="10">STR!#REF!</definedName>
    <definedName name="BioShedX" localSheetId="14">STR!#REF!</definedName>
    <definedName name="BioShedX">STR!#REF!</definedName>
    <definedName name="BioStress11">AM!$G$287</definedName>
    <definedName name="BioZone14v">[3]SBM!$G$308</definedName>
    <definedName name="Bldgs">WS!$D$98</definedName>
    <definedName name="BlindChT12">WBF!$G$191</definedName>
    <definedName name="BlindChT15">PD!$G$202</definedName>
    <definedName name="BlindChT7">OE!$G$171</definedName>
    <definedName name="BlindChT8">INV!$G$133</definedName>
    <definedName name="BlindChT9">FA!$G$160</definedName>
    <definedName name="BoatsPD" localSheetId="10">PD!#REF!</definedName>
    <definedName name="BoatsPD" localSheetId="4">[2]PD!$G$114</definedName>
    <definedName name="BoatsPD" localSheetId="14">PD!#REF!</definedName>
    <definedName name="BoatsPD">PD!#REF!</definedName>
    <definedName name="BoatVector" localSheetId="10">STR!#REF!</definedName>
    <definedName name="BoatVector" localSheetId="4">[2]STR!$G$19</definedName>
    <definedName name="BoatVector" localSheetId="14">STR!#REF!</definedName>
    <definedName name="BoatVector">STR!#REF!</definedName>
    <definedName name="Bog_S" localSheetId="10">Sens!#REF!</definedName>
    <definedName name="Bog_S" localSheetId="4">[2]Sen!$D$3</definedName>
    <definedName name="Bog_S" localSheetId="14">Sens!#REF!</definedName>
    <definedName name="Bog_S">Sens!#REF!</definedName>
    <definedName name="Bogs6" localSheetId="10">OE!#REF!</definedName>
    <definedName name="Bogs6" localSheetId="4">[2]OE!$G$3</definedName>
    <definedName name="Bogs6" localSheetId="14">OE!#REF!</definedName>
    <definedName name="Bogs6">OE!#REF!</definedName>
    <definedName name="Browsed14" localSheetId="10">SBM!#REF!</definedName>
    <definedName name="Browsed14" localSheetId="14">SBM!#REF!</definedName>
    <definedName name="Browsed14">SBM!#REF!</definedName>
    <definedName name="BrowsedS" localSheetId="10">STR!#REF!</definedName>
    <definedName name="BrowsedS" localSheetId="14">STR!#REF!</definedName>
    <definedName name="BrowsedS">STR!#REF!</definedName>
    <definedName name="BuffCUnatPct9" localSheetId="4">[2]FA!#REF!</definedName>
    <definedName name="BuffDisturbTyp" localSheetId="4">[2]STR!$G$46</definedName>
    <definedName name="BufferWidthT11">AM!$G$241</definedName>
    <definedName name="BuffLU10" localSheetId="10">FA!#REF!</definedName>
    <definedName name="BuffLU10" localSheetId="4">[2]FR!#REF!</definedName>
    <definedName name="BuffLU10" localSheetId="14">FR!#REF!</definedName>
    <definedName name="BuffLU10">FR!#REF!</definedName>
    <definedName name="BuffLU14" localSheetId="10">SBM!#REF!</definedName>
    <definedName name="BuffLU14" localSheetId="4">[2]SBM!#REF!</definedName>
    <definedName name="BuffLU14" localSheetId="14">SBM!#REF!</definedName>
    <definedName name="BuffLU8" localSheetId="10">INV!#REF!</definedName>
    <definedName name="BuffLU8" localSheetId="4">[2]INV!#REF!</definedName>
    <definedName name="BuffLU8" localSheetId="14">INV!#REF!</definedName>
    <definedName name="BuffLU8">INV!#REF!</definedName>
    <definedName name="BuffLU9" localSheetId="4">[2]FA!$G$99</definedName>
    <definedName name="BuffLU9">#REF!</definedName>
    <definedName name="BuffLUpd" localSheetId="4">[2]PD!$G$141</definedName>
    <definedName name="BuffLUtype13" localSheetId="4">[2]WBN!$G$134</definedName>
    <definedName name="BuffLUtype13" localSheetId="14">WBF!#REF!</definedName>
    <definedName name="BuffNatPct13" localSheetId="4">[2]WBN!$G$128</definedName>
    <definedName name="BuffNatPct13" localSheetId="14">WBF!#REF!</definedName>
    <definedName name="BuffPctCU10" localSheetId="10">FA!#REF!</definedName>
    <definedName name="BuffPctCU10" localSheetId="4">[2]FR!#REF!</definedName>
    <definedName name="BuffPctCU10" localSheetId="14">FR!#REF!</definedName>
    <definedName name="BuffPctCU10">FR!#REF!</definedName>
    <definedName name="BuffPctNat9">#REF!</definedName>
    <definedName name="BuffSlope_S" localSheetId="4">[2]Sen!$G$122</definedName>
    <definedName name="BuffSlope4" localSheetId="10">NR!#REF!</definedName>
    <definedName name="BuffSlope4" localSheetId="14">NR!#REF!</definedName>
    <definedName name="BuffVdens" localSheetId="10">STR!#REF!</definedName>
    <definedName name="BuffVdens" localSheetId="4">[2]STR!#REF!</definedName>
    <definedName name="BuffVdens" localSheetId="14">STR!#REF!</definedName>
    <definedName name="BuffVdens">STR!#REF!</definedName>
    <definedName name="BuffVeg2" localSheetId="10">SR!#REF!</definedName>
    <definedName name="BuffVeg2" localSheetId="4">[2]SR!#REF!</definedName>
    <definedName name="BuffVeg2" localSheetId="14">SR!#REF!</definedName>
    <definedName name="BuffVeg2">SR!#REF!</definedName>
    <definedName name="BuffVpct3" localSheetId="10">PR!#REF!</definedName>
    <definedName name="BuffVpct3" localSheetId="4">[2]PR!#REF!</definedName>
    <definedName name="BuffVpct3" localSheetId="14">PR!#REF!</definedName>
    <definedName name="BuffVpct3">PR!#REF!</definedName>
    <definedName name="BuffVpct4" localSheetId="10">NR!#REF!</definedName>
    <definedName name="BuffVpct4" localSheetId="4">[2]NR!#REF!</definedName>
    <definedName name="BuffVpct4" localSheetId="14">NR!#REF!</definedName>
    <definedName name="BuffVpct4">NR!#REF!</definedName>
    <definedName name="BuffWidth11">AM!$G$167</definedName>
    <definedName name="BuffWidth13">WBN!$G$197</definedName>
    <definedName name="BuffWidth14">SBM!$G$164</definedName>
    <definedName name="BuffWidth15">PD!$G$134</definedName>
    <definedName name="BuffWidth16">POL!$G$79</definedName>
    <definedName name="BuffWidth18">Sens!$G$159</definedName>
    <definedName name="BuffWidth18a">Sens!$G$158</definedName>
    <definedName name="BuffWidth20">STR!$G$86</definedName>
    <definedName name="BuffWidth2v">WC!$G$117</definedName>
    <definedName name="BuffWidth3v">SR!$G$196</definedName>
    <definedName name="BuffWidth4v">PR!$G$224</definedName>
    <definedName name="BuffWidth8">INV!$G$103</definedName>
    <definedName name="BuffWidth9">FA!$G$115</definedName>
    <definedName name="BuffWidthT11">AM!$G$241</definedName>
    <definedName name="BuffWidthT14">SBM!$G$264</definedName>
    <definedName name="BuffWidthT15">PD!$G$241</definedName>
    <definedName name="BuffWidthT20">STR!$G$125</definedName>
    <definedName name="BuffWidthT9">FA!$G$196</definedName>
    <definedName name="CAimperv" localSheetId="10">STR!#REF!</definedName>
    <definedName name="CAimperv" localSheetId="14">STR!#REF!</definedName>
    <definedName name="CAimperv">STR!#REF!</definedName>
    <definedName name="calcarPD" localSheetId="10">PD!#REF!</definedName>
    <definedName name="calcarPD" localSheetId="4">[2]PD!#REF!</definedName>
    <definedName name="calcarPD" localSheetId="14">PD!#REF!</definedName>
    <definedName name="calcarPD">PD!#REF!</definedName>
    <definedName name="Calcium3" localSheetId="10">PR!#REF!</definedName>
    <definedName name="Calcium3" localSheetId="4">[2]PR!#REF!</definedName>
    <definedName name="Calcium3" localSheetId="14">PR!#REF!</definedName>
    <definedName name="Calcium3">PR!#REF!</definedName>
    <definedName name="Calcium5" localSheetId="10">CS!#REF!</definedName>
    <definedName name="Calcium5" localSheetId="4">[2]CS!#REF!</definedName>
    <definedName name="Calcium5" localSheetId="14">CS!#REF!</definedName>
    <definedName name="Calcium5">CS!#REF!</definedName>
    <definedName name="CAnatPct2" localSheetId="10">SR!#REF!</definedName>
    <definedName name="CAnatPct2" localSheetId="4">[2]SR!$G$154</definedName>
    <definedName name="CAnatPct2" localSheetId="14">SR!#REF!</definedName>
    <definedName name="CAnatPct2">SR!#REF!</definedName>
    <definedName name="CAnatPct4" localSheetId="10">NR!#REF!</definedName>
    <definedName name="CAnatPct4" localSheetId="4">[2]NR!$G$155</definedName>
    <definedName name="CAnatPct4" localSheetId="14">NR!#REF!</definedName>
    <definedName name="CAnatPct4">NR!#REF!</definedName>
    <definedName name="CApct2" localSheetId="4">[2]SR!$G$85</definedName>
    <definedName name="CApct2F" localSheetId="10">SR!#REF!</definedName>
    <definedName name="CApct2F" localSheetId="4">[2]SR!$G$75</definedName>
    <definedName name="CApct2F" localSheetId="14">SR!#REF!</definedName>
    <definedName name="CApct2F">SR!#REF!</definedName>
    <definedName name="CApct3" localSheetId="10">PR!#REF!</definedName>
    <definedName name="CApct3" localSheetId="4">[2]PR!$G$111</definedName>
    <definedName name="CApct3" localSheetId="14">PR!#REF!</definedName>
    <definedName name="CApct3">PR!#REF!</definedName>
    <definedName name="CApct4" localSheetId="10">NR!#REF!</definedName>
    <definedName name="CApct4" localSheetId="4">[2]NR!$G$111</definedName>
    <definedName name="CApct4" localSheetId="14">NR!#REF!</definedName>
    <definedName name="CApct4">NR!#REF!</definedName>
    <definedName name="CarbShed" localSheetId="10">OE!#REF!</definedName>
    <definedName name="CarbShed" localSheetId="14">OE!#REF!</definedName>
    <definedName name="CarbShed">OE!#REF!</definedName>
    <definedName name="Cattail" localSheetId="10">WBN!#REF!</definedName>
    <definedName name="Cattail" localSheetId="14">WBF!#REF!</definedName>
    <definedName name="Cattail">WBN!#REF!</definedName>
    <definedName name="Cattail2" localSheetId="10">PD!#REF!</definedName>
    <definedName name="Cattail2" localSheetId="14">PD!#REF!</definedName>
    <definedName name="Cattail2">PD!#REF!</definedName>
    <definedName name="cliff0" localSheetId="4">[2]POL!$G$76</definedName>
    <definedName name="Cliff14">SBM!$G$188</definedName>
    <definedName name="Cliff16">POL!$G$96</definedName>
    <definedName name="Cliffs14" localSheetId="4">[2]SBM!$G$78</definedName>
    <definedName name="CliffT14">SBM!$G$277</definedName>
    <definedName name="CliffT16">POL!$G$125</definedName>
    <definedName name="Climate11" localSheetId="10">AM!#REF!</definedName>
    <definedName name="Climate11" localSheetId="14">AM!#REF!</definedName>
    <definedName name="Climate11">AM!#REF!</definedName>
    <definedName name="Climate12">#REF!</definedName>
    <definedName name="ClimateLF">#REF!</definedName>
    <definedName name="ClimatePD" localSheetId="10">PD!#REF!</definedName>
    <definedName name="ClimatePD" localSheetId="14">PD!#REF!</definedName>
    <definedName name="ClimatePD">PD!#REF!</definedName>
    <definedName name="ClimateS" localSheetId="10">Sens!#REF!</definedName>
    <definedName name="ClimateS" localSheetId="14">Sens!#REF!</definedName>
    <definedName name="ClimateS">Sens!#REF!</definedName>
    <definedName name="COA" localSheetId="10">PU!#REF!</definedName>
    <definedName name="COA" localSheetId="14">PU!#REF!</definedName>
    <definedName name="COA">PU!#REF!</definedName>
    <definedName name="Colonizer">Sens!$G$243</definedName>
    <definedName name="CompetPD">PD!$G$318</definedName>
    <definedName name="ConDesig_ESH9">FA!$G$15</definedName>
    <definedName name="ConDesigIBA12v">WBF!$G$245</definedName>
    <definedName name="ConDesigIBA13v">WBN!$G$228</definedName>
    <definedName name="ConnDown2v">WC!$G$66</definedName>
    <definedName name="ConnDown3v">SR!$G$140</definedName>
    <definedName name="ConnDown4v">PR!$G$168</definedName>
    <definedName name="ConnDown5v">NR!#REF!</definedName>
    <definedName name="ConnDown9">FA!$G$27</definedName>
    <definedName name="Connec4">PR!$G$245</definedName>
    <definedName name="Connec5">NR!$G$167</definedName>
    <definedName name="Connec8" localSheetId="10">INV!#REF!</definedName>
    <definedName name="Connec8" localSheetId="14">INV!#REF!</definedName>
    <definedName name="ConnecStress">STR!$G$140</definedName>
    <definedName name="Connectiv3">SR!$G$219</definedName>
    <definedName name="ConnectivLF">#REF!</definedName>
    <definedName name="ConnecUp10">FR!$G$5</definedName>
    <definedName name="ConnecUp11">AM!$G$58</definedName>
    <definedName name="ConnecUp12">WBF!$G$39</definedName>
    <definedName name="ConnecUp13">WBN!$G$52</definedName>
    <definedName name="ConnecUp20">STR!$G$53</definedName>
    <definedName name="ConnecUp3v">SR!$G$133</definedName>
    <definedName name="ConnecUp4v">PR!$G$161</definedName>
    <definedName name="ConnecUp5v">NR!#REF!</definedName>
    <definedName name="ConnecUp8">INV!$G$6</definedName>
    <definedName name="ConnecUp9">FA!$G$20</definedName>
    <definedName name="ConnLocalW11">AM!$G$36</definedName>
    <definedName name="ConnLocalW13">WBN!$G$39</definedName>
    <definedName name="ConnLocalW14">SBM!$G$49</definedName>
    <definedName name="ConnLocalW15">PD!$G$32</definedName>
    <definedName name="ConnLocalW18">Sens!$G$41</definedName>
    <definedName name="ConnLocalW20">STR!$G$42</definedName>
    <definedName name="ConnScapeW13">WBN!$G$34</definedName>
    <definedName name="ConnScapeW14">SBM!$G$44</definedName>
    <definedName name="ConnScapeW18">Sens!$G$36</definedName>
    <definedName name="ConnScapeW20">STR!$G$37</definedName>
    <definedName name="ConsDesig_ESH9v">FA!$G$211</definedName>
    <definedName name="ConsInvest" localSheetId="4">[2]PU!$G$22</definedName>
    <definedName name="ConsInvest17v">PU!$G$30</definedName>
    <definedName name="ConsInvestT17v">PU!$G$89</definedName>
    <definedName name="Constric_C" localSheetId="10">EC!#REF!</definedName>
    <definedName name="Constric_C" localSheetId="4">[2]CQ!#REF!</definedName>
    <definedName name="Constric_C" localSheetId="14">EC!#REF!</definedName>
    <definedName name="Constric_C">EC!#REF!</definedName>
    <definedName name="Constric_S" localSheetId="4">[2]Sen!$G$34</definedName>
    <definedName name="Constric1" localSheetId="4">[2]WS!$G$53</definedName>
    <definedName name="Constric1">WS!$G$53</definedName>
    <definedName name="Constric10" localSheetId="10">FA!#REF!</definedName>
    <definedName name="Constric10" localSheetId="4">[2]FR!$G$64</definedName>
    <definedName name="Constric10" localSheetId="14">FR!#REF!</definedName>
    <definedName name="Constric10">FR!#REF!</definedName>
    <definedName name="Constric18">Sens!$G$117</definedName>
    <definedName name="Constric18a">Sens!$G$116</definedName>
    <definedName name="Constric2" localSheetId="4">[2]SR!$G$41</definedName>
    <definedName name="Constric20">STR!$G$75</definedName>
    <definedName name="Constric3" localSheetId="4">[2]PR!$G$58</definedName>
    <definedName name="Constric3">SR!$G$56</definedName>
    <definedName name="Constric4" localSheetId="4">[2]NR!$G$54</definedName>
    <definedName name="Constric4">PR!$G$69</definedName>
    <definedName name="Constric5" localSheetId="4">[2]CS!$G$63</definedName>
    <definedName name="Constric5">NR!$G$60</definedName>
    <definedName name="Constric6" localSheetId="4">[2]OE!$G$60</definedName>
    <definedName name="Constric6">CS!$G$64</definedName>
    <definedName name="Constric7">OE!$G$79</definedName>
    <definedName name="ConstricT20">STR!$G$114</definedName>
    <definedName name="ConstricT7">OE!$G$167</definedName>
    <definedName name="Consumables17v">PU!$G$54</definedName>
    <definedName name="ConsumpU">#REF!</definedName>
    <definedName name="ContamDown2">[3]WC!$G$79</definedName>
    <definedName name="ContamDown2v">WC!$G$64</definedName>
    <definedName name="ContamDown3v">SR!$G$137</definedName>
    <definedName name="ContamDown4v">PR!$G$165</definedName>
    <definedName name="ContamDown5v">NR!#REF!</definedName>
    <definedName name="ContamDown9">FA!$G$24</definedName>
    <definedName name="ContamIn10">FR!$G$94</definedName>
    <definedName name="ContamIn11">[3]AM!$G$255</definedName>
    <definedName name="ContamIn20">STR!$G$134</definedName>
    <definedName name="ContamIn8">INV!$G$121</definedName>
    <definedName name="ContamIn9">FA!$G$130</definedName>
    <definedName name="Conven">PU!$G$93</definedName>
    <definedName name="CoolWater9">FA!$G$221</definedName>
    <definedName name="Core1" localSheetId="4">[2]STR!$G$25</definedName>
    <definedName name="Core1_13" localSheetId="4">[2]WBN!$G$118</definedName>
    <definedName name="Core12a" localSheetId="4">[2]WBF!$G$102</definedName>
    <definedName name="Core12b" localSheetId="4">[2]WBF!$G$107</definedName>
    <definedName name="Core14a" localSheetId="4">[2]SBM!$G$84</definedName>
    <definedName name="Core14b" localSheetId="4">[2]SBM!$G$89</definedName>
    <definedName name="Core1pd" localSheetId="4">[2]PD!$G$120</definedName>
    <definedName name="Core2" localSheetId="4">[2]STR!$G$30</definedName>
    <definedName name="Core2_13" localSheetId="4">[2]WBN!$G$123</definedName>
    <definedName name="Core2pd" localSheetId="4">[2]PD!$G$125</definedName>
    <definedName name="CountyNPrank">#REF!</definedName>
    <definedName name="CoverAppro_C" localSheetId="10">EC!#REF!</definedName>
    <definedName name="CoverAppro_C" localSheetId="4">[2]CQ!#REF!</definedName>
    <definedName name="CoverAppro_C" localSheetId="14">EC!#REF!</definedName>
    <definedName name="CoverAppro_C">EC!#REF!</definedName>
    <definedName name="Crop1Shed2" localSheetId="10">SR!#REF!</definedName>
    <definedName name="Crop1Shed2" localSheetId="14">SR!#REF!</definedName>
    <definedName name="Crop1Shed2">SR!#REF!</definedName>
    <definedName name="Crop2Shed2" localSheetId="10">SR!#REF!</definedName>
    <definedName name="Crop2Shed2" localSheetId="14">SR!#REF!</definedName>
    <definedName name="Crop2Shed2">SR!#REF!</definedName>
    <definedName name="Crop2Shed7" localSheetId="10">WC!#REF!</definedName>
    <definedName name="Crop2Shed7" localSheetId="14">WC!#REF!</definedName>
    <definedName name="Crop2Shed7">WC!#REF!</definedName>
    <definedName name="Crop3Shed2" localSheetId="10">SR!#REF!</definedName>
    <definedName name="Crop3Shed2" localSheetId="14">SR!#REF!</definedName>
    <definedName name="Crop3Shed2">SR!#REF!</definedName>
    <definedName name="Crop3Shed7" localSheetId="10">WC!#REF!</definedName>
    <definedName name="Crop3Shed7" localSheetId="14">WC!#REF!</definedName>
    <definedName name="Crop3Shed7">WC!#REF!</definedName>
    <definedName name="CropPct14">[3]SBM!$G$62</definedName>
    <definedName name="CropPct16">[3]POL!$G$102</definedName>
    <definedName name="crops0" localSheetId="10">POL!#REF!</definedName>
    <definedName name="crops0" localSheetId="4">[2]POL!$G$105</definedName>
    <definedName name="crops0" localSheetId="14">POL!#REF!</definedName>
    <definedName name="crops0">POL!#REF!</definedName>
    <definedName name="CropsPct20">[3]STR!$G$68</definedName>
    <definedName name="Crowds2">#REF!</definedName>
    <definedName name="Cshed6" localSheetId="10">OE!#REF!</definedName>
    <definedName name="Cshed6" localSheetId="14">OE!#REF!</definedName>
    <definedName name="Cshed6">OE!#REF!</definedName>
    <definedName name="Cshed9" localSheetId="10">CS!#REF!</definedName>
    <definedName name="Cshed9" localSheetId="14">CS!#REF!</definedName>
    <definedName name="Cshed9">CS!#REF!</definedName>
    <definedName name="CSshed" localSheetId="10">CS!#REF!</definedName>
    <definedName name="CSshed" localSheetId="14">CS!#REF!</definedName>
    <definedName name="CSshed">CS!#REF!</definedName>
    <definedName name="Ctail13">[3]WB!$G$89</definedName>
    <definedName name="Ctail15">[3]PH!$G$81</definedName>
    <definedName name="Cttail13">WBN!$G$99</definedName>
    <definedName name="Cttail14">SBM!$G$85</definedName>
    <definedName name="CtyRankNP" localSheetId="10">#REF!</definedName>
    <definedName name="CtyRankNP" localSheetId="4">#REF!</definedName>
    <definedName name="CtyRankNP" localSheetId="14">#REF!</definedName>
    <definedName name="CtyRankNP">#REF!</definedName>
    <definedName name="CUbuffLUtype8" localSheetId="4">[2]INV!$G$128</definedName>
    <definedName name="CUbuffNatPct14" localSheetId="4">[2]SBM!$G$94</definedName>
    <definedName name="CUbuffPctNat_S" localSheetId="10">Sens!#REF!</definedName>
    <definedName name="CUbuffPctNat_S" localSheetId="4">[2]Sen!#REF!</definedName>
    <definedName name="CUbuffPctNat_S" localSheetId="14">Sens!#REF!</definedName>
    <definedName name="CUratio_S" localSheetId="10">Sens!#REF!</definedName>
    <definedName name="CUratio_S" localSheetId="4">[2]Sen!$G$174</definedName>
    <definedName name="CUratio_S" localSheetId="14">Sens!#REF!</definedName>
    <definedName name="CUratio_S">Sens!#REF!</definedName>
    <definedName name="CUtypeLU14" localSheetId="4">[2]SBM!$G$100</definedName>
    <definedName name="DamageType1v">WS!$G$97</definedName>
    <definedName name="DeadZone" localSheetId="10">#REF!</definedName>
    <definedName name="DeadZone" localSheetId="4">#REF!</definedName>
    <definedName name="DeadZone" localSheetId="14">#REF!</definedName>
    <definedName name="DeadZone">#REF!</definedName>
    <definedName name="DeepSpot10" localSheetId="10">FA!#REF!</definedName>
    <definedName name="DeepSpot10" localSheetId="14">FR!#REF!</definedName>
    <definedName name="DeepSpot10">FR!#REF!</definedName>
    <definedName name="DeepSpot11" localSheetId="10">AM!#REF!</definedName>
    <definedName name="DeepSpot11" localSheetId="4">[2]AM!$G$43</definedName>
    <definedName name="DeepSpot11" localSheetId="14">AM!#REF!</definedName>
    <definedName name="DeepSpot11">AM!#REF!</definedName>
    <definedName name="DeepSpot12" localSheetId="10">#REF!</definedName>
    <definedName name="DeepSpot12" localSheetId="4">[2]WBF!#REF!</definedName>
    <definedName name="DeepSpot12" localSheetId="14">#REF!</definedName>
    <definedName name="DeepSpot12">#REF!</definedName>
    <definedName name="DeepSpot13" localSheetId="10">WBN!#REF!</definedName>
    <definedName name="DeepSpot13" localSheetId="14">WBF!#REF!</definedName>
    <definedName name="DeepSpot13">WBN!#REF!</definedName>
    <definedName name="DeepSpot2" localSheetId="10">SR!#REF!</definedName>
    <definedName name="DeepSpot2" localSheetId="14">SR!#REF!</definedName>
    <definedName name="DeepSpot2">SR!#REF!</definedName>
    <definedName name="DeepSpot3" localSheetId="10">PR!#REF!</definedName>
    <definedName name="DeepSpot3" localSheetId="14">PR!#REF!</definedName>
    <definedName name="DeepSpot3">PR!#REF!</definedName>
    <definedName name="DeepType">F!$D$11</definedName>
    <definedName name="DeerShed14" localSheetId="10">SBM!#REF!</definedName>
    <definedName name="DeerShed14" localSheetId="14">SBM!#REF!</definedName>
    <definedName name="DeerShed14">SBM!#REF!</definedName>
    <definedName name="DeerShedPS">#REF!</definedName>
    <definedName name="DeerShedPS2">#REF!</definedName>
    <definedName name="DepressDist13" localSheetId="10">WBN!#REF!</definedName>
    <definedName name="DepressDist13" localSheetId="14">WBF!#REF!</definedName>
    <definedName name="DepressDist13">WBN!#REF!</definedName>
    <definedName name="Depression">F!#REF!</definedName>
    <definedName name="Depressional" localSheetId="10">WS!#REF!</definedName>
    <definedName name="Depressional" localSheetId="14">WS!#REF!</definedName>
    <definedName name="Depressional">WS!#REF!</definedName>
    <definedName name="Depth_S" localSheetId="4">[2]Sen!$G$18</definedName>
    <definedName name="Depth10" localSheetId="4">[2]FR!$G$48</definedName>
    <definedName name="Depth12" localSheetId="4">[2]WBF!$G$44</definedName>
    <definedName name="Depth13" localSheetId="4">[2]WBN!$G$36</definedName>
    <definedName name="Depth15" localSheetId="4">[2]PD!$G$37</definedName>
    <definedName name="Depth5" localSheetId="4">[2]CS!$G$47</definedName>
    <definedName name="Depth6" localSheetId="4">[2]OE!$G$48</definedName>
    <definedName name="Depth7" localSheetId="4">[2]T!$G$13</definedName>
    <definedName name="Depth8" localSheetId="4">[2]INV!$G$53</definedName>
    <definedName name="Depth9" localSheetId="4">[2]FA!$G$38</definedName>
    <definedName name="DepthC2" localSheetId="4">[2]SR!$G$30</definedName>
    <definedName name="DepthDom10">FR!$G$32</definedName>
    <definedName name="DepthDom12">WBF!$G$55</definedName>
    <definedName name="DepthDom13">WBN!$G$76</definedName>
    <definedName name="DepthDom15">PD!$G$37</definedName>
    <definedName name="DepthDom18">Sens!$G$80</definedName>
    <definedName name="DepthDom18a">Sens!$G$79</definedName>
    <definedName name="DepthDom2">WC!$G$9</definedName>
    <definedName name="DepthDom3">SR!$G$13</definedName>
    <definedName name="DepthDom4">PR!$G$18</definedName>
    <definedName name="DepthDom6">CS!$G$16</definedName>
    <definedName name="DepthDom7">OE!$G$22</definedName>
    <definedName name="DepthDom8">INV!$G$19</definedName>
    <definedName name="DepthDom9">FA!$G$50</definedName>
    <definedName name="DepthEven10" localSheetId="10">FA!#REF!</definedName>
    <definedName name="DepthEven10" localSheetId="4">[2]FR!$G$54</definedName>
    <definedName name="DepthEven10">FR!$G$38</definedName>
    <definedName name="DepthEven11" localSheetId="10">AM!#REF!</definedName>
    <definedName name="DepthEven11" localSheetId="14">AM!#REF!</definedName>
    <definedName name="DepthEven12" localSheetId="4">[2]WBF!$G$50</definedName>
    <definedName name="DepthEven12">WBF!$G$61</definedName>
    <definedName name="DepthEven13" localSheetId="4">[2]WBN!$G$42</definedName>
    <definedName name="DepthEven13">WBN!$G$82</definedName>
    <definedName name="DepthEven15">PD!$G$43</definedName>
    <definedName name="DepthEven8" localSheetId="10">INV!#REF!</definedName>
    <definedName name="DepthEven8" localSheetId="4">[2]INV!$G$59</definedName>
    <definedName name="DepthEven8" localSheetId="14">INV!#REF!</definedName>
    <definedName name="DepthEven8">INV!$G$25</definedName>
    <definedName name="Desig17v">PU!$G$29</definedName>
    <definedName name="Designated" localSheetId="10">#REF!</definedName>
    <definedName name="Designated" localSheetId="4">#REF!</definedName>
    <definedName name="Designated" localSheetId="14">#REF!</definedName>
    <definedName name="Designated">#REF!</definedName>
    <definedName name="DesigT17v">PU!$G$88</definedName>
    <definedName name="Desorb3">PR!$G$247</definedName>
    <definedName name="Deveg_C" localSheetId="10">EC!#REF!</definedName>
    <definedName name="Deveg_C" localSheetId="14">EC!#REF!</definedName>
    <definedName name="Deveg_C">EC!#REF!</definedName>
    <definedName name="Deveg11" localSheetId="10">AM!#REF!</definedName>
    <definedName name="Deveg11" localSheetId="14">AM!#REF!</definedName>
    <definedName name="Deveg11">AM!#REF!</definedName>
    <definedName name="Deveg13" localSheetId="4">[2]WBN!$G$113</definedName>
    <definedName name="Deveg13" localSheetId="14">WBF!#REF!</definedName>
    <definedName name="Deveg14" localSheetId="10">SBM!#REF!</definedName>
    <definedName name="Deveg14" localSheetId="4">[2]SBM!$G$79</definedName>
    <definedName name="Deveg14" localSheetId="14">SBM!#REF!</definedName>
    <definedName name="Deveg2" localSheetId="4">[2]SR!$G$70</definedName>
    <definedName name="Deveg5" localSheetId="10">CS!#REF!</definedName>
    <definedName name="Deveg5" localSheetId="14">CS!#REF!</definedName>
    <definedName name="Deveg8" localSheetId="10">INV!#REF!</definedName>
    <definedName name="Deveg8" localSheetId="14">INV!#REF!</definedName>
    <definedName name="Deveg8">INV!#REF!</definedName>
    <definedName name="devegPD" localSheetId="4">[2]PD!$G$109</definedName>
    <definedName name="DisRd14" localSheetId="4">[2]SBM!$G$109</definedName>
    <definedName name="DisRd14">SBM!$G$17</definedName>
    <definedName name="DistBigFor14">SBM!#REF!</definedName>
    <definedName name="DistBigFor15">PD!#REF!</definedName>
    <definedName name="DistBigFor20">STR!#REF!</definedName>
    <definedName name="DistCrop11">[3]AM!$G$8</definedName>
    <definedName name="DistCrop14">[3]SBM!$G$12</definedName>
    <definedName name="DistCrop15">[3]PH!$G$12</definedName>
    <definedName name="DistCrop16">[3]POL!$G$96</definedName>
    <definedName name="DistCrop20">[3]STR!$G$18</definedName>
    <definedName name="DistExceedSS" localSheetId="10">SR!#REF!</definedName>
    <definedName name="DistExceedSS" localSheetId="4">[2]SR!#REF!</definedName>
    <definedName name="DistExceedSS" localSheetId="14">SR!#REF!</definedName>
    <definedName name="DistExceedSS">SR!#REF!</definedName>
    <definedName name="DistLake12">WBF!$G$14</definedName>
    <definedName name="DistLake13">WBN!$G$17</definedName>
    <definedName name="DistOpenL12">WBF!$G$18</definedName>
    <definedName name="DistOpenL13">WBN!$G$21</definedName>
    <definedName name="DistOpenL16">POL!$G$10</definedName>
    <definedName name="DistPerCov11">AM!$G$3</definedName>
    <definedName name="DistPerCov13">WBN!$G$3</definedName>
    <definedName name="DistPerCov14">SBM!$G$3</definedName>
    <definedName name="DistPerCov15">PD!$G$3</definedName>
    <definedName name="DistPerCov15v">PD!$G$277</definedName>
    <definedName name="DistPerCov16">POL!$G$3</definedName>
    <definedName name="DistPerCov18">Sens!$G$3</definedName>
    <definedName name="DistPerCov20">STR!$G$3</definedName>
    <definedName name="DistPond11">AM!$G$10</definedName>
    <definedName name="DistPond12">WBF!$G$7</definedName>
    <definedName name="DistPond13">WBN!$G$10</definedName>
    <definedName name="DistPond14">SBM!$G$10</definedName>
    <definedName name="DistPond15">PD!$G$10</definedName>
    <definedName name="DistPond18">Sens!$G$10</definedName>
    <definedName name="DistPop10v">[3]FR!$G$107</definedName>
    <definedName name="DistPop17v">[3]PU!$G$3</definedName>
    <definedName name="DistPop20">[3]STR!$G$12</definedName>
    <definedName name="DistRd" localSheetId="4">[2]STR!$G$54</definedName>
    <definedName name="DistRd11">AM!$G$17</definedName>
    <definedName name="DistRd15" localSheetId="10">PD!#REF!</definedName>
    <definedName name="DistRd15" localSheetId="14">PD!#REF!</definedName>
    <definedName name="DistRd15">PD!$G$17</definedName>
    <definedName name="DistRd17v">PU!$G$3</definedName>
    <definedName name="DistRd20">STR!$G$10</definedName>
    <definedName name="DistRd8">[3]INV!$G$3</definedName>
    <definedName name="DistRdPD" localSheetId="4">[2]PD!$G$163</definedName>
    <definedName name="DistTidal12">WBF!$G$3</definedName>
    <definedName name="Disturb" localSheetId="10">#REF!</definedName>
    <definedName name="Disturb" localSheetId="4">#REF!</definedName>
    <definedName name="Disturb" localSheetId="14">#REF!</definedName>
    <definedName name="Disturb">#REF!</definedName>
    <definedName name="DisturbStress">STR!$G$141</definedName>
    <definedName name="Ditching1" localSheetId="10">WS!#REF!</definedName>
    <definedName name="Ditching1" localSheetId="14">WS!#REF!</definedName>
    <definedName name="Ditching1">WS!#REF!</definedName>
    <definedName name="DomDepth3" localSheetId="4">[2]PR!$G$47</definedName>
    <definedName name="DownDistExceedSS" localSheetId="10">SR!#REF!</definedName>
    <definedName name="DownDistExceedSS" localSheetId="4">[2]SR!$G$112</definedName>
    <definedName name="DownDistExceedSS" localSheetId="14">SR!#REF!</definedName>
    <definedName name="DownDistExceedSS">SR!#REF!</definedName>
    <definedName name="DownEroding" localSheetId="10">#REF!</definedName>
    <definedName name="DownEroding" localSheetId="4">#REF!</definedName>
    <definedName name="DownEroding" localSheetId="14">#REF!</definedName>
    <definedName name="DownEroding">#REF!</definedName>
    <definedName name="DownExceed" localSheetId="10">#REF!</definedName>
    <definedName name="DownExceed" localSheetId="4">#REF!</definedName>
    <definedName name="DownExceed" localSheetId="14">#REF!</definedName>
    <definedName name="DownExceed">#REF!</definedName>
    <definedName name="DownExceed2" localSheetId="10">SR!#REF!</definedName>
    <definedName name="DownExceed2" localSheetId="14">SR!#REF!</definedName>
    <definedName name="DownExceed2">SR!#REF!</definedName>
    <definedName name="DownExceedDist" localSheetId="10">#REF!</definedName>
    <definedName name="DownExceedDist" localSheetId="4">#REF!</definedName>
    <definedName name="DownExceedDist" localSheetId="14">#REF!</definedName>
    <definedName name="DownExceedDist">#REF!</definedName>
    <definedName name="DownExceedSS" localSheetId="10">SR!#REF!</definedName>
    <definedName name="DownExceedSS" localSheetId="14">SR!#REF!</definedName>
    <definedName name="DownExceedSS">SR!#REF!</definedName>
    <definedName name="DownNitrate" localSheetId="10">#REF!</definedName>
    <definedName name="DownNitrate" localSheetId="4">#REF!</definedName>
    <definedName name="DownNitrate" localSheetId="14">#REF!</definedName>
    <definedName name="DownNitrate">#REF!</definedName>
    <definedName name="DownPhos" localSheetId="10">#REF!</definedName>
    <definedName name="DownPhos" localSheetId="4">#REF!</definedName>
    <definedName name="DownPhos" localSheetId="14">#REF!</definedName>
    <definedName name="DownPhos">#REF!</definedName>
    <definedName name="DownStorage" localSheetId="10">#REF!</definedName>
    <definedName name="DownStorage" localSheetId="4">#REF!</definedName>
    <definedName name="DownStorage" localSheetId="14">#REF!</definedName>
    <definedName name="DownStorage">#REF!</definedName>
    <definedName name="DownStore1" localSheetId="10">WS!#REF!</definedName>
    <definedName name="DownStore1" localSheetId="4">[2]WS!$G$102</definedName>
    <definedName name="DownStore1" localSheetId="14">WS!#REF!</definedName>
    <definedName name="DownStore1">WS!#REF!</definedName>
    <definedName name="DownThermo" localSheetId="10">#REF!</definedName>
    <definedName name="DownThermo" localSheetId="4">#REF!</definedName>
    <definedName name="DownThermo" localSheetId="14">#REF!</definedName>
    <definedName name="DownThermo">#REF!</definedName>
    <definedName name="DownTurb" localSheetId="10">#REF!</definedName>
    <definedName name="DownTurb" localSheetId="4">#REF!</definedName>
    <definedName name="DownTurb" localSheetId="14">#REF!</definedName>
    <definedName name="DownTurb">#REF!</definedName>
    <definedName name="downwood0" localSheetId="4">[2]POL!$G$69</definedName>
    <definedName name="DownWQdis2" localSheetId="10">SR!#REF!</definedName>
    <definedName name="DownWQdis2" localSheetId="14">SR!#REF!</definedName>
    <definedName name="DownWQdis2">SR!#REF!</definedName>
    <definedName name="Dpct1Shed1" localSheetId="10">WS!#REF!</definedName>
    <definedName name="Dpct1Shed1" localSheetId="14">WS!#REF!</definedName>
    <definedName name="Dpct1Shed1">WS!#REF!</definedName>
    <definedName name="DpctDsum1Shed1" localSheetId="10">WS!#REF!</definedName>
    <definedName name="DpctDsum1Shed1" localSheetId="14">WS!#REF!</definedName>
    <definedName name="DpctDsum1Shed1">WS!#REF!</definedName>
    <definedName name="Drain1Shed1" localSheetId="10">WS!#REF!</definedName>
    <definedName name="Drain1Shed1" localSheetId="14">WS!#REF!</definedName>
    <definedName name="Drain1Shed1">WS!#REF!</definedName>
    <definedName name="Drain2shed1" localSheetId="10">WS!#REF!</definedName>
    <definedName name="Drain2shed1" localSheetId="14">WS!#REF!</definedName>
    <definedName name="Drain2shed1">WS!#REF!</definedName>
    <definedName name="Drain2shed2" localSheetId="10">WS!#REF!</definedName>
    <definedName name="Drain2shed2" localSheetId="14">WS!#REF!</definedName>
    <definedName name="Drain2shed2">WS!#REF!</definedName>
    <definedName name="Drain3Shed1" localSheetId="10">WS!#REF!</definedName>
    <definedName name="Drain3Shed1" localSheetId="14">WS!#REF!</definedName>
    <definedName name="Drain3Shed1">WS!#REF!</definedName>
    <definedName name="Drained1">WS!#REF!</definedName>
    <definedName name="Drained20">STR!#REF!</definedName>
    <definedName name="Drained6">CS!#REF!</definedName>
    <definedName name="Drained7" localSheetId="14">WC!#REF!</definedName>
    <definedName name="Drawdown12">WBF!#REF!</definedName>
    <definedName name="Drawdown13">WBN!#REF!</definedName>
    <definedName name="Drawdown15">PD!#REF!</definedName>
    <definedName name="Drawdown3" localSheetId="4">[2]PR!$G$14</definedName>
    <definedName name="Drawdown4">PR!#REF!</definedName>
    <definedName name="Drawdown5">NR!#REF!</definedName>
    <definedName name="Drawdown8">INV!#REF!</definedName>
    <definedName name="Drier" localSheetId="4">[2]STR!$G$3</definedName>
    <definedName name="Drier">STR!#REF!</definedName>
    <definedName name="drier1" localSheetId="10">WS!#REF!</definedName>
    <definedName name="drier1" localSheetId="14">WS!#REF!</definedName>
    <definedName name="drier1">WS!#REF!</definedName>
    <definedName name="drier1a" localSheetId="10">WS!#REF!</definedName>
    <definedName name="drier1a" localSheetId="14">WS!#REF!</definedName>
    <definedName name="drier1a">WS!#REF!</definedName>
    <definedName name="Drier3" localSheetId="10">PR!#REF!</definedName>
    <definedName name="Drier3" localSheetId="4">[2]PR!$G$105</definedName>
    <definedName name="Drier3" localSheetId="14">PR!#REF!</definedName>
    <definedName name="Drier3">PR!#REF!</definedName>
    <definedName name="Drier4" localSheetId="10">NR!#REF!</definedName>
    <definedName name="Drier4" localSheetId="4">[2]NR!$G$103</definedName>
    <definedName name="Drier4" localSheetId="14">NR!#REF!</definedName>
    <definedName name="Drier4">NR!#REF!</definedName>
    <definedName name="Drier5" localSheetId="4">[2]CS!$G$135</definedName>
    <definedName name="Drier5">CS!#REF!</definedName>
    <definedName name="DrierEx">STR!#REF!</definedName>
    <definedName name="DriftwoodT14">SBM!$G$253</definedName>
    <definedName name="DriftwoodT8">INV!$G$168</definedName>
    <definedName name="Drink4" localSheetId="10">NR!#REF!</definedName>
    <definedName name="Drink4" localSheetId="4">[2]NR!$G$136</definedName>
    <definedName name="Drink4" localSheetId="14">NR!#REF!</definedName>
    <definedName name="Drink4">NR!#REF!</definedName>
    <definedName name="DryIntercept">SR!$G$217</definedName>
    <definedName name="DuckDens13" localSheetId="10">WBN!#REF!</definedName>
    <definedName name="DuckDens13" localSheetId="14">WBF!#REF!</definedName>
    <definedName name="DuckDens13">WBN!#REF!</definedName>
    <definedName name="DuckDens14">[3]SBM!$G$102</definedName>
    <definedName name="DuckDens8v">[3]INV!$G$161</definedName>
    <definedName name="DuckFood" localSheetId="10">WBN!#REF!</definedName>
    <definedName name="DuckFood" localSheetId="14">WBF!#REF!</definedName>
    <definedName name="DuckFood">WBN!#REF!</definedName>
    <definedName name="DuckFood12" localSheetId="10">#REF!</definedName>
    <definedName name="DuckFood12" localSheetId="4">[2]WBF!$G$84</definedName>
    <definedName name="DuckFood12" localSheetId="14">#REF!</definedName>
    <definedName name="DuckFood12">#REF!</definedName>
    <definedName name="DuckFood13" localSheetId="10">WBN!#REF!</definedName>
    <definedName name="DuckFood13" localSheetId="4">[2]WBN!$G$93</definedName>
    <definedName name="DuckFood13" localSheetId="14">WBF!#REF!</definedName>
    <definedName name="DuckFood13">WBN!#REF!</definedName>
    <definedName name="DuckHunt">#REF!</definedName>
    <definedName name="DWsource3" localSheetId="10">PR!#REF!</definedName>
    <definedName name="DWsource3" localSheetId="14">PR!#REF!</definedName>
    <definedName name="DWsource3">PR!#REF!</definedName>
    <definedName name="DWsource5v">NR!$G$142</definedName>
    <definedName name="EdgeShape13">[3]WB!$G$8</definedName>
    <definedName name="EdgeShape14">SBM!$G$60</definedName>
    <definedName name="EdgeShape15">[3]PH!$G$8</definedName>
    <definedName name="EdgeShape18">Sens!$G$67</definedName>
    <definedName name="EdgeShape19">[3]EC!$G$3</definedName>
    <definedName name="EdgeShape20">STR!#REF!</definedName>
    <definedName name="EdgeShape5">NR!$G$3</definedName>
    <definedName name="EdgeSlopeQ">EC!#REF!</definedName>
    <definedName name="EdgeSlopeS">EC!#REF!</definedName>
    <definedName name="Elev1">WS!#REF!</definedName>
    <definedName name="Elev10">FR!$G$9</definedName>
    <definedName name="Elev11" localSheetId="14">AM!#REF!</definedName>
    <definedName name="Elev13" localSheetId="10">WBN!#REF!</definedName>
    <definedName name="Elev13" localSheetId="14">WBF!#REF!</definedName>
    <definedName name="Elev14" localSheetId="10">SBM!#REF!</definedName>
    <definedName name="Elev14" localSheetId="14">SBM!#REF!</definedName>
    <definedName name="Elev18">Sens!$G$59</definedName>
    <definedName name="Elev1v">WS!$G$100</definedName>
    <definedName name="Elev2" localSheetId="10">SR!#REF!</definedName>
    <definedName name="Elev2" localSheetId="14">SR!#REF!</definedName>
    <definedName name="Elev2v">WC!$G$70</definedName>
    <definedName name="Elev3" localSheetId="10">PR!#REF!</definedName>
    <definedName name="Elev3" localSheetId="14">PR!#REF!</definedName>
    <definedName name="Elev3v">SR!$G$145</definedName>
    <definedName name="Elev4" localSheetId="10">NR!#REF!</definedName>
    <definedName name="Elev4" localSheetId="14">NR!#REF!</definedName>
    <definedName name="Elev4v">PR!$G$173</definedName>
    <definedName name="Elev5" localSheetId="10">CS!#REF!</definedName>
    <definedName name="Elev5" localSheetId="14">CS!#REF!</definedName>
    <definedName name="Elev7">OE!$G$10</definedName>
    <definedName name="Elev9">FA!$G$32</definedName>
    <definedName name="ElevL10">[3]FR!$G$3</definedName>
    <definedName name="ElevL1v">[3]WS!$G$146</definedName>
    <definedName name="ElevL2v">[3]WC!$G$62</definedName>
    <definedName name="ElevL3v">[3]SR!$G$152</definedName>
    <definedName name="ElevL4v">[3]PR!$G$158</definedName>
    <definedName name="ElevM1v">[3]WS!$G$142</definedName>
    <definedName name="ElevM2v">[3]WC!$G$58</definedName>
    <definedName name="ElevM3v">[3]SR!$G$148</definedName>
    <definedName name="ElevM4v">[3]PR!$G$154</definedName>
    <definedName name="ElevPD" localSheetId="10">PD!#REF!</definedName>
    <definedName name="ElevPD" localSheetId="14">PD!#REF!</definedName>
    <definedName name="ElevPU" localSheetId="10">PU!#REF!</definedName>
    <definedName name="ElevPU" localSheetId="14">PU!#REF!</definedName>
    <definedName name="ElevPU">PU!#REF!</definedName>
    <definedName name="ElevS">#REF!</definedName>
    <definedName name="EmArea10" localSheetId="10">FA!#REF!</definedName>
    <definedName name="EmArea10">FR!$G$42</definedName>
    <definedName name="EmArea11">[3]AM!$G$117</definedName>
    <definedName name="EmArea12">WBF!$G$65</definedName>
    <definedName name="EmArea13">WBN!$G$86</definedName>
    <definedName name="EmArea14">SBM!$G$72</definedName>
    <definedName name="EmArea15">PD!$G$47</definedName>
    <definedName name="EmArea3">SR!$G$19</definedName>
    <definedName name="EmArea4">PR!$G$24</definedName>
    <definedName name="EmArea5">NR!#REF!</definedName>
    <definedName name="EmArea6">CS!#REF!</definedName>
    <definedName name="EmArea7">OE!$G$28</definedName>
    <definedName name="EmArea8">INV!$G$29</definedName>
    <definedName name="EmAreaT12">WBF!$G$215</definedName>
    <definedName name="EmAreaT14">SBM!$G$242</definedName>
    <definedName name="EmAreaT15">PD!$G$218</definedName>
    <definedName name="EmAreaT6">CS!#REF!</definedName>
    <definedName name="EmergArea11" localSheetId="10">AM!#REF!</definedName>
    <definedName name="EmergArea11" localSheetId="14">AM!#REF!</definedName>
    <definedName name="EmergArea11">AM!#REF!</definedName>
    <definedName name="EmPct10">FR!$G$49</definedName>
    <definedName name="EmPct11">AM!$G$76</definedName>
    <definedName name="EmPct12" localSheetId="4">[2]WBF!$G$78</definedName>
    <definedName name="EmPct12">WBF!$G$72</definedName>
    <definedName name="EmPct13" localSheetId="4">[2]WBN!$G$74</definedName>
    <definedName name="EmPct13">WBN!$G$93</definedName>
    <definedName name="EmPct14">SBM!$G$79</definedName>
    <definedName name="EmPct15">PD!$G$54</definedName>
    <definedName name="EmPct2">WC!$G$15</definedName>
    <definedName name="EmPct3">SR!$G$26</definedName>
    <definedName name="EmPct4">PR!$G$31</definedName>
    <definedName name="EmPct5">NR!$G$20</definedName>
    <definedName name="EmPct6">CS!$G$22</definedName>
    <definedName name="EmPct7">OE!$G$35</definedName>
    <definedName name="EmPct8" localSheetId="10">INV!#REF!</definedName>
    <definedName name="EmPct8" localSheetId="4">[2]INV!$G$88</definedName>
    <definedName name="EmPct8" localSheetId="14">INV!#REF!</definedName>
    <definedName name="EmPct8">INV!$G$36</definedName>
    <definedName name="EmPct9">FA!$G$56</definedName>
    <definedName name="EmSens1_C" localSheetId="4">[2]CQ!$G$37</definedName>
    <definedName name="EmSens1_S" localSheetId="4">[2]Sen!$G$62</definedName>
    <definedName name="EmSens2_C" localSheetId="10">EC!#REF!</definedName>
    <definedName name="EmSens2_C" localSheetId="4">[2]CQ!$G$46</definedName>
    <definedName name="EmSens2_C" localSheetId="14">EC!#REF!</definedName>
    <definedName name="EmSens2_C">EC!#REF!</definedName>
    <definedName name="EmSens2_S" localSheetId="10">Sens!#REF!</definedName>
    <definedName name="EmSens2_S" localSheetId="4">[2]Sen!#REF!</definedName>
    <definedName name="EmSens2_S" localSheetId="14">Sens!#REF!</definedName>
    <definedName name="EmSens2_S">Sens!#REF!</definedName>
    <definedName name="Entrain3">SR!$G$216</definedName>
    <definedName name="Erode2WS20">[3]STR!$G$84</definedName>
    <definedName name="Erode2WS4v">[3]PR!$G$111</definedName>
    <definedName name="ErodeUp20">STR!$G$65</definedName>
    <definedName name="ErodeUp3v">SR!$G$162</definedName>
    <definedName name="ErodeUp4v">PR!$G$190</definedName>
    <definedName name="ErodeWS2v">[3]SR!$G$105</definedName>
    <definedName name="Erodib_S" localSheetId="10">Sens!#REF!</definedName>
    <definedName name="Erodib_S" localSheetId="4">[2]Sen!$G$157</definedName>
    <definedName name="Erodib_S" localSheetId="14">Sens!#REF!</definedName>
    <definedName name="Erodib_S">Sens!#REF!</definedName>
    <definedName name="Eroding_C" localSheetId="10">EC!#REF!</definedName>
    <definedName name="Eroding_C" localSheetId="4">[2]CQ!#REF!</definedName>
    <definedName name="Eroding_C" localSheetId="14">EC!#REF!</definedName>
    <definedName name="Eroding_C">EC!#REF!</definedName>
    <definedName name="Eroding2" localSheetId="10">#REF!</definedName>
    <definedName name="Eroding2" localSheetId="4">#REF!</definedName>
    <definedName name="Eroding2" localSheetId="14">#REF!</definedName>
    <definedName name="Eroding2">#REF!</definedName>
    <definedName name="ErodScore3" localSheetId="10">PR!#REF!</definedName>
    <definedName name="ErodScore3" localSheetId="4">[2]PR!$G$128</definedName>
    <definedName name="ErodScore3" localSheetId="14">PR!#REF!</definedName>
    <definedName name="ErodScore3">PR!#REF!</definedName>
    <definedName name="ErosRisk2" localSheetId="10">SR!#REF!</definedName>
    <definedName name="ErosRisk2" localSheetId="14">SR!#REF!</definedName>
    <definedName name="ErosRisk2">SR!#REF!</definedName>
    <definedName name="ErosRiskS">Sens!#REF!</definedName>
    <definedName name="ESH2v">WC!$G$63</definedName>
    <definedName name="EstPosT11">AM!$G$197</definedName>
    <definedName name="EstPosT15">PD!$G$177</definedName>
    <definedName name="EstPosT4">PR!$G$108</definedName>
    <definedName name="EstPosT4v">PR!$G$231</definedName>
    <definedName name="EstPosT5">NR!$G$111</definedName>
    <definedName name="EstPosT5v">NR!$G$160</definedName>
    <definedName name="EstPosT6">CS!$G$114</definedName>
    <definedName name="EstPosT7">OE!$G$125</definedName>
    <definedName name="EstuPos1" localSheetId="10">WS!#REF!</definedName>
    <definedName name="EstuPos1" localSheetId="14">WS!#REF!</definedName>
    <definedName name="EstuPos1">WS!#REF!</definedName>
    <definedName name="EstuPos1low" localSheetId="10">WS!#REF!</definedName>
    <definedName name="EstuPos1low" localSheetId="4">[2]WS!$D$5</definedName>
    <definedName name="EstuPos1low" localSheetId="14">WS!#REF!</definedName>
    <definedName name="EstuPos1low">WS!#REF!</definedName>
    <definedName name="EstuPos1mid" localSheetId="10">WS!#REF!</definedName>
    <definedName name="EstuPos1mid" localSheetId="4">[2]WS!$D$6</definedName>
    <definedName name="EstuPos1mid" localSheetId="14">WS!#REF!</definedName>
    <definedName name="EstuPos1mid">WS!#REF!</definedName>
    <definedName name="EstuPos1up" localSheetId="10">WS!#REF!</definedName>
    <definedName name="EstuPos1up" localSheetId="14">WS!#REF!</definedName>
    <definedName name="EstuPos1up">WS!#REF!</definedName>
    <definedName name="EstuPos3" localSheetId="10">PR!#REF!</definedName>
    <definedName name="EstuPos3" localSheetId="4">[2]PR!$G$10</definedName>
    <definedName name="EstuPos3" localSheetId="14">PR!#REF!</definedName>
    <definedName name="EstuPos3">PR!#REF!</definedName>
    <definedName name="EstuPos5" localSheetId="10">CS!#REF!</definedName>
    <definedName name="EstuPos5" localSheetId="14">CS!#REF!</definedName>
    <definedName name="EstuPos5">CS!#REF!</definedName>
    <definedName name="EstuPos9" localSheetId="10">#REF!</definedName>
    <definedName name="EstuPos9" localSheetId="4">[2]FA!#REF!</definedName>
    <definedName name="EstuPos9" localSheetId="14">#REF!</definedName>
    <definedName name="EstuPos9">#REF!</definedName>
    <definedName name="EstuPosLo9" localSheetId="10">#REF!</definedName>
    <definedName name="EstuPosLo9" localSheetId="4">[2]FA!#REF!</definedName>
    <definedName name="EstuPosLo9" localSheetId="14">#REF!</definedName>
    <definedName name="EstuPosLo9">#REF!</definedName>
    <definedName name="EstuPosMid9" localSheetId="10">#REF!</definedName>
    <definedName name="EstuPosMid9" localSheetId="4">[2]FA!#REF!</definedName>
    <definedName name="EstuPosMid9" localSheetId="14">#REF!</definedName>
    <definedName name="EstuPosMid9">#REF!</definedName>
    <definedName name="EstuPosPD" localSheetId="10">PD!#REF!</definedName>
    <definedName name="EstuPosPD" localSheetId="4">[2]PD!$G$21</definedName>
    <definedName name="EstuPosPD" localSheetId="14">PD!#REF!</definedName>
    <definedName name="EstuPosPD">PD!#REF!</definedName>
    <definedName name="EstuPosUp9" localSheetId="10">#REF!</definedName>
    <definedName name="EstuPosUp9" localSheetId="4">[2]FA!#REF!</definedName>
    <definedName name="EstuPosUp9" localSheetId="14">#REF!</definedName>
    <definedName name="EstuPosUp9">#REF!</definedName>
    <definedName name="exoticmivs8" localSheetId="10">INV!#REF!</definedName>
    <definedName name="exoticmivs8" localSheetId="4">[2]INV!$G$75</definedName>
    <definedName name="exoticmivs8" localSheetId="14">INV!#REF!</definedName>
    <definedName name="exoticmivs8">INV!#REF!</definedName>
    <definedName name="Exotics" localSheetId="10">EC!#REF!</definedName>
    <definedName name="Exotics" localSheetId="4">[2]CQ!$G$13</definedName>
    <definedName name="Exotics" localSheetId="14">EC!#REF!</definedName>
    <definedName name="Exotics">EC!#REF!</definedName>
    <definedName name="ExportPot6">OE!$G$229</definedName>
    <definedName name="ExportPot7">OE!$G$229</definedName>
    <definedName name="FDam1">WS!$G$135</definedName>
    <definedName name="Fen2_">#REF!</definedName>
    <definedName name="Fen7a" localSheetId="10">WC!#REF!</definedName>
    <definedName name="Fen7a" localSheetId="14">WC!#REF!</definedName>
    <definedName name="Fen7a">WC!#REF!</definedName>
    <definedName name="Fen7w">#REF!</definedName>
    <definedName name="Fertility" localSheetId="10">Sens!#REF!</definedName>
    <definedName name="Fertility" localSheetId="14">Sens!#REF!</definedName>
    <definedName name="Fertility">Sens!#REF!</definedName>
    <definedName name="FHA4a" localSheetId="10">#REF!</definedName>
    <definedName name="FHA4a" localSheetId="4">[2]FA!#REF!</definedName>
    <definedName name="FHA4a" localSheetId="14">#REF!</definedName>
    <definedName name="FHA4a">#REF!</definedName>
    <definedName name="Fire4" localSheetId="10">NR!#REF!</definedName>
    <definedName name="Fire4" localSheetId="4">[2]NR!$G$69</definedName>
    <definedName name="Fire4" localSheetId="14">NR!#REF!</definedName>
    <definedName name="Fire4">NR!#REF!</definedName>
    <definedName name="firehay0" localSheetId="10">POL!#REF!</definedName>
    <definedName name="firehay0" localSheetId="4">[2]POL!$G$55</definedName>
    <definedName name="firehay0" localSheetId="14">POL!#REF!</definedName>
    <definedName name="firehay0">POL!#REF!</definedName>
    <definedName name="FireHay12" localSheetId="10">#REF!</definedName>
    <definedName name="FireHay12" localSheetId="4">[2]WBF!$G$90</definedName>
    <definedName name="FireHay12" localSheetId="14">#REF!</definedName>
    <definedName name="FireHay12">#REF!</definedName>
    <definedName name="FireHay13" localSheetId="10">WBN!#REF!</definedName>
    <definedName name="FireHay13" localSheetId="4">[2]WBN!$G$99</definedName>
    <definedName name="FireHay13" localSheetId="14">WBF!#REF!</definedName>
    <definedName name="FireHay13">WBN!#REF!</definedName>
    <definedName name="FireHay3" localSheetId="10">PR!#REF!</definedName>
    <definedName name="FireHay3" localSheetId="4">[2]PR!$G$75</definedName>
    <definedName name="FireHay3" localSheetId="14">PR!#REF!</definedName>
    <definedName name="FireHay3">PR!#REF!</definedName>
    <definedName name="FireHay5" localSheetId="10">CS!#REF!</definedName>
    <definedName name="FireHay5" localSheetId="4">[2]CS!$G$101</definedName>
    <definedName name="FireHay5" localSheetId="14">CS!#REF!</definedName>
    <definedName name="FireHay5">CS!#REF!</definedName>
    <definedName name="FireHay6" localSheetId="10">OE!#REF!</definedName>
    <definedName name="FireHay6" localSheetId="4">[2]OE!$G$85</definedName>
    <definedName name="FireHay6" localSheetId="14">OE!#REF!</definedName>
    <definedName name="FireHay6">OE!#REF!</definedName>
    <definedName name="FireHayPD" localSheetId="10">PD!#REF!</definedName>
    <definedName name="FireHayPD" localSheetId="4">[2]PD!$G$86</definedName>
    <definedName name="FireHayPD" localSheetId="14">PD!#REF!</definedName>
    <definedName name="FireHayPD">PD!#REF!</definedName>
    <definedName name="Fish12a">#REF!</definedName>
    <definedName name="FishAcc10">FR!$G$69</definedName>
    <definedName name="FishAcc11">AM!$G$137</definedName>
    <definedName name="FishAcc12" localSheetId="10">#REF!</definedName>
    <definedName name="FishAcc12" localSheetId="4">[2]WBF!$G$101</definedName>
    <definedName name="FishAcc12" localSheetId="14">WBF!$G$123</definedName>
    <definedName name="FishAcc12">#REF!</definedName>
    <definedName name="FishAcc13">WBN!#REF!</definedName>
    <definedName name="FishAcc8">INV!#REF!</definedName>
    <definedName name="FishAcc9">FA!$G$83</definedName>
    <definedName name="FishAccessS">#REF!</definedName>
    <definedName name="Fishing" localSheetId="10">FA!#REF!</definedName>
    <definedName name="Fishing" localSheetId="4">[2]FR!$D$111</definedName>
    <definedName name="Fishing10v">FR!$G$107</definedName>
    <definedName name="Fishing9">#REF!</definedName>
    <definedName name="FlightHaz12">WBF!#REF!</definedName>
    <definedName name="FlightHaz13">WBN!#REF!</definedName>
    <definedName name="FlightHaz20">STR!#REF!</definedName>
    <definedName name="FlightHazT12">WBF!$G$226</definedName>
    <definedName name="Floodable" localSheetId="10">#REF!</definedName>
    <definedName name="Floodable" localSheetId="4">#REF!</definedName>
    <definedName name="Floodable" localSheetId="14">#REF!</definedName>
    <definedName name="Floodable">#REF!</definedName>
    <definedName name="FloodProp1v">WS!$G$92</definedName>
    <definedName name="FlowThruFringe" localSheetId="10">F!#REF!</definedName>
    <definedName name="FlowThruFringe" localSheetId="14">F!#REF!</definedName>
    <definedName name="FlowThruFringe">F!#REF!</definedName>
    <definedName name="Fluc15">PD!$G$78</definedName>
    <definedName name="FlucMax1" localSheetId="10">WS!#REF!</definedName>
    <definedName name="FlucMax1" localSheetId="4">[2]WS!#REF!</definedName>
    <definedName name="FlucMax1" localSheetId="14">WS!#REF!</definedName>
    <definedName name="FlucMax1">WS!#REF!</definedName>
    <definedName name="FlucMax11" localSheetId="10">AM!#REF!</definedName>
    <definedName name="FlucMax11" localSheetId="14">AM!#REF!</definedName>
    <definedName name="FlucMax11">AM!#REF!</definedName>
    <definedName name="FlucMax13" localSheetId="10">WBN!#REF!</definedName>
    <definedName name="FlucMax13" localSheetId="4">[2]WBN!#REF!</definedName>
    <definedName name="FlucMax13" localSheetId="14">WBF!#REF!</definedName>
    <definedName name="FlucMax13">WBN!#REF!</definedName>
    <definedName name="FlucMax2" localSheetId="10">SR!#REF!</definedName>
    <definedName name="FlucMax2" localSheetId="4">[2]SR!#REF!</definedName>
    <definedName name="FlucMax2" localSheetId="14">SR!#REF!</definedName>
    <definedName name="FlucMax2">SR!#REF!</definedName>
    <definedName name="FlucMax3" localSheetId="10">PR!#REF!</definedName>
    <definedName name="FlucMax3" localSheetId="4">[2]PR!#REF!</definedName>
    <definedName name="FlucMax3" localSheetId="14">PR!#REF!</definedName>
    <definedName name="FlucMax3">PR!#REF!</definedName>
    <definedName name="FlucMax4" localSheetId="10">NR!#REF!</definedName>
    <definedName name="FlucMax4" localSheetId="4">[2]NR!#REF!</definedName>
    <definedName name="FlucMax4" localSheetId="14">NR!#REF!</definedName>
    <definedName name="FlucMax4">NR!#REF!</definedName>
    <definedName name="FlucMax5" localSheetId="10">CS!#REF!</definedName>
    <definedName name="FlucMax5" localSheetId="4">[2]CS!#REF!</definedName>
    <definedName name="FlucMax5" localSheetId="14">CS!#REF!</definedName>
    <definedName name="FlucMax5">CS!#REF!</definedName>
    <definedName name="FlucMax6" localSheetId="10">OE!#REF!</definedName>
    <definedName name="FlucMax6" localSheetId="4">[2]OE!#REF!</definedName>
    <definedName name="FlucMax6" localSheetId="14">OE!#REF!</definedName>
    <definedName name="FlucMax6">OE!#REF!</definedName>
    <definedName name="FlucMost2" localSheetId="10">SR!#REF!</definedName>
    <definedName name="FlucMost2" localSheetId="4">[2]SR!#REF!</definedName>
    <definedName name="FlucMost2" localSheetId="14">SR!#REF!</definedName>
    <definedName name="FlucMost2">SR!#REF!</definedName>
    <definedName name="Fluctu1">WS!$G$42</definedName>
    <definedName name="Fluctu11" localSheetId="4">[2]AM!$G$37</definedName>
    <definedName name="Fluctu11">AM!$G$126</definedName>
    <definedName name="Fluctu12">WBF!#REF!</definedName>
    <definedName name="Fluctu13" localSheetId="4">[2]WBN!$G$30</definedName>
    <definedName name="Fluctu13">WBN!$G$160</definedName>
    <definedName name="Fluctu3" localSheetId="4">[2]PR!$G$41</definedName>
    <definedName name="Fluctu3">SR!$G$39</definedName>
    <definedName name="Fluctu3v">SR!#REF!</definedName>
    <definedName name="Fluctu4" localSheetId="4">[2]NR!$G$37</definedName>
    <definedName name="Fluctu4">PR!$G$53</definedName>
    <definedName name="Fluctu5" localSheetId="4">[2]CS!$G$41</definedName>
    <definedName name="Fluctu5">NR!$G$43</definedName>
    <definedName name="Fluctu6" localSheetId="4">[2]OE!$G$42</definedName>
    <definedName name="Fluctu6">CS!$G$42</definedName>
    <definedName name="Fluctu7">OE!$G$62</definedName>
    <definedName name="Fluctu8" localSheetId="4">[2]INV!$G$47</definedName>
    <definedName name="Fluctu8">INV!$G$61</definedName>
    <definedName name="Fluctua1" localSheetId="4">[2]WS!$G$42</definedName>
    <definedName name="FocalSp14" localSheetId="10">SBM!#REF!</definedName>
    <definedName name="FocalSp14" localSheetId="14">SBM!#REF!</definedName>
    <definedName name="FocalSp14">SBM!#REF!</definedName>
    <definedName name="Food8" localSheetId="10">INV!#REF!</definedName>
    <definedName name="Food8" localSheetId="14">INV!#REF!</definedName>
    <definedName name="Food8">INV!#REF!</definedName>
    <definedName name="Forb16">POL!$G$43</definedName>
    <definedName name="ForbT16">POL!$G$119</definedName>
    <definedName name="ForestPct14">SBM!$G$38</definedName>
    <definedName name="ForestPct20">STR!$G$31</definedName>
    <definedName name="ForestPct9">FA!$G$9</definedName>
    <definedName name="ForestPctScape11" localSheetId="10">AM!#REF!</definedName>
    <definedName name="ForestPctScape11" localSheetId="14">AM!#REF!</definedName>
    <definedName name="ForestPctScape11">AM!#REF!</definedName>
    <definedName name="ForestPctScape14" localSheetId="10">SBM!#REF!</definedName>
    <definedName name="ForestPctScape14" localSheetId="4">[2]SBM!$G$116</definedName>
    <definedName name="ForestPctScape14" localSheetId="14">SBM!#REF!</definedName>
    <definedName name="ForestPctScape14">SBM!#REF!</definedName>
    <definedName name="ForestProx11" localSheetId="10">AM!#REF!</definedName>
    <definedName name="ForestProx11" localSheetId="14">AM!#REF!</definedName>
    <definedName name="ForestProx11">AM!#REF!</definedName>
    <definedName name="ForestProx14" localSheetId="10">SBM!#REF!</definedName>
    <definedName name="ForestProx14" localSheetId="4">[2]SBM!$G$122</definedName>
    <definedName name="ForestProx14" localSheetId="14">SBM!#REF!</definedName>
    <definedName name="ForestProx14">SBM!#REF!</definedName>
    <definedName name="ForestSize11" localSheetId="10">AM!#REF!</definedName>
    <definedName name="ForestSize11" localSheetId="14">AM!#REF!</definedName>
    <definedName name="ForestSize11">AM!#REF!</definedName>
    <definedName name="ForestSize14" localSheetId="10">SBM!#REF!</definedName>
    <definedName name="ForestSize14" localSheetId="4">[2]SBM!$G$127</definedName>
    <definedName name="ForestSize14" localSheetId="14">SBM!#REF!</definedName>
    <definedName name="ForestSize14">SBM!#REF!</definedName>
    <definedName name="Freeze_S" localSheetId="10">Sens!#REF!</definedName>
    <definedName name="Freeze_S" localSheetId="4">[2]Sen!$G$115</definedName>
    <definedName name="Freeze_S" localSheetId="14">Sens!#REF!</definedName>
    <definedName name="Freeze1" localSheetId="10">WS!#REF!</definedName>
    <definedName name="Freeze1" localSheetId="14">WS!#REF!</definedName>
    <definedName name="Freeze1">WS!#REF!</definedName>
    <definedName name="Freeze10" localSheetId="10">FA!#REF!</definedName>
    <definedName name="Freeze12" localSheetId="10">#REF!</definedName>
    <definedName name="Freeze12" localSheetId="4">[2]WBF!$D$71</definedName>
    <definedName name="Freeze12" localSheetId="14">#REF!</definedName>
    <definedName name="Freeze2" localSheetId="10">SR!#REF!</definedName>
    <definedName name="Freeze2" localSheetId="4">[2]SR!#REF!</definedName>
    <definedName name="Freeze2" localSheetId="14">SR!#REF!</definedName>
    <definedName name="Freeze2">SR!#REF!</definedName>
    <definedName name="Freeze3" localSheetId="4">[2]PR!$G$73</definedName>
    <definedName name="Freeze4" localSheetId="10">NR!#REF!</definedName>
    <definedName name="Freeze4" localSheetId="4">[2]NR!$G$101</definedName>
    <definedName name="Freeze4" localSheetId="14">NR!#REF!</definedName>
    <definedName name="Freeze5" localSheetId="10">CS!#REF!</definedName>
    <definedName name="Freeze5" localSheetId="4">[2]CS!$G$81</definedName>
    <definedName name="Freeze5" localSheetId="14">CS!#REF!</definedName>
    <definedName name="Freeze6" localSheetId="4">[2]OE!$G$78</definedName>
    <definedName name="Freeze9" localSheetId="10">#REF!</definedName>
    <definedName name="Freeze9" localSheetId="4">[2]FA!#REF!</definedName>
    <definedName name="Freeze9" localSheetId="14">#REF!</definedName>
    <definedName name="FreezeDura3" localSheetId="10">PR!#REF!</definedName>
    <definedName name="FreezeDura3" localSheetId="14">PR!#REF!</definedName>
    <definedName name="FreezeProne" localSheetId="10">#REF!</definedName>
    <definedName name="FreezeProne" localSheetId="4">#REF!</definedName>
    <definedName name="FreezeProne" localSheetId="14">#REF!</definedName>
    <definedName name="FreezeProne">#REF!</definedName>
    <definedName name="Freezing" localSheetId="10">WS!#REF!</definedName>
    <definedName name="Freezing" localSheetId="14">WS!#REF!</definedName>
    <definedName name="Freezing">WS!#REF!</definedName>
    <definedName name="Fresh11" localSheetId="10">AM!#REF!</definedName>
    <definedName name="Fresh11" localSheetId="14">AM!#REF!</definedName>
    <definedName name="Fresh11">AM!#REF!</definedName>
    <definedName name="FreshW">F!$D$143</definedName>
    <definedName name="Friction">WS!$G$132</definedName>
    <definedName name="Fringe1" localSheetId="10">WS!#REF!</definedName>
    <definedName name="Fringe1" localSheetId="4">[2]WS!$G$3</definedName>
    <definedName name="Fringe1" localSheetId="14">WS!#REF!</definedName>
    <definedName name="Fringe1">WS!#REF!</definedName>
    <definedName name="Fringe10" localSheetId="10">FA!#REF!</definedName>
    <definedName name="Fringe10" localSheetId="4">[2]FR!$D$3</definedName>
    <definedName name="Fringe10" localSheetId="14">FR!#REF!</definedName>
    <definedName name="Fringe10">FR!#REF!</definedName>
    <definedName name="Fringe11">AM!#REF!</definedName>
    <definedName name="Fringe12" localSheetId="10">#REF!</definedName>
    <definedName name="Fringe12" localSheetId="4">[2]WBF!$D$3</definedName>
    <definedName name="Fringe12" localSheetId="14">WBF!#REF!</definedName>
    <definedName name="Fringe12">#REF!</definedName>
    <definedName name="Fringe12a" localSheetId="10">#REF!</definedName>
    <definedName name="Fringe12a" localSheetId="14">#REF!</definedName>
    <definedName name="Fringe12a">#REF!</definedName>
    <definedName name="Fringe13">WBN!#REF!</definedName>
    <definedName name="Fringe14" localSheetId="10">SBM!#REF!</definedName>
    <definedName name="Fringe14" localSheetId="14">SBM!#REF!</definedName>
    <definedName name="Fringe14">SBM!#REF!</definedName>
    <definedName name="Fringe17v">PU!#REF!</definedName>
    <definedName name="Fringe2" localSheetId="10">SR!#REF!</definedName>
    <definedName name="Fringe2" localSheetId="4">[2]SR!#REF!</definedName>
    <definedName name="Fringe2" localSheetId="14">SR!#REF!</definedName>
    <definedName name="Fringe2">WC!#REF!</definedName>
    <definedName name="Fringe7a" localSheetId="10">WC!#REF!</definedName>
    <definedName name="Fringe7a" localSheetId="14">WC!#REF!</definedName>
    <definedName name="Fringe7a">WC!#REF!</definedName>
    <definedName name="Fringe7b" localSheetId="10">WC!#REF!</definedName>
    <definedName name="Fringe7b" localSheetId="14">WC!#REF!</definedName>
    <definedName name="Fringe7b">WC!#REF!</definedName>
    <definedName name="Fringe9" localSheetId="10">FA!#REF!</definedName>
    <definedName name="Fringe9" localSheetId="14">#REF!</definedName>
    <definedName name="Fringe9">#REF!</definedName>
    <definedName name="FringeWet">F!#REF!</definedName>
    <definedName name="FrozDur7">OE!$G$226</definedName>
    <definedName name="Frozen2" localSheetId="10">SR!#REF!</definedName>
    <definedName name="Frozen2" localSheetId="14">SR!#REF!</definedName>
    <definedName name="Frozen2">SR!#REF!</definedName>
    <definedName name="FscoreAM8v">INV!$G$205</definedName>
    <definedName name="FscoreFR8v">INV!$G$204</definedName>
    <definedName name="FscoreSBM">SBM!$G$313</definedName>
    <definedName name="FscoreSBM8v">INV!$G$208</definedName>
    <definedName name="FscoreWB">[3]WB!$G$303</definedName>
    <definedName name="FscoreWB11v">[3]AM!$G$277</definedName>
    <definedName name="FscoreWB8v">[3]INV!$G$175</definedName>
    <definedName name="FscoreWB9v">[3]FR!$G$119</definedName>
    <definedName name="FscoreWBF">WBF!$G$269</definedName>
    <definedName name="FscoreWBF11v">AM!$G$279</definedName>
    <definedName name="FscoreWBF8v">INV!$G$206</definedName>
    <definedName name="FscoreWBF9v">FA!$G$217</definedName>
    <definedName name="FscoreWBFv10">FR!$G$108</definedName>
    <definedName name="FscoreWBN8v">INV!$G$207</definedName>
    <definedName name="Gcover_S" localSheetId="4">[2]Sen!$G$105</definedName>
    <definedName name="gcover0" localSheetId="4">[2]POL!$G$64</definedName>
    <definedName name="Gcover1">WS!$G$73</definedName>
    <definedName name="Gcover11" localSheetId="10">AM!#REF!</definedName>
    <definedName name="Gcover11" localSheetId="4">[2]AM!$G$93</definedName>
    <definedName name="Gcover11" localSheetId="14">AM!#REF!</definedName>
    <definedName name="Gcover11">AM!$G$174</definedName>
    <definedName name="Gcover14" localSheetId="4">[2]SBM!$G$57</definedName>
    <definedName name="Gcover14">SBM!$G$178</definedName>
    <definedName name="Gcover16">POL!$G$86</definedName>
    <definedName name="Gcover18">Sens!$G$166</definedName>
    <definedName name="Gcover18a">Sens!$G$165</definedName>
    <definedName name="Gcover19">EC!$G$38</definedName>
    <definedName name="Gcover2" localSheetId="4">[2]SR!$G$56</definedName>
    <definedName name="Gcover2">WC!$G$54</definedName>
    <definedName name="Gcover3" localSheetId="4">[2]PR!$G$81</definedName>
    <definedName name="Gcover3">SR!$G$77</definedName>
    <definedName name="Gcover4" localSheetId="4">[2]NR!$G$75</definedName>
    <definedName name="Gcover4">PR!$G$84</definedName>
    <definedName name="Gcover5" localSheetId="4">[2]CS!$G$107</definedName>
    <definedName name="Gcover5">NR!$G$87</definedName>
    <definedName name="Gcover6" localSheetId="4">[2]OE!$G$91</definedName>
    <definedName name="Gcover6">CS!$G$94</definedName>
    <definedName name="Gcover7">OE!$G$106</definedName>
    <definedName name="Gcover8" localSheetId="4">[2]INV!$G$103</definedName>
    <definedName name="Gcover8">INV!$G$110</definedName>
    <definedName name="GcoverT14">SBM!$G$271</definedName>
    <definedName name="GcoverT18">Sens!$G$229</definedName>
    <definedName name="GcoverT18a">Sens!$G$228</definedName>
    <definedName name="GcoverT3">SR!$G$121</definedName>
    <definedName name="GcoverT4">PR!$G$144</definedName>
    <definedName name="GcoverT5">NR!$G$135</definedName>
    <definedName name="GcoverT6">CS!$G$158</definedName>
    <definedName name="GcoverT7">OE!$G$217</definedName>
    <definedName name="GcoverT8">INV!$G$176</definedName>
    <definedName name="GDD_S" localSheetId="10">Sens!#REF!</definedName>
    <definedName name="GDD_S" localSheetId="14">Sens!#REF!</definedName>
    <definedName name="GDD_S">Sens!#REF!</definedName>
    <definedName name="GDD2_">#REF!</definedName>
    <definedName name="GDD2v">WC!$G$97</definedName>
    <definedName name="GDDpd" localSheetId="10">PD!#REF!</definedName>
    <definedName name="GDDpd" localSheetId="14">PD!#REF!</definedName>
    <definedName name="GDDpd">PD!#REF!</definedName>
    <definedName name="Geog11" localSheetId="10">AM!#REF!</definedName>
    <definedName name="Geog11" localSheetId="14">AM!#REF!</definedName>
    <definedName name="Geog11">AM!#REF!</definedName>
    <definedName name="GeogPD" localSheetId="10">PD!#REF!</definedName>
    <definedName name="GeogPD" localSheetId="14">PD!#REF!</definedName>
    <definedName name="GeogPD">PD!#REF!</definedName>
    <definedName name="Geography12" localSheetId="10">#REF!</definedName>
    <definedName name="Geography12" localSheetId="14">#REF!</definedName>
    <definedName name="Geography12">#REF!</definedName>
    <definedName name="Geography14" localSheetId="10">SBM!#REF!</definedName>
    <definedName name="Geography14" localSheetId="14">SBM!#REF!</definedName>
    <definedName name="Geography14">SBM!#REF!</definedName>
    <definedName name="girreg0" localSheetId="4">[2]POL!$G$72</definedName>
    <definedName name="Girreg1">WS!$G$79</definedName>
    <definedName name="Girreg11">AM!$G$180</definedName>
    <definedName name="Girreg14" localSheetId="4">[2]SBM!$G$72</definedName>
    <definedName name="Girreg14">SBM!$G$184</definedName>
    <definedName name="Girreg15">PD!$G$146</definedName>
    <definedName name="Girreg16">POL!$G$92</definedName>
    <definedName name="Girreg19">EC!$G$44</definedName>
    <definedName name="Girreg2" localSheetId="4">[2]SR!$G$61</definedName>
    <definedName name="Girreg3" localSheetId="4">[2]PR!$G$91</definedName>
    <definedName name="Girreg3">SR!$G$83</definedName>
    <definedName name="Girreg4" localSheetId="4">[2]NR!$G$92</definedName>
    <definedName name="Girreg4">PR!$G$90</definedName>
    <definedName name="Girreg5" localSheetId="10">CS!#REF!</definedName>
    <definedName name="Girreg5" localSheetId="4">[2]CS!$G$117</definedName>
    <definedName name="Girreg5" localSheetId="14">CS!#REF!</definedName>
    <definedName name="Girreg5">NR!$G$93</definedName>
    <definedName name="Girreg6" localSheetId="10">OE!#REF!</definedName>
    <definedName name="Girreg6" localSheetId="4">[2]OE!$G$101</definedName>
    <definedName name="Girreg6" localSheetId="14">OE!#REF!</definedName>
    <definedName name="Girreg6">OE!#REF!</definedName>
    <definedName name="Girreg8" localSheetId="4">[2]INV!$G$111</definedName>
    <definedName name="Girreg8">INV!$G$116</definedName>
    <definedName name="GirregPD" localSheetId="4">[2]PD!$G$100</definedName>
    <definedName name="GirregT15">PD!$G$254</definedName>
    <definedName name="GISscoreAMv">AM!$G$260</definedName>
    <definedName name="GISscoreFishV">FA!$G$210</definedName>
    <definedName name="GISscoreINVv">INV!$G$194</definedName>
    <definedName name="GISscoreNR5v">NR!#REF!</definedName>
    <definedName name="GISscorePRv">PR!$G$157</definedName>
    <definedName name="GISscoreSRv">SR!$G$129</definedName>
    <definedName name="GISscoreWBv">WBN!$G$227</definedName>
    <definedName name="GISscoreWCv">WC!$G$62</definedName>
    <definedName name="GISscoreWS">WS!$D$89</definedName>
    <definedName name="GISscoreWSv">WS!$G$89</definedName>
    <definedName name="GISstressScoreV">PD!#REF!</definedName>
    <definedName name="Glacier1" localSheetId="10">WS!#REF!</definedName>
    <definedName name="Glacier1" localSheetId="14">WS!#REF!</definedName>
    <definedName name="Glacier1">WS!#REF!</definedName>
    <definedName name="Glacier10" localSheetId="10">FA!#REF!</definedName>
    <definedName name="Glacier10" localSheetId="14">FR!#REF!</definedName>
    <definedName name="Glacier10">FR!#REF!</definedName>
    <definedName name="Glacier11" localSheetId="10">AM!#REF!</definedName>
    <definedName name="Glacier11" localSheetId="14">AM!#REF!</definedName>
    <definedName name="Glacier11">AM!#REF!</definedName>
    <definedName name="Glacier2" localSheetId="10">SR!#REF!</definedName>
    <definedName name="Glacier2" localSheetId="14">SR!#REF!</definedName>
    <definedName name="Glacier2">SR!#REF!</definedName>
    <definedName name="glacier2_" localSheetId="10">#REF!</definedName>
    <definedName name="glacier2_" localSheetId="14">#REF!</definedName>
    <definedName name="glacier2_">#REF!</definedName>
    <definedName name="Glacier3" localSheetId="10">PR!#REF!</definedName>
    <definedName name="Glacier3" localSheetId="14">PR!#REF!</definedName>
    <definedName name="Glacier3">PR!#REF!</definedName>
    <definedName name="Glacier5" localSheetId="10">CS!#REF!</definedName>
    <definedName name="Glacier5" localSheetId="14">CS!#REF!</definedName>
    <definedName name="Glacier5">CS!#REF!</definedName>
    <definedName name="Glacier6" localSheetId="10">OE!#REF!</definedName>
    <definedName name="Glacier6" localSheetId="14">OE!#REF!</definedName>
    <definedName name="Glacier6">OE!#REF!</definedName>
    <definedName name="Glacier7" localSheetId="10">WC!#REF!</definedName>
    <definedName name="Glacier7" localSheetId="14">WC!#REF!</definedName>
    <definedName name="Glacier7">WC!#REF!</definedName>
    <definedName name="Glacier7w" localSheetId="10">#REF!</definedName>
    <definedName name="Glacier7w" localSheetId="14">#REF!</definedName>
    <definedName name="Glacier7w">#REF!</definedName>
    <definedName name="Glacier8" localSheetId="10">INV!#REF!</definedName>
    <definedName name="Glacier8" localSheetId="14">INV!#REF!</definedName>
    <definedName name="Glacier8">INV!#REF!</definedName>
    <definedName name="Glacier9">#REF!</definedName>
    <definedName name="GlacierPD" localSheetId="10">PD!#REF!</definedName>
    <definedName name="GlacierPD" localSheetId="14">PD!#REF!</definedName>
    <definedName name="GlacierPD">PD!#REF!</definedName>
    <definedName name="Gradient1">WS!$G$63</definedName>
    <definedName name="Gradient11">AM!$G$142</definedName>
    <definedName name="Gradient12" localSheetId="4">[2]WBF!$G$96</definedName>
    <definedName name="Gradient12">WBF!$G$129</definedName>
    <definedName name="Gradient13" localSheetId="4">[2]WBN!$G$108</definedName>
    <definedName name="Gradient13">WBN!$G$172</definedName>
    <definedName name="Gradient3" localSheetId="4">[2]PR!$G$95</definedName>
    <definedName name="Gradient3">SR!$G$66</definedName>
    <definedName name="Gradient4" localSheetId="10">NR!#REF!</definedName>
    <definedName name="Gradient4" localSheetId="14">NR!#REF!</definedName>
    <definedName name="Gradient4">PR!$G$79</definedName>
    <definedName name="Gradient5" localSheetId="10">CS!#REF!</definedName>
    <definedName name="Gradient5" localSheetId="14">CS!#REF!</definedName>
    <definedName name="Gradient5">NR!$G$70</definedName>
    <definedName name="Gradient6" localSheetId="10">OE!#REF!</definedName>
    <definedName name="Gradient6" localSheetId="14">OE!#REF!</definedName>
    <definedName name="Gradient6">CS!$G$68</definedName>
    <definedName name="Gradient7">OE!$G$89</definedName>
    <definedName name="GradientT7">OE!$G$157</definedName>
    <definedName name="gramin0" localSheetId="4">[2]POL!$G$18</definedName>
    <definedName name="Granite10" localSheetId="10">FA!#REF!</definedName>
    <definedName name="Granite10" localSheetId="14">FR!#REF!</definedName>
    <definedName name="Granite10">FR!#REF!</definedName>
    <definedName name="Granite11" localSheetId="10">AM!#REF!</definedName>
    <definedName name="Granite11" localSheetId="14">AM!#REF!</definedName>
    <definedName name="Granite11">AM!#REF!</definedName>
    <definedName name="Granite4" localSheetId="10">NR!#REF!</definedName>
    <definedName name="Granite4" localSheetId="14">NR!#REF!</definedName>
    <definedName name="Granite4">NR!#REF!</definedName>
    <definedName name="Granite5" localSheetId="10">CS!#REF!</definedName>
    <definedName name="Granite5" localSheetId="14">CS!#REF!</definedName>
    <definedName name="Granite5">CS!#REF!</definedName>
    <definedName name="Granite6" localSheetId="10">OE!#REF!</definedName>
    <definedName name="Granite6" localSheetId="14">OE!#REF!</definedName>
    <definedName name="Granite6">OE!#REF!</definedName>
    <definedName name="Granite7" localSheetId="10">INV!#REF!</definedName>
    <definedName name="Granite7" localSheetId="14">INV!#REF!</definedName>
    <definedName name="Granite7">INV!#REF!</definedName>
    <definedName name="GranitePD" localSheetId="10">PD!#REF!</definedName>
    <definedName name="GranitePD" localSheetId="14">PD!#REF!</definedName>
    <definedName name="GranitePD">PD!#REF!</definedName>
    <definedName name="GraniteSoilPD" localSheetId="10">PD!#REF!</definedName>
    <definedName name="GraniteSoilPD" localSheetId="14">PD!#REF!</definedName>
    <definedName name="GraniteSoilPD">PD!#REF!</definedName>
    <definedName name="groundw0" localSheetId="10">POL!#REF!</definedName>
    <definedName name="groundw0" localSheetId="4">[2]POL!#REF!</definedName>
    <definedName name="groundw0" localSheetId="14">POL!#REF!</definedName>
    <definedName name="groundw0">POL!#REF!</definedName>
    <definedName name="Groundw1">WS!$G$68</definedName>
    <definedName name="Groundw10">FR!$G$84</definedName>
    <definedName name="GroundW11" localSheetId="10">AM!#REF!</definedName>
    <definedName name="GroundW11" localSheetId="4">[2]AM!$G$49</definedName>
    <definedName name="GroundW11" localSheetId="14">AM!#REF!</definedName>
    <definedName name="GroundW11">AM!#REF!</definedName>
    <definedName name="Groundw13" localSheetId="10">WBN!#REF!</definedName>
    <definedName name="Groundw13" localSheetId="4">[2]WBN!#REF!</definedName>
    <definedName name="Groundw13" localSheetId="14">WBF!#REF!</definedName>
    <definedName name="Groundw13">WBN!#REF!</definedName>
    <definedName name="Groundw15">PD!$G$97</definedName>
    <definedName name="Groundw2">WC!$G$42</definedName>
    <definedName name="Groundw2_">#REF!</definedName>
    <definedName name="Groundw3" localSheetId="10">PR!#REF!</definedName>
    <definedName name="Groundw3" localSheetId="14">PR!#REF!</definedName>
    <definedName name="Groundw3">PR!#REF!</definedName>
    <definedName name="Groundw4" localSheetId="4">[2]NR!$G$44</definedName>
    <definedName name="GroundW5" localSheetId="4">[2]CS!$G$53</definedName>
    <definedName name="Groundw5">NR!$G$75</definedName>
    <definedName name="Groundw6">CS!$G$73</definedName>
    <definedName name="Groundw7">OE!$G$94</definedName>
    <definedName name="GroundW8" localSheetId="4">[2]INV!$G$64</definedName>
    <definedName name="Groundw8">INV!$G$79</definedName>
    <definedName name="GroundW9" localSheetId="4">[2]FA!$G$45</definedName>
    <definedName name="Groundw9">FA!$G$99</definedName>
    <definedName name="GroundwCooling" localSheetId="10">WC!#REF!</definedName>
    <definedName name="GroundwCooling" localSheetId="14">WC!#REF!</definedName>
    <definedName name="GroundwCooling">WC!#REF!</definedName>
    <definedName name="GroundwDisch">#REF!</definedName>
    <definedName name="GroundwLF">#REF!</definedName>
    <definedName name="GroundwWarming">#REF!</definedName>
    <definedName name="GrowthRate">Sens!$G$244</definedName>
    <definedName name="Gwater7" localSheetId="4">[2]T!$G$19</definedName>
    <definedName name="Gwater7w">#REF!</definedName>
    <definedName name="GWrisk4" localSheetId="10">NR!#REF!</definedName>
    <definedName name="GWrisk4" localSheetId="4">[2]NR!$G$139</definedName>
    <definedName name="GWrisk4" localSheetId="14">NR!#REF!</definedName>
    <definedName name="GWrisk4">NR!#REF!</definedName>
    <definedName name="GWrisk5">NR!$G$146</definedName>
    <definedName name="GWrisk5v">[3]NR!$G$108</definedName>
    <definedName name="GWval7" localSheetId="10">WC!#REF!</definedName>
    <definedName name="GWval7" localSheetId="4">[2]T!#REF!</definedName>
    <definedName name="GWval7" localSheetId="14">WC!#REF!</definedName>
    <definedName name="GWval7">WC!#REF!</definedName>
    <definedName name="Hardwd14" localSheetId="10">SBM!#REF!</definedName>
    <definedName name="Hardwd14" localSheetId="14">SBM!#REF!</definedName>
    <definedName name="Hardwd14">SBM!#REF!</definedName>
    <definedName name="HardwdPD" localSheetId="10">PD!#REF!</definedName>
    <definedName name="HardwdPD" localSheetId="14">PD!#REF!</definedName>
    <definedName name="HardwdPD">PD!#REF!</definedName>
    <definedName name="Hardwood8" localSheetId="10">INV!#REF!</definedName>
    <definedName name="Hardwood8" localSheetId="14">INV!#REF!</definedName>
    <definedName name="Hardwood8">INV!#REF!</definedName>
    <definedName name="Harvested" localSheetId="10">#REF!</definedName>
    <definedName name="Harvested" localSheetId="4">#REF!</definedName>
    <definedName name="Harvested" localSheetId="14">#REF!</definedName>
    <definedName name="Harvested">#REF!</definedName>
    <definedName name="HasWater5" localSheetId="10">CS!#REF!</definedName>
    <definedName name="HasWater5" localSheetId="14">CS!#REF!</definedName>
    <definedName name="HasWater5">CS!#REF!</definedName>
    <definedName name="Headwater">[3]OF!$E$145</definedName>
    <definedName name="Headwater9">FA!$D$33</definedName>
    <definedName name="herb1pd" localSheetId="4">[2]PD!$G$60</definedName>
    <definedName name="herb2pd" localSheetId="10">PD!#REF!</definedName>
    <definedName name="herb2pd" localSheetId="4">[2]PD!$G$69</definedName>
    <definedName name="herb2pd" localSheetId="14">PD!#REF!</definedName>
    <definedName name="herb2pd">PD!#REF!</definedName>
    <definedName name="HerbCov1" localSheetId="10">WS!#REF!</definedName>
    <definedName name="HerbCov1" localSheetId="14">WS!#REF!</definedName>
    <definedName name="HerbCov1">WS!#REF!</definedName>
    <definedName name="HerbDom12">WBF!$G$140</definedName>
    <definedName name="HerbDom13">WBN!#REF!</definedName>
    <definedName name="HerbDom14">SBM!$G$121</definedName>
    <definedName name="HerbDom15">PD!$G$102</definedName>
    <definedName name="HerbDom16">POL!$G$49</definedName>
    <definedName name="HerbDom18">Sens!$G$121</definedName>
    <definedName name="HerbDom18a">Sens!$G$120</definedName>
    <definedName name="HerbDom19">EC!$G$24</definedName>
    <definedName name="HerbDom2" localSheetId="4">[2]Sen!$G$68</definedName>
    <definedName name="HerbDom8">INV!$G$84</definedName>
    <definedName name="HerbExpos12">WBF!$G$134</definedName>
    <definedName name="HerbExpos13">WBN!$G$177</definedName>
    <definedName name="HerbExpos14">SBM!#REF!</definedName>
    <definedName name="HerbExpos16">[3]POL!$G$25</definedName>
    <definedName name="herblt50" localSheetId="10">POL!#REF!</definedName>
    <definedName name="herblt50" localSheetId="14">POL!#REF!</definedName>
    <definedName name="herblt50">POL!#REF!</definedName>
    <definedName name="herbpct0" localSheetId="10">POL!#REF!</definedName>
    <definedName name="herbpct0" localSheetId="14">POL!#REF!</definedName>
    <definedName name="herbpct0">POL!#REF!</definedName>
    <definedName name="herbrare0" localSheetId="10">POL!#REF!</definedName>
    <definedName name="herbrare0" localSheetId="4">[2]POL!$G$31</definedName>
    <definedName name="herbrare0" localSheetId="14">POL!#REF!</definedName>
    <definedName name="herbrare0">POL!#REF!</definedName>
    <definedName name="herbsens0" localSheetId="4">[2]POL!$G$22</definedName>
    <definedName name="HerbSens2_S" localSheetId="10">Sens!#REF!</definedName>
    <definedName name="HerbSens2_S" localSheetId="4">[2]Sen!$G$71</definedName>
    <definedName name="HerbSens2_S" localSheetId="14">Sens!#REF!</definedName>
    <definedName name="HerbSens2_S">Sens!#REF!</definedName>
    <definedName name="HerbUbiq1" localSheetId="10">EC!#REF!</definedName>
    <definedName name="HerbUbiq1" localSheetId="14">EC!#REF!</definedName>
    <definedName name="HerbUbiq1">EC!#REF!</definedName>
    <definedName name="HiElev" localSheetId="10">#REF!</definedName>
    <definedName name="HiElev" localSheetId="14">#REF!</definedName>
    <definedName name="HiElev">#REF!</definedName>
    <definedName name="HistAccum6">CS!$G$177</definedName>
    <definedName name="HistAccum7">OE!$G$224</definedName>
    <definedName name="HistDry12" localSheetId="4">[2]WBF!$G$18</definedName>
    <definedName name="HistDry12">#REF!</definedName>
    <definedName name="HistDry13" localSheetId="4">[2]WBN!$G$10</definedName>
    <definedName name="HistDry4" localSheetId="10">NR!#REF!</definedName>
    <definedName name="HistDry4" localSheetId="4">[2]NR!#REF!</definedName>
    <definedName name="HistDry4" localSheetId="14">NR!#REF!</definedName>
    <definedName name="HistDry4">NR!#REF!</definedName>
    <definedName name="HistDry5" localSheetId="10">CS!#REF!</definedName>
    <definedName name="HistDry5" localSheetId="4">[2]CS!$G$15</definedName>
    <definedName name="HistDry5" localSheetId="14">CS!#REF!</definedName>
    <definedName name="HistDry5">CS!#REF!</definedName>
    <definedName name="HistOpenland">F!$D$219</definedName>
    <definedName name="HistVeg10">FR!#REF!</definedName>
    <definedName name="HistVeg14">SBM!#REF!</definedName>
    <definedName name="HistVeg9">FA!#REF!</definedName>
    <definedName name="HistWet11" localSheetId="10">AM!#REF!</definedName>
    <definedName name="HistWet11" localSheetId="14">AM!#REF!</definedName>
    <definedName name="HistWet11">AM!#REF!</definedName>
    <definedName name="HistWet12" localSheetId="10">#REF!</definedName>
    <definedName name="HistWet12" localSheetId="4">[2]WBF!#REF!</definedName>
    <definedName name="HistWet12" localSheetId="14">#REF!</definedName>
    <definedName name="HistWet12">#REF!</definedName>
    <definedName name="HistWet13" localSheetId="10">WBN!#REF!</definedName>
    <definedName name="HistWet13" localSheetId="4">[2]WBN!#REF!</definedName>
    <definedName name="HistWet13" localSheetId="14">WBF!#REF!</definedName>
    <definedName name="HistWet13">WBN!#REF!</definedName>
    <definedName name="HistWet3" localSheetId="10">PR!#REF!</definedName>
    <definedName name="HistWet3" localSheetId="4">[2]PR!#REF!</definedName>
    <definedName name="HistWet3" localSheetId="14">PR!#REF!</definedName>
    <definedName name="HistWet3">PR!#REF!</definedName>
    <definedName name="HistWet4" localSheetId="10">NR!#REF!</definedName>
    <definedName name="HistWet4" localSheetId="4">[2]NR!#REF!</definedName>
    <definedName name="HistWet4" localSheetId="14">NR!#REF!</definedName>
    <definedName name="HistWet4">NR!#REF!</definedName>
    <definedName name="HistWet5" localSheetId="10">CS!#REF!</definedName>
    <definedName name="HistWet5" localSheetId="4">[2]CS!#REF!</definedName>
    <definedName name="HistWet5" localSheetId="14">CS!#REF!</definedName>
    <definedName name="HistWet5">CS!#REF!</definedName>
    <definedName name="HotSpring7" localSheetId="10">WC!#REF!</definedName>
    <definedName name="HotSpring7" localSheetId="4">[2]T!$D$4</definedName>
    <definedName name="HotSpring7" localSheetId="14">WC!#REF!</definedName>
    <definedName name="HotSpring7">WC!#REF!</definedName>
    <definedName name="Hotspring9" localSheetId="10">#REF!</definedName>
    <definedName name="Hotspring9" localSheetId="4">[2]FA!$D$5</definedName>
    <definedName name="Hotspring9" localSheetId="14">#REF!</definedName>
    <definedName name="Hotspring9">#REF!</definedName>
    <definedName name="HtDiv12" localSheetId="10">#REF!</definedName>
    <definedName name="HtDiv12" localSheetId="4">[2]WBF!#REF!</definedName>
    <definedName name="HtDiv12" localSheetId="14">#REF!</definedName>
    <definedName name="HtDiv12">#REF!</definedName>
    <definedName name="HtDiv13" localSheetId="4">[2]WBN!$G$105</definedName>
    <definedName name="HtDivPD" localSheetId="4">[2]PD!$G$92</definedName>
    <definedName name="htunif0" localSheetId="4">[2]POL!$G$61</definedName>
    <definedName name="HUCbest11">AM!$G$41</definedName>
    <definedName name="HUCbest12">WBF!$G$31</definedName>
    <definedName name="HUCbest13">WBN!$G$44</definedName>
    <definedName name="HUCbest14">SBM!$G$54</definedName>
    <definedName name="HUCbest18">Sens!$G$46</definedName>
    <definedName name="HUCbigW12" localSheetId="10">#REF!</definedName>
    <definedName name="HUCbigW12" localSheetId="4">[2]WBF!$G$164</definedName>
    <definedName name="HUCbigW12" localSheetId="14">#REF!</definedName>
    <definedName name="HUCbigW12">#REF!</definedName>
    <definedName name="HUCbigW13" localSheetId="10">WBN!#REF!</definedName>
    <definedName name="HUCbigW13" localSheetId="4">[2]WBN!$G$192</definedName>
    <definedName name="HUCbigW13" localSheetId="14">WBF!#REF!</definedName>
    <definedName name="HUCbigW13">WBN!#REF!</definedName>
    <definedName name="HUCbigW14" localSheetId="10">SBM!#REF!</definedName>
    <definedName name="HUCbigW14" localSheetId="14">SBM!#REF!</definedName>
    <definedName name="HUCbigW14">SBM!#REF!</definedName>
    <definedName name="HUCdiv11" localSheetId="10">AM!#REF!</definedName>
    <definedName name="HUCdiv11" localSheetId="4">[2]AM!$G$214</definedName>
    <definedName name="HUCdiv11" localSheetId="14">AM!#REF!</definedName>
    <definedName name="HUCdiv11">AM!#REF!</definedName>
    <definedName name="HUCdiv12" localSheetId="10">#REF!</definedName>
    <definedName name="HUCdiv12" localSheetId="4">[2]WBF!$G$152</definedName>
    <definedName name="HUCdiv12" localSheetId="14">#REF!</definedName>
    <definedName name="HUCdiv12">#REF!</definedName>
    <definedName name="HUCdiv13" localSheetId="10">WBN!#REF!</definedName>
    <definedName name="HUCdiv13" localSheetId="14">WBF!#REF!</definedName>
    <definedName name="HUCdiv13">WBN!#REF!</definedName>
    <definedName name="HUCdiv14" localSheetId="10">SBM!#REF!</definedName>
    <definedName name="HUCdiv14" localSheetId="4">[2]SBM!$G$180</definedName>
    <definedName name="HUCdiv14" localSheetId="14">SBM!#REF!</definedName>
    <definedName name="HUCdiv14">SBM!#REF!</definedName>
    <definedName name="Hunt12v">WBF!$G$259</definedName>
    <definedName name="Hunt17v">PU!$G$54</definedName>
    <definedName name="Hydro10" localSheetId="10">FA!$G$219</definedName>
    <definedName name="Hydro10">FR!$G$110</definedName>
    <definedName name="Hydro11">AM!$G$283</definedName>
    <definedName name="Hydro12">WBF!$G$264</definedName>
    <definedName name="Hydro13">WBN!$G$253</definedName>
    <definedName name="HydroConn_C" localSheetId="10">EC!#REF!</definedName>
    <definedName name="HydroConn_C" localSheetId="4">[2]CQ!$G$3</definedName>
    <definedName name="HydroConn_C" localSheetId="14">EC!#REF!</definedName>
    <definedName name="HydroConn_C">EC!#REF!</definedName>
    <definedName name="HydroConn2" localSheetId="10">#REF!</definedName>
    <definedName name="HydroConn2" localSheetId="4">#REF!</definedName>
    <definedName name="HydroConn2" localSheetId="14">#REF!</definedName>
    <definedName name="HydroConn2">#REF!</definedName>
    <definedName name="Hydropd1">WS!$G$14</definedName>
    <definedName name="Hydropd10">FR!$G$21</definedName>
    <definedName name="Hydropd11">[3]AM!$G$106</definedName>
    <definedName name="Hydropd12">WBF!$G$44</definedName>
    <definedName name="Hydropd13">WBN!$G$65</definedName>
    <definedName name="Hydropd2">WC!$G$3</definedName>
    <definedName name="Hydropd8">INV!$G$211</definedName>
    <definedName name="Hydropd9">FA!$G$44</definedName>
    <definedName name="HydroStress">STR!$G$138</definedName>
    <definedName name="IBA">#REF!</definedName>
    <definedName name="Ice2_">#REF!</definedName>
    <definedName name="IceDur2">#REF!</definedName>
    <definedName name="IceDura10" localSheetId="10">FA!#REF!</definedName>
    <definedName name="IceDura10">FR!$G$68</definedName>
    <definedName name="IceDura12">WBF!$G$116</definedName>
    <definedName name="IceDura4">PR!$G$52</definedName>
    <definedName name="IceDura9">[3]FR!$G$7</definedName>
    <definedName name="IFDRY2" localSheetId="10">SR!#REF!</definedName>
    <definedName name="IFDRY2" localSheetId="14">SR!#REF!</definedName>
    <definedName name="IFDRY2">SR!#REF!</definedName>
    <definedName name="IFNOOUT2" localSheetId="10">SR!#REF!</definedName>
    <definedName name="IFNOOUT2" localSheetId="14">SR!#REF!</definedName>
    <definedName name="IFNOOUT2">SR!#REF!</definedName>
    <definedName name="IFOUT2" localSheetId="10">SR!#REF!</definedName>
    <definedName name="IFOUT2" localSheetId="14">SR!#REF!</definedName>
    <definedName name="IFOUT2">SR!#REF!</definedName>
    <definedName name="ImpairTyp13" localSheetId="10">WBN!#REF!</definedName>
    <definedName name="ImpairTyp13" localSheetId="14">WBF!#REF!</definedName>
    <definedName name="ImpairTyp13">WBN!#REF!</definedName>
    <definedName name="ImpairTyp8" localSheetId="10">INV!#REF!</definedName>
    <definedName name="ImpairTyp8" localSheetId="14">INV!#REF!</definedName>
    <definedName name="ImpairTyp8">INV!#REF!</definedName>
    <definedName name="imperv2_">#REF!</definedName>
    <definedName name="Imperv2mi11">AM!#REF!</definedName>
    <definedName name="Imperv2mi14">SBM!#REF!</definedName>
    <definedName name="Imperv2mi16">POL!#REF!</definedName>
    <definedName name="Imperv2mi16v">POL!#REF!</definedName>
    <definedName name="Imperv2mi20">STR!#REF!</definedName>
    <definedName name="Imperv4" localSheetId="10">NR!#REF!</definedName>
    <definedName name="Imperv4" localSheetId="4">[2]NR!$G$116</definedName>
    <definedName name="Imperv4" localSheetId="14">NR!#REF!</definedName>
    <definedName name="ImpervBuff11">AM!#REF!</definedName>
    <definedName name="ImpervBuff13">WBN!#REF!</definedName>
    <definedName name="ImpervBuff14">SBM!#REF!</definedName>
    <definedName name="ImpervBuff15">PD!#REF!</definedName>
    <definedName name="ImpervBuff1v">WS!#REF!</definedName>
    <definedName name="ImpervBuff20">STR!#REF!</definedName>
    <definedName name="ImpervBuff2v">WC!#REF!</definedName>
    <definedName name="ImpervBuff8">INV!#REF!</definedName>
    <definedName name="ImpervBuff9">FA!#REF!</definedName>
    <definedName name="ImpervBuffT11">AM!#REF!</definedName>
    <definedName name="ImpervBuffT9">FA!$G$203</definedName>
    <definedName name="ImpervCA3" localSheetId="10">PR!#REF!</definedName>
    <definedName name="ImpervCA3" localSheetId="4">[2]PR!$G$116</definedName>
    <definedName name="ImpervCA3" localSheetId="14">PR!#REF!</definedName>
    <definedName name="ImpervPct" localSheetId="10">#REF!</definedName>
    <definedName name="ImpervPct" localSheetId="4">#REF!</definedName>
    <definedName name="ImpervPct" localSheetId="14">#REF!</definedName>
    <definedName name="ImpervPctSS" localSheetId="4">[2]SR!$G$90</definedName>
    <definedName name="ImpervRCA18">Sens!$G$63</definedName>
    <definedName name="ImpervRCA1v">WS!$G$109</definedName>
    <definedName name="ImpervRCA20">STR!$G$57</definedName>
    <definedName name="ImpervRCA2v">WC!$G$79</definedName>
    <definedName name="ImpervRCA3v">SR!$G$154</definedName>
    <definedName name="ImpervRCA4v">PR!$G$182</definedName>
    <definedName name="ImpervRCA8">INV!$G$10</definedName>
    <definedName name="ImpervRCA9">FA!$G$36</definedName>
    <definedName name="ImpervSCA20">STR!$G$71</definedName>
    <definedName name="ImpervSCA2v">WC!$G$88</definedName>
    <definedName name="ImpervSCA3v">SR!$G$174</definedName>
    <definedName name="ImpervSCA4v">PR!$G$202</definedName>
    <definedName name="ImpervSCA9">FA!$G$40</definedName>
    <definedName name="Inclus11" localSheetId="10">AM!#REF!</definedName>
    <definedName name="Inclus11" localSheetId="14">AM!#REF!</definedName>
    <definedName name="Inclus11">AM!#REF!</definedName>
    <definedName name="Inclus11a" localSheetId="10">AM!#REF!</definedName>
    <definedName name="Inclus11a" localSheetId="14">AM!#REF!</definedName>
    <definedName name="Inclus11a">AM!#REF!</definedName>
    <definedName name="Inclus14" localSheetId="10">SBM!#REF!</definedName>
    <definedName name="Inclus14" localSheetId="4">[2]SBM!$G$66</definedName>
    <definedName name="Inclus14" localSheetId="14">SBM!#REF!</definedName>
    <definedName name="Inclus14">SBM!#REF!</definedName>
    <definedName name="Inclus4" localSheetId="10">NR!#REF!</definedName>
    <definedName name="Inclus4" localSheetId="4">[2]NR!$G$84</definedName>
    <definedName name="Inclus4" localSheetId="14">NR!#REF!</definedName>
    <definedName name="Inclus4">NR!#REF!</definedName>
    <definedName name="inflo" localSheetId="10">Sens!#REF!</definedName>
    <definedName name="inflo" localSheetId="14">Sens!#REF!</definedName>
    <definedName name="Inflo3" localSheetId="10">PR!#REF!</definedName>
    <definedName name="Inflo3" localSheetId="14">PR!#REF!</definedName>
    <definedName name="Inflo4" localSheetId="10">NR!#REF!</definedName>
    <definedName name="Inflo4" localSheetId="14">NR!#REF!</definedName>
    <definedName name="InfloPD" localSheetId="10">PD!#REF!</definedName>
    <definedName name="InfloPD" localSheetId="14">PD!#REF!</definedName>
    <definedName name="Inflow" localSheetId="4">[2]STR!$G$10</definedName>
    <definedName name="Inflow">F!$D$171</definedName>
    <definedName name="Inflow15">PD!$G$90</definedName>
    <definedName name="Inflow3v">SR!$G$183</definedName>
    <definedName name="Inflow4v">PR!$G$211</definedName>
    <definedName name="Interann10" localSheetId="10">FA!#REF!</definedName>
    <definedName name="Interann10" localSheetId="14">FR!#REF!</definedName>
    <definedName name="Interann10">FR!#REF!</definedName>
    <definedName name="Interann6" localSheetId="10">OE!#REF!</definedName>
    <definedName name="Interann6" localSheetId="4">[2]OE!$G$16</definedName>
    <definedName name="Interann6" localSheetId="14">OE!#REF!</definedName>
    <definedName name="Interann6">OE!#REF!</definedName>
    <definedName name="Interann8" localSheetId="4">[2]INV!$G$10</definedName>
    <definedName name="interannPD" localSheetId="4">[2]PD!$G$28</definedName>
    <definedName name="Interannual4" localSheetId="10">NR!#REF!</definedName>
    <definedName name="Interannual4" localSheetId="4">[2]NR!$G$4</definedName>
    <definedName name="Interannual4" localSheetId="14">NR!#REF!</definedName>
    <definedName name="Interannual4">NR!#REF!</definedName>
    <definedName name="Intercep4">NR!$G$166</definedName>
    <definedName name="IntercepDry3">PR!$G$243</definedName>
    <definedName name="IntercepWet3">PR!$G$244</definedName>
    <definedName name="Interspers10" localSheetId="10">FA!#REF!</definedName>
    <definedName name="Interspers10" localSheetId="4">[2]FR!$G$58</definedName>
    <definedName name="Interspers10" localSheetId="14">FR!#REF!</definedName>
    <definedName name="Interspers10">FR!#REF!</definedName>
    <definedName name="Interspers11" localSheetId="4">[2]AM!$G$48</definedName>
    <definedName name="Interspers12" localSheetId="4">[2]WBF!$G$54</definedName>
    <definedName name="Interspers13" localSheetId="4">[2]WBN!$G$49</definedName>
    <definedName name="Interspers13" localSheetId="14">WBF!#REF!</definedName>
    <definedName name="Interspers2" localSheetId="10">SR!#REF!</definedName>
    <definedName name="Interspers2" localSheetId="4">[2]SR!#REF!</definedName>
    <definedName name="Interspers2" localSheetId="14">SR!#REF!</definedName>
    <definedName name="Interspers3" localSheetId="10">PR!#REF!</definedName>
    <definedName name="Interspers3" localSheetId="4">[2]PR!#REF!</definedName>
    <definedName name="Interspers3" localSheetId="14">PR!#REF!</definedName>
    <definedName name="Interspers3">PR!#REF!</definedName>
    <definedName name="Interspers4" localSheetId="4">[2]NR!$G$43</definedName>
    <definedName name="Interspers5" localSheetId="10">CS!#REF!</definedName>
    <definedName name="Interspers5" localSheetId="4">[2]CS!#REF!</definedName>
    <definedName name="Interspers5" localSheetId="14">CS!#REF!</definedName>
    <definedName name="Interspers6" localSheetId="10">OE!#REF!</definedName>
    <definedName name="Interspers6" localSheetId="4">[2]OE!$G$54</definedName>
    <definedName name="Interspers6" localSheetId="14">OE!#REF!</definedName>
    <definedName name="Interspers8" localSheetId="4">[2]INV!$G$63</definedName>
    <definedName name="Interspers9" localSheetId="4">[2]FA!$G$44</definedName>
    <definedName name="Invas12">WBF!$G$143</definedName>
    <definedName name="Invas15">PD!$G$105</definedName>
    <definedName name="Invas16">POL!$G$52</definedName>
    <definedName name="Invas18">Sens!$G$124</definedName>
    <definedName name="Invas18a">Sens!$G$123</definedName>
    <definedName name="Invas19">EC!$G$27</definedName>
    <definedName name="InvasDom">F!$D$209</definedName>
    <definedName name="InvasDom1">PD!$D$106</definedName>
    <definedName name="InvasDomT">T!$D$136</definedName>
    <definedName name="InvasSAV15" localSheetId="10">PD!#REF!</definedName>
    <definedName name="InvasSAV15" localSheetId="14">PD!#REF!</definedName>
    <definedName name="InvasSAV15">PD!#REF!</definedName>
    <definedName name="InvasShr15">PD!#REF!</definedName>
    <definedName name="InvasShr18">Sens!#REF!</definedName>
    <definedName name="InvasShr18a">Sens!#REF!</definedName>
    <definedName name="InvasShr19">EC!#REF!</definedName>
    <definedName name="InvasT15">PD!$G$229</definedName>
    <definedName name="InvasT18">Sens!$G$224</definedName>
    <definedName name="InvasT18a">Sens!$G$223</definedName>
    <definedName name="InvasT19">EC!$G$57</definedName>
    <definedName name="Invest">PU!$G$94</definedName>
    <definedName name="InvScore2_">#REF!</definedName>
    <definedName name="Island">SBM!#REF!</definedName>
    <definedName name="Island14">SBM!#REF!</definedName>
    <definedName name="Islands11" localSheetId="10">AM!#REF!</definedName>
    <definedName name="Islands11" localSheetId="4">[2]AM!$G$70</definedName>
    <definedName name="Islands11" localSheetId="14">AM!#REF!</definedName>
    <definedName name="Islands11">AM!#REF!</definedName>
    <definedName name="Islands12" localSheetId="10">#REF!</definedName>
    <definedName name="Islands12" localSheetId="14">WBF!$G$115</definedName>
    <definedName name="Islands12">#REF!</definedName>
    <definedName name="Islands13" localSheetId="4">[2]WBN!$G$69</definedName>
    <definedName name="Islands13">WBN!$G$159</definedName>
    <definedName name="Iso3Wet" localSheetId="10">PR!#REF!</definedName>
    <definedName name="Iso3Wet" localSheetId="14">PR!#REF!</definedName>
    <definedName name="Iso3Wet">PR!#REF!</definedName>
    <definedName name="IsoDry_S" localSheetId="4">[2]Sen!$G$5</definedName>
    <definedName name="ISOdry10" localSheetId="4">[2]FR!$G$37</definedName>
    <definedName name="ISOdry11" localSheetId="10">AM!#REF!</definedName>
    <definedName name="ISOdry11" localSheetId="4">[2]AM!$G$20</definedName>
    <definedName name="ISOdry11" localSheetId="14">AM!#REF!</definedName>
    <definedName name="ISOdry11">AM!#REF!</definedName>
    <definedName name="IsoDry12" localSheetId="10">#REF!</definedName>
    <definedName name="IsoDry12" localSheetId="4">[2]WBF!#REF!</definedName>
    <definedName name="IsoDry12" localSheetId="14">#REF!</definedName>
    <definedName name="IsoDry12">#REF!</definedName>
    <definedName name="ISOdry13" localSheetId="4">[2]WBN!$G$23</definedName>
    <definedName name="IsoDry2" localSheetId="4">[2]SR!$G$17</definedName>
    <definedName name="ISOdry3" localSheetId="10">PR!#REF!</definedName>
    <definedName name="ISOdry3" localSheetId="4">[2]PR!$G$34</definedName>
    <definedName name="ISOdry3" localSheetId="14">PR!#REF!</definedName>
    <definedName name="ISOdry3">PR!#REF!</definedName>
    <definedName name="ISOdry4" localSheetId="10">NR!#REF!</definedName>
    <definedName name="ISOdry4" localSheetId="4">[2]NR!$G$24</definedName>
    <definedName name="ISOdry4" localSheetId="14">NR!#REF!</definedName>
    <definedName name="ISOdry4">NR!#REF!</definedName>
    <definedName name="ISOdry6" localSheetId="4">[2]OE!$G$29</definedName>
    <definedName name="ISOdry7" localSheetId="4">[2]T!$G$6</definedName>
    <definedName name="IsoDry8" localSheetId="4">[2]INV!$G$30</definedName>
    <definedName name="IsoWet1" localSheetId="10">WS!#REF!</definedName>
    <definedName name="IsoWet1" localSheetId="4">[2]WS!$G$15</definedName>
    <definedName name="IsoWet1" localSheetId="14">WS!#REF!</definedName>
    <definedName name="IsoWet1">WS!#REF!</definedName>
    <definedName name="IsoWet10" localSheetId="10">FA!#REF!</definedName>
    <definedName name="ISOwet10" localSheetId="4">[2]FR!$G$23</definedName>
    <definedName name="IsoWet10" localSheetId="14">FR!#REF!</definedName>
    <definedName name="IsoWet10">FR!#REF!</definedName>
    <definedName name="ISOwet11" localSheetId="10">AM!#REF!</definedName>
    <definedName name="ISOwet11" localSheetId="4">[2]AM!$G$6</definedName>
    <definedName name="ISOwet11" localSheetId="14">AM!#REF!</definedName>
    <definedName name="ISOwet11">AM!#REF!</definedName>
    <definedName name="ISOwet12" localSheetId="4">[2]WBF!$G$37</definedName>
    <definedName name="ISOwet13" localSheetId="10">WBN!#REF!</definedName>
    <definedName name="ISOwet13" localSheetId="4">[2]WBN!#REF!</definedName>
    <definedName name="ISOwet13" localSheetId="14">WBF!#REF!</definedName>
    <definedName name="ISOwet13">WBN!#REF!</definedName>
    <definedName name="IsoWet2" localSheetId="10">SR!#REF!</definedName>
    <definedName name="IsoWet2" localSheetId="14">SR!#REF!</definedName>
    <definedName name="IsoWet2">SR!#REF!</definedName>
    <definedName name="IsoWet2a" localSheetId="10">SR!#REF!</definedName>
    <definedName name="IsoWet2a" localSheetId="14">SR!#REF!</definedName>
    <definedName name="IsoWet2a">SR!#REF!</definedName>
    <definedName name="IsoWet2s" localSheetId="10">SR!#REF!</definedName>
    <definedName name="IsoWet2s" localSheetId="14">SR!#REF!</definedName>
    <definedName name="IsoWet2s">SR!#REF!</definedName>
    <definedName name="IsoWet3p" localSheetId="10">PR!#REF!</definedName>
    <definedName name="IsoWet3p" localSheetId="14">PR!#REF!</definedName>
    <definedName name="IsoWet3p">PR!#REF!</definedName>
    <definedName name="ISOwet4" localSheetId="10">NR!#REF!</definedName>
    <definedName name="ISOwet4" localSheetId="4">[2]NR!$G$10</definedName>
    <definedName name="ISOwet4" localSheetId="14">NR!#REF!</definedName>
    <definedName name="ISOwet4">NR!#REF!</definedName>
    <definedName name="ISOwet5" localSheetId="4">[2]CS!$G$21</definedName>
    <definedName name="ISOwet6" localSheetId="10">OE!#REF!</definedName>
    <definedName name="ISOwet6" localSheetId="4">[2]OE!$G$22</definedName>
    <definedName name="ISOwet6" localSheetId="14">OE!#REF!</definedName>
    <definedName name="ISOwet6">OE!#REF!</definedName>
    <definedName name="IsoWet8" localSheetId="4">[2]INV!$G$16</definedName>
    <definedName name="IsoWet8" localSheetId="14">INV!#REF!</definedName>
    <definedName name="IsoWet8">INV!#REF!</definedName>
    <definedName name="ISOwet9" localSheetId="4">[2]FA!$G$21</definedName>
    <definedName name="Karst10" localSheetId="10">FA!#REF!</definedName>
    <definedName name="Karst10" localSheetId="14">FR!#REF!</definedName>
    <definedName name="Karst10">FR!#REF!</definedName>
    <definedName name="Karst10a" localSheetId="10">FA!#REF!</definedName>
    <definedName name="Karst10a" localSheetId="14">FR!#REF!</definedName>
    <definedName name="Karst10a">FR!#REF!</definedName>
    <definedName name="Karst16" localSheetId="10">PD!#REF!</definedName>
    <definedName name="Karst16" localSheetId="14">PD!#REF!</definedName>
    <definedName name="Karst16">PD!#REF!</definedName>
    <definedName name="Karst16a" localSheetId="10">PD!#REF!</definedName>
    <definedName name="Karst16a" localSheetId="14">PD!#REF!</definedName>
    <definedName name="Karst16a">PD!#REF!</definedName>
    <definedName name="Karst5a" localSheetId="10">CS!#REF!</definedName>
    <definedName name="Karst5a" localSheetId="14">CS!#REF!</definedName>
    <definedName name="Karst5a">CS!#REF!</definedName>
    <definedName name="Karst6" localSheetId="10">OE!#REF!</definedName>
    <definedName name="Karst6" localSheetId="14">OE!#REF!</definedName>
    <definedName name="Karst6">OE!#REF!</definedName>
    <definedName name="Karst6a" localSheetId="10">OE!#REF!</definedName>
    <definedName name="Karst6a" localSheetId="14">OE!#REF!</definedName>
    <definedName name="Karst6a">OE!#REF!</definedName>
    <definedName name="Karst7a" localSheetId="10">INV!#REF!</definedName>
    <definedName name="Karst7a" localSheetId="14">INV!#REF!</definedName>
    <definedName name="Karst7a">INV!#REF!</definedName>
    <definedName name="Karst8" localSheetId="10">INV!#REF!</definedName>
    <definedName name="Karst8" localSheetId="14">INV!#REF!</definedName>
    <definedName name="Karst8">INV!#REF!</definedName>
    <definedName name="Karst9">#REF!</definedName>
    <definedName name="Karst9a">#REF!</definedName>
    <definedName name="Karstt5" localSheetId="10">CS!#REF!</definedName>
    <definedName name="Karstt5" localSheetId="14">CS!#REF!</definedName>
    <definedName name="Karstt5">CS!#REF!</definedName>
    <definedName name="Lacus" localSheetId="10">#REF!</definedName>
    <definedName name="Lacus" localSheetId="4">#REF!</definedName>
    <definedName name="Lacus" localSheetId="14">#REF!</definedName>
    <definedName name="Lacus">#REF!</definedName>
    <definedName name="Lacus13a" localSheetId="10">WBN!#REF!</definedName>
    <definedName name="Lacus13a" localSheetId="14">WBF!#REF!</definedName>
    <definedName name="Lacus13a">WBN!#REF!</definedName>
    <definedName name="Lacus7" localSheetId="10">WC!#REF!</definedName>
    <definedName name="Lacus7" localSheetId="4">[2]T!$D$3</definedName>
    <definedName name="Lacus7" localSheetId="14">WC!#REF!</definedName>
    <definedName name="Lacus7">WC!#REF!</definedName>
    <definedName name="Lacus9">#REF!</definedName>
    <definedName name="Lacust10" localSheetId="10">FA!#REF!</definedName>
    <definedName name="Lacust10" localSheetId="4">[2]FR!#REF!</definedName>
    <definedName name="Lacust10" localSheetId="14">FR!#REF!</definedName>
    <definedName name="Lacust10">FR!#REF!</definedName>
    <definedName name="Lacust13" localSheetId="10">WBN!#REF!</definedName>
    <definedName name="Lacust13" localSheetId="4">[2]WBN!$D$3</definedName>
    <definedName name="Lacust13" localSheetId="14">WBF!#REF!</definedName>
    <definedName name="Lacust13">WBN!#REF!</definedName>
    <definedName name="Lake" localSheetId="10">#REF!</definedName>
    <definedName name="Lake" localSheetId="4">#REF!</definedName>
    <definedName name="Lake" localSheetId="14">#REF!</definedName>
    <definedName name="Lake">#REF!</definedName>
    <definedName name="Lake10" localSheetId="10">FA!#REF!</definedName>
    <definedName name="Lake10" localSheetId="14">FR!#REF!</definedName>
    <definedName name="Lake10">FR!#REF!</definedName>
    <definedName name="Lake10a" localSheetId="10">FA!#REF!</definedName>
    <definedName name="Lake10a" localSheetId="14">FR!#REF!</definedName>
    <definedName name="Lake10a">FR!#REF!</definedName>
    <definedName name="Lake12">#REF!</definedName>
    <definedName name="Lake3" localSheetId="10">PR!#REF!</definedName>
    <definedName name="Lake3" localSheetId="14">PR!#REF!</definedName>
    <definedName name="Lake3">PR!#REF!</definedName>
    <definedName name="Lake3a" localSheetId="10">PR!#REF!</definedName>
    <definedName name="Lake3a" localSheetId="14">PR!#REF!</definedName>
    <definedName name="Lake3a">PR!#REF!</definedName>
    <definedName name="Lake9">#REF!</definedName>
    <definedName name="LakeNear13" localSheetId="10">WBN!#REF!</definedName>
    <definedName name="LakeNear13" localSheetId="4">[2]WBN!$D$163</definedName>
    <definedName name="LakeNear13" localSheetId="14">WBF!#REF!</definedName>
    <definedName name="LakeNear13">WBN!#REF!</definedName>
    <definedName name="LakeProx_S" localSheetId="10">Sens!#REF!</definedName>
    <definedName name="LakeProx_S" localSheetId="4">[2]Sen!$G$153</definedName>
    <definedName name="LakeProx_S" localSheetId="14">Sens!#REF!</definedName>
    <definedName name="LakeProx_S">Sens!#REF!</definedName>
    <definedName name="LakeProx13" localSheetId="10">WBN!#REF!</definedName>
    <definedName name="LakeProx13" localSheetId="4">[2]WBN!$G$162</definedName>
    <definedName name="LakeProx13" localSheetId="14">WBF!#REF!</definedName>
    <definedName name="LakeProx13">WBN!#REF!</definedName>
    <definedName name="Lentic">F!$D$5</definedName>
    <definedName name="Lentic11">AM!$G$70</definedName>
    <definedName name="Lentic12">WBF!$G$43</definedName>
    <definedName name="Lentic13">WBN!$G$64</definedName>
    <definedName name="Lentic15">PD!#REF!</definedName>
    <definedName name="Lentic7">[3]OE!#REF!</definedName>
    <definedName name="LiveStore">WS!$G$131</definedName>
    <definedName name="LiveStore3">SR!$G$215</definedName>
    <definedName name="Logged1">WS!#REF!</definedName>
    <definedName name="Logged20">STR!#REF!</definedName>
    <definedName name="Logged6">CS!#REF!</definedName>
    <definedName name="lomarsh0" localSheetId="10">POL!#REF!</definedName>
    <definedName name="lomarsh0" localSheetId="4">[2]POL!$G$3</definedName>
    <definedName name="lomarsh0" localSheetId="14">POL!#REF!</definedName>
    <definedName name="lomarsh0">POL!#REF!</definedName>
    <definedName name="LoMarsh2" localSheetId="10">SR!#REF!</definedName>
    <definedName name="LoMarsh2" localSheetId="4">[2]SR!$G$117</definedName>
    <definedName name="LoMarsh2" localSheetId="14">SR!#REF!</definedName>
    <definedName name="LoMarsh2">SR!#REF!</definedName>
    <definedName name="LoMarsh6" localSheetId="10">OE!#REF!</definedName>
    <definedName name="LoMarsh6" localSheetId="4">[2]OE!$G$10</definedName>
    <definedName name="LoMarsh6" localSheetId="14">OE!#REF!</definedName>
    <definedName name="LoMarsh6">OE!#REF!</definedName>
    <definedName name="LoMarsh8" localSheetId="10">INV!#REF!</definedName>
    <definedName name="LoMarsh8" localSheetId="4">[2]INV!$G$4</definedName>
    <definedName name="LoMarsh8" localSheetId="14">INV!#REF!</definedName>
    <definedName name="LoMarsh8">INV!#REF!</definedName>
    <definedName name="Lotic7">[3]OE!#REF!</definedName>
    <definedName name="LowerShed">OF!$D$187</definedName>
    <definedName name="LowMarsh1" localSheetId="10">WS!#REF!</definedName>
    <definedName name="LowMarsh1" localSheetId="14">WS!#REF!</definedName>
    <definedName name="LowMarsh1">WS!#REF!</definedName>
    <definedName name="LowMarsh10" localSheetId="10">FA!#REF!</definedName>
    <definedName name="LowMarsh10" localSheetId="14">FR!#REF!</definedName>
    <definedName name="LowMarsh10">FR!#REF!</definedName>
    <definedName name="LowMarsh12" localSheetId="10">#REF!</definedName>
    <definedName name="LowMarsh12" localSheetId="4">[2]WBF!$G$6</definedName>
    <definedName name="LowMarsh12" localSheetId="14">#REF!</definedName>
    <definedName name="LowMarsh12">#REF!</definedName>
    <definedName name="LowMarsh1all" localSheetId="10">WS!#REF!</definedName>
    <definedName name="LowMarsh1all" localSheetId="4">[2]WS!$D$9</definedName>
    <definedName name="LowMarsh1all" localSheetId="14">WS!#REF!</definedName>
    <definedName name="LowMarsh1all">WS!#REF!</definedName>
    <definedName name="LowMarsh1gt50" localSheetId="10">WS!#REF!</definedName>
    <definedName name="LowMarsh1gt50" localSheetId="4">[2]WS!$D$10</definedName>
    <definedName name="LowMarsh1gt50" localSheetId="14">WS!#REF!</definedName>
    <definedName name="LowMarsh1gt50">WS!#REF!</definedName>
    <definedName name="LowMarsh9" localSheetId="10">#REF!</definedName>
    <definedName name="LowMarsh9" localSheetId="4">[2]FA!$G$8</definedName>
    <definedName name="LowMarsh9" localSheetId="14">#REF!</definedName>
    <definedName name="LowMarsh9">#REF!</definedName>
    <definedName name="LowMarshAll14" localSheetId="10">SBM!#REF!</definedName>
    <definedName name="LowMarshAll14" localSheetId="4">[2]SBM!$D$4</definedName>
    <definedName name="LowMarshAll14" localSheetId="14">SBM!#REF!</definedName>
    <definedName name="LowMarshAll14">SBM!#REF!</definedName>
    <definedName name="LowMarshPct14" localSheetId="10">SBM!#REF!</definedName>
    <definedName name="LowMarshPct14" localSheetId="4">[2]SBM!$G$3</definedName>
    <definedName name="LowMarshPct14" localSheetId="14">SBM!#REF!</definedName>
    <definedName name="LowMarshPct14">SBM!#REF!</definedName>
    <definedName name="LowMarshPD" localSheetId="10">PD!#REF!</definedName>
    <definedName name="LowMarshPD" localSheetId="4">[2]PD!$G$3</definedName>
    <definedName name="LowMarshPD" localSheetId="14">PD!#REF!</definedName>
    <definedName name="LowMarshPD">PD!#REF!</definedName>
    <definedName name="LowMarshT11">AM!$G$207</definedName>
    <definedName name="LowMarshT12">WBF!$G$176</definedName>
    <definedName name="LowMarshT14">SBM!$G$208</definedName>
    <definedName name="LowMarshT15">PD!$G$187</definedName>
    <definedName name="LowMarshT16">POL!$G$98</definedName>
    <definedName name="LowMarshT3">SR!$G$95</definedName>
    <definedName name="LowMarshT4">PR!$G$118</definedName>
    <definedName name="LowMarshT5">NR!#REF!</definedName>
    <definedName name="LowMarshT6">CS!$G$124</definedName>
    <definedName name="LowMarshT7">OE!$G$135</definedName>
    <definedName name="LowMarshT8">INV!$G$125</definedName>
    <definedName name="LowMarshT9">FA!$G$133</definedName>
    <definedName name="Lscape11">AM!$G$282</definedName>
    <definedName name="Lscape12">WBF!$G$263</definedName>
    <definedName name="Lscape13">WBN!$G$252</definedName>
    <definedName name="Lscape14">SBM!$G$308</definedName>
    <definedName name="Lscape15">PD!$G$316</definedName>
    <definedName name="Lscape8">INV!$G$212</definedName>
    <definedName name="Lscape9">FA!$G$222</definedName>
    <definedName name="LscapePD">PD!#REF!</definedName>
    <definedName name="LwdT8">INV!$G$172</definedName>
    <definedName name="LwdT9">FA!$G$185</definedName>
    <definedName name="Mainland14" localSheetId="10">SBM!#REF!</definedName>
    <definedName name="Mainland14" localSheetId="14">SBM!#REF!</definedName>
    <definedName name="Mainland14">SBM!#REF!</definedName>
    <definedName name="Manure14" localSheetId="10">SBM!#REF!</definedName>
    <definedName name="Manure14" localSheetId="14">SBM!#REF!</definedName>
    <definedName name="Manure14">SBM!#REF!</definedName>
    <definedName name="MatureF" localSheetId="10">Sens!#REF!</definedName>
    <definedName name="MatureF" localSheetId="4">[2]Sen!$D$4</definedName>
    <definedName name="MatureF" localSheetId="14">Sens!#REF!</definedName>
    <definedName name="MatureF">Sens!#REF!</definedName>
    <definedName name="MaxFluc2" localSheetId="4">[2]SR!$G$130</definedName>
    <definedName name="Mesosaline11" localSheetId="10">AM!#REF!</definedName>
    <definedName name="Mesosaline11" localSheetId="14">AM!#REF!</definedName>
    <definedName name="Mesosaline11">AM!#REF!</definedName>
    <definedName name="MethLimit5">CS!$G$183</definedName>
    <definedName name="MinSIze13" localSheetId="10">WBN!#REF!</definedName>
    <definedName name="MinSIze13" localSheetId="4">[2]WBN!$D$73</definedName>
    <definedName name="MinSIze13" localSheetId="14">WBF!#REF!</definedName>
    <definedName name="MinSIze13">WBN!#REF!</definedName>
    <definedName name="MitigaSite" localSheetId="4">[2]PU!$G$24</definedName>
    <definedName name="MitSite" localSheetId="10">#REF!</definedName>
    <definedName name="MitSite" localSheetId="4">#REF!</definedName>
    <definedName name="MitSite" localSheetId="14">#REF!</definedName>
    <definedName name="MitSite">#REF!</definedName>
    <definedName name="MitSiteT">T!$D$235</definedName>
    <definedName name="MitWet17v">PU!$G$31</definedName>
    <definedName name="MitWetT17v">PU!$G$90</definedName>
    <definedName name="Moss10">[3]FR!$G$96</definedName>
    <definedName name="Moss12">WBF!$G$148</definedName>
    <definedName name="Moss13">WBN!$G$189</definedName>
    <definedName name="Moss15">PD!#REF!</definedName>
    <definedName name="Moss18">[1]Sens!$G$132</definedName>
    <definedName name="Moss18a">Sens!$G$128</definedName>
    <definedName name="Moss5">NR!$G$80</definedName>
    <definedName name="Moss6">CS!$G$78</definedName>
    <definedName name="Moss7">OE!$G$99</definedName>
    <definedName name="Moss8">[3]INV!$G$117</definedName>
    <definedName name="MossCov5" localSheetId="10">CS!#REF!</definedName>
    <definedName name="MossCov5" localSheetId="14">CS!#REF!</definedName>
    <definedName name="MossCov5">CS!#REF!</definedName>
    <definedName name="Mudflat12" localSheetId="4">[2]WBF!$G$65</definedName>
    <definedName name="Mudflat12">#REF!</definedName>
    <definedName name="NatCApct3" localSheetId="10">PR!#REF!</definedName>
    <definedName name="NatCApct3" localSheetId="4">[2]PR!$G$150</definedName>
    <definedName name="NatCApct3" localSheetId="14">PR!#REF!</definedName>
    <definedName name="NatCApct3">PR!#REF!</definedName>
    <definedName name="NatCov2mi11" localSheetId="10">AM!#REF!</definedName>
    <definedName name="NatCov2mi11" localSheetId="14">AM!#REF!</definedName>
    <definedName name="NatCov2mi11">AM!#REF!</definedName>
    <definedName name="NatGrassPct11">[3]AM!$G$28</definedName>
    <definedName name="NatGrassPct14">[3]SBM!$G$33</definedName>
    <definedName name="NatGrassPct20">[3]STR!$G$39</definedName>
    <definedName name="natLCpct0" localSheetId="10">POL!#REF!</definedName>
    <definedName name="natLCpct0" localSheetId="14">POL!#REF!</definedName>
    <definedName name="natLCpct0">POL!#REF!</definedName>
    <definedName name="NatPctScape8" localSheetId="10">INV!#REF!</definedName>
    <definedName name="NatPctScape8" localSheetId="4">[2]INV!#REF!</definedName>
    <definedName name="NatPctScape8" localSheetId="14">INV!#REF!</definedName>
    <definedName name="NatPctScape8">INV!#REF!</definedName>
    <definedName name="natvacres0" localSheetId="10">POL!#REF!</definedName>
    <definedName name="natvacres0" localSheetId="4">[2]POL!$G$89</definedName>
    <definedName name="natvacres0" localSheetId="14">POL!#REF!</definedName>
    <definedName name="natvacres0">POL!#REF!</definedName>
    <definedName name="natveg0" localSheetId="10">POL!#REF!</definedName>
    <definedName name="natveg0" localSheetId="4">[2]POL!$G$77</definedName>
    <definedName name="natveg0" localSheetId="14">POL!#REF!</definedName>
    <definedName name="natveg0">POL!#REF!</definedName>
    <definedName name="NatVegBuffPD" localSheetId="10">PD!#REF!</definedName>
    <definedName name="NatVegBuffPD" localSheetId="4">[2]PD!#REF!</definedName>
    <definedName name="NatVegBuffPD" localSheetId="14">PD!#REF!</definedName>
    <definedName name="NatVegBuffPD">PD!#REF!</definedName>
    <definedName name="NatVegCA" localSheetId="4">[2]STR!$G$40</definedName>
    <definedName name="NatVegCApd" localSheetId="4">[2]PD!$G$135</definedName>
    <definedName name="NatVegCUpct_S" localSheetId="4">[2]Sen!$G$116</definedName>
    <definedName name="NatVegCUpct10" localSheetId="10">FA!#REF!</definedName>
    <definedName name="NatVegCUpct10" localSheetId="4">[2]FR!$G$97</definedName>
    <definedName name="NatVegCUpct10" localSheetId="14">FR!#REF!</definedName>
    <definedName name="NatVegCUpct10">FR!#REF!</definedName>
    <definedName name="NatVegCUpct9" localSheetId="4">[2]FA!$G$93</definedName>
    <definedName name="NatVegCUpct9">#REF!</definedName>
    <definedName name="NatVegPctCU8" localSheetId="4">[2]INV!$G$122</definedName>
    <definedName name="NatVegPctScape_S" localSheetId="10">Sens!#REF!</definedName>
    <definedName name="NatVegPctScape_S" localSheetId="4">[2]Sen!#REF!</definedName>
    <definedName name="NatVegPctScape_S" localSheetId="14">Sens!#REF!</definedName>
    <definedName name="NatVegPctScape14" localSheetId="4">[2]SBM!$G$133</definedName>
    <definedName name="NatVegProx_S" localSheetId="4">[2]Sen!$G$127</definedName>
    <definedName name="NatVegProx11" localSheetId="4">[2]AM!$G$188</definedName>
    <definedName name="NatVegProx14" localSheetId="4">[2]SBM!$G$147</definedName>
    <definedName name="NatVegProx8" localSheetId="10">INV!#REF!</definedName>
    <definedName name="NatVegProx8" localSheetId="4">[2]INV!#REF!</definedName>
    <definedName name="NatVegProx8" localSheetId="14">INV!#REF!</definedName>
    <definedName name="NatVegProx8">INV!#REF!</definedName>
    <definedName name="NatVegSize_S" localSheetId="10">Sens!#REF!</definedName>
    <definedName name="NatVegSize_S" localSheetId="4">[2]Sen!$G$133</definedName>
    <definedName name="NatVegSize_S" localSheetId="14">Sens!#REF!</definedName>
    <definedName name="NatVegSize_S">Sens!#REF!</definedName>
    <definedName name="NatVegSize11" localSheetId="4">[2]AM!$G$194</definedName>
    <definedName name="NatVegSize14" localSheetId="4">[2]SBM!$G$153</definedName>
    <definedName name="NatVegTractSize" localSheetId="10">WBN!#REF!</definedName>
    <definedName name="NatVegTractSize" localSheetId="4">[2]WBN!$G$142</definedName>
    <definedName name="NatVegTractSize" localSheetId="14">WBF!#REF!</definedName>
    <definedName name="NatVegTractSize">WBN!#REF!</definedName>
    <definedName name="natvprox0" localSheetId="10">POL!#REF!</definedName>
    <definedName name="natvprox0" localSheetId="4">[2]POL!$G$83</definedName>
    <definedName name="natvprox0" localSheetId="14">POL!#REF!</definedName>
    <definedName name="natvprox0">POL!#REF!</definedName>
    <definedName name="Navigable" localSheetId="10">#REF!</definedName>
    <definedName name="Navigable" localSheetId="4">#REF!</definedName>
    <definedName name="Navigable" localSheetId="14">#REF!</definedName>
    <definedName name="Navigable">#REF!</definedName>
    <definedName name="NearRiver">OF!$D$137</definedName>
    <definedName name="NestSites">POL!$G$152</definedName>
    <definedName name="NeverWater">F!$D$8</definedName>
    <definedName name="NewWet10" localSheetId="10">FA!#REF!</definedName>
    <definedName name="NewWet10" localSheetId="14">FR!#REF!</definedName>
    <definedName name="NewWet10">FR!#REF!</definedName>
    <definedName name="NewWet11" localSheetId="10">AM!#REF!</definedName>
    <definedName name="NewWet11" localSheetId="14">AM!#REF!</definedName>
    <definedName name="NewWet11">AM!#REF!</definedName>
    <definedName name="NewWet12" localSheetId="10">#REF!</definedName>
    <definedName name="NewWet12" localSheetId="14">#REF!</definedName>
    <definedName name="NewWet12">#REF!</definedName>
    <definedName name="NewWet15">PD!$G$155</definedName>
    <definedName name="NewWet18">Sens!$G$177</definedName>
    <definedName name="NewWet18a">Sens!$G$176</definedName>
    <definedName name="NewWet2a" localSheetId="10">SR!#REF!</definedName>
    <definedName name="NewWet2a" localSheetId="14">SR!#REF!</definedName>
    <definedName name="NewWet2a">SR!#REF!</definedName>
    <definedName name="NewWet3" localSheetId="10">PR!#REF!</definedName>
    <definedName name="NewWet3" localSheetId="14">PR!#REF!</definedName>
    <definedName name="NewWet3">PR!#REF!</definedName>
    <definedName name="NewWet5">NR!$G$102</definedName>
    <definedName name="NewWet6">CS!$G$105</definedName>
    <definedName name="NewWet7">OE!$G$117</definedName>
    <definedName name="NewWet8" localSheetId="10">INV!#REF!</definedName>
    <definedName name="NewWet8" localSheetId="14">INV!#REF!</definedName>
    <definedName name="NewWet8">INV!#REF!</definedName>
    <definedName name="Nfix10" localSheetId="10">FA!#REF!</definedName>
    <definedName name="Nfix10">FR!#REF!</definedName>
    <definedName name="Nfix14" localSheetId="10">SBM!#REF!</definedName>
    <definedName name="Nfix14" localSheetId="14">SBM!#REF!</definedName>
    <definedName name="Nfix14">SBM!#REF!</definedName>
    <definedName name="Nfix18">Sens!$G$146</definedName>
    <definedName name="Nfix18a">Sens!$G$145</definedName>
    <definedName name="Nfix4" localSheetId="10">NR!#REF!</definedName>
    <definedName name="Nfix4" localSheetId="14">NR!#REF!</definedName>
    <definedName name="Nfix4">NR!#REF!</definedName>
    <definedName name="Nfix4v">NR!$G$150</definedName>
    <definedName name="Nfix6">CS!#REF!</definedName>
    <definedName name="Nfix7">OE!$G$100</definedName>
    <definedName name="Nfix8">INV!$G$90</definedName>
    <definedName name="Nfix9">#REF!</definedName>
    <definedName name="Nfixer4" localSheetId="10">NR!#REF!</definedName>
    <definedName name="Nfixer4" localSheetId="4">[2]NR!#REF!</definedName>
    <definedName name="Nfixer4" localSheetId="14">NR!#REF!</definedName>
    <definedName name="Nfixer4">NR!#REF!</definedName>
    <definedName name="Nfixer5" localSheetId="10">CS!#REF!</definedName>
    <definedName name="Nfixer5" localSheetId="4">[2]CS!#REF!</definedName>
    <definedName name="Nfixer5" localSheetId="14">CS!#REF!</definedName>
    <definedName name="Nfixer6" localSheetId="4">[2]OE!$G$79</definedName>
    <definedName name="Nfixers8" localSheetId="4">[2]INV!$G$94</definedName>
    <definedName name="NfixPD" localSheetId="10">PD!#REF!</definedName>
    <definedName name="NfixPD" localSheetId="14">PD!#REF!</definedName>
    <definedName name="NfixPD">PD!#REF!</definedName>
    <definedName name="Nload4" localSheetId="10">NR!#REF!</definedName>
    <definedName name="Nload4" localSheetId="4">[2]NR!#REF!</definedName>
    <definedName name="Nload4" localSheetId="14">NR!#REF!</definedName>
    <definedName name="Nload4">NR!#REF!</definedName>
    <definedName name="nnativ11" localSheetId="10">AM!#REF!</definedName>
    <definedName name="nnativ11" localSheetId="14">AM!#REF!</definedName>
    <definedName name="nnativ11">AM!#REF!</definedName>
    <definedName name="NNfish" localSheetId="10">FA!#REF!</definedName>
    <definedName name="NNfish" localSheetId="4">[2]FR!$G$85</definedName>
    <definedName name="NNfish" localSheetId="14">FR!#REF!</definedName>
    <definedName name="NNfish">FR!#REF!</definedName>
    <definedName name="NNfish9" localSheetId="10">#REF!</definedName>
    <definedName name="NNfish9" localSheetId="4">[2]FA!$G$82</definedName>
    <definedName name="NNfish9" localSheetId="14">#REF!</definedName>
    <definedName name="NNfish9">#REF!</definedName>
    <definedName name="NoAccess9" localSheetId="10">#REF!</definedName>
    <definedName name="NoAccess9" localSheetId="4">[2]FA!#REF!</definedName>
    <definedName name="NoAccess9" localSheetId="14">#REF!</definedName>
    <definedName name="NoAccess9">#REF!</definedName>
    <definedName name="NoCA">#REF!</definedName>
    <definedName name="NoDamageData">#REF!</definedName>
    <definedName name="NoDamageData1">WS!$D$96</definedName>
    <definedName name="NoDataWQdown">OF!$D$170</definedName>
    <definedName name="NoDataWQup">OF!$D$159</definedName>
    <definedName name="NoDeer" localSheetId="10">PD!#REF!</definedName>
    <definedName name="NoDeer" localSheetId="14">PD!#REF!</definedName>
    <definedName name="NoDeer">PD!#REF!</definedName>
    <definedName name="NoDeerPD" localSheetId="10">PD!#REF!</definedName>
    <definedName name="NoDeerPD" localSheetId="14">PD!#REF!</definedName>
    <definedName name="NoDeerPD">PD!#REF!</definedName>
    <definedName name="NoDrainage" localSheetId="10">WS!#REF!</definedName>
    <definedName name="NoDrainage" localSheetId="14">WS!#REF!</definedName>
    <definedName name="NoDrainage">WS!#REF!</definedName>
    <definedName name="NoEm">F!$D$29</definedName>
    <definedName name="NoEmPct" localSheetId="10">EC!#REF!</definedName>
    <definedName name="NoEmPct" localSheetId="14">EC!#REF!</definedName>
    <definedName name="NoEmPct">EC!#REF!</definedName>
    <definedName name="NoFreezeFR" localSheetId="10">FA!#REF!</definedName>
    <definedName name="NoFreezeFR" localSheetId="4">[2]FR!$G$88</definedName>
    <definedName name="NoHerb">F!$D$194</definedName>
    <definedName name="NoHerb_S" localSheetId="10">Sens!#REF!</definedName>
    <definedName name="NoHerb_S" localSheetId="14">Sens!#REF!</definedName>
    <definedName name="NoHerb_S">Sens!#REF!</definedName>
    <definedName name="NoInflo" localSheetId="10">Sens!#REF!</definedName>
    <definedName name="NoInflo" localSheetId="14">Sens!#REF!</definedName>
    <definedName name="NoInflo">Sens!#REF!</definedName>
    <definedName name="NoMowGraze">F!$D$214</definedName>
    <definedName name="NonHydric6" localSheetId="4">[2]OE!$G$117</definedName>
    <definedName name="NonNatvAnim" localSheetId="10">#REF!</definedName>
    <definedName name="NonNatvAnim" localSheetId="4">#REF!</definedName>
    <definedName name="NonNatvAnim" localSheetId="14">#REF!</definedName>
    <definedName name="NonNatvAnim">#REF!</definedName>
    <definedName name="NonPerCovKmType13" localSheetId="10">WBN!#REF!</definedName>
    <definedName name="NonPerCovKmType13" localSheetId="14">WBF!#REF!</definedName>
    <definedName name="NonPerCovKmType13">WBN!#REF!</definedName>
    <definedName name="NontidalFA_LP">FA!#REF!</definedName>
    <definedName name="NoOpenPond">[3]F!$D$57</definedName>
    <definedName name="NoOpenPondDry">[3]F!$D$93</definedName>
    <definedName name="NoOut_S" localSheetId="4">[2]Sen!$D$33</definedName>
    <definedName name="NoOut_S">Sens!$D$115</definedName>
    <definedName name="NoOut3" localSheetId="10">PR!#REF!</definedName>
    <definedName name="NoOut3" localSheetId="14">PR!#REF!</definedName>
    <definedName name="NoOut3">PR!#REF!</definedName>
    <definedName name="NoOutlet">F!$D$166</definedName>
    <definedName name="NoOutlet1" localSheetId="4">[2]WS!$D$52</definedName>
    <definedName name="NoOutlet1">WS!$D$52</definedName>
    <definedName name="NoOutlet10" localSheetId="10">FA!$D$92</definedName>
    <definedName name="NoOutlet10" localSheetId="4">[2]FR!$D$63</definedName>
    <definedName name="NoOutlet10">FR!$D$77</definedName>
    <definedName name="NoOutlet2" localSheetId="4">[2]SR!$D$40</definedName>
    <definedName name="NoOutlet3" localSheetId="4">[2]PR!$D$57</definedName>
    <definedName name="NoOutlet3">PR!$D$68</definedName>
    <definedName name="NoOutlet4" localSheetId="4">[2]NR!$D$53</definedName>
    <definedName name="NoOutlet4">NR!$D$59</definedName>
    <definedName name="NoOutlet5">CS!$D$63</definedName>
    <definedName name="NoOutlet6" localSheetId="4">[2]OE!$D$59</definedName>
    <definedName name="NoOutlet6">OE!$D$78</definedName>
    <definedName name="NoOutlet7" localSheetId="10">WC!#REF!</definedName>
    <definedName name="NoOutlet7" localSheetId="4">[2]T!$D$28</definedName>
    <definedName name="NoOutlet7" localSheetId="14">WC!#REF!</definedName>
    <definedName name="NoOutlet7">WC!#REF!</definedName>
    <definedName name="NoPerm10" localSheetId="10">FA!#REF!</definedName>
    <definedName name="NoPerm10" localSheetId="4">[2]FR!$D$22</definedName>
    <definedName name="NoPerm10" localSheetId="14">FR!#REF!</definedName>
    <definedName name="NoPerm10">FR!#REF!</definedName>
    <definedName name="NoPermW10" localSheetId="10">FA!#REF!</definedName>
    <definedName name="NoPermW10" localSheetId="4">[2]FR!$D$35</definedName>
    <definedName name="NoPermW10">FR!$D$30</definedName>
    <definedName name="NoPond">F!$D$55</definedName>
    <definedName name="NoPond2">F!$D$84</definedName>
    <definedName name="NoPondedOW">[1]F!$D$46</definedName>
    <definedName name="NoPondedOWdry">[1]F!$D$75</definedName>
    <definedName name="NoPondOW">F!$D$62</definedName>
    <definedName name="NoPondOW2">F!$D$91</definedName>
    <definedName name="NoRCA">OF!$D$192</definedName>
    <definedName name="NormalSeasW" localSheetId="10">PD!#REF!</definedName>
    <definedName name="NormalSeasW" localSheetId="4">[2]PD!$G$33</definedName>
    <definedName name="NormalSeasW" localSheetId="14">PD!#REF!</definedName>
    <definedName name="NormalSeasW">PD!#REF!</definedName>
    <definedName name="NoSAV">F!$D$107</definedName>
    <definedName name="NoSCA">OF!$D$212</definedName>
    <definedName name="NoSCA1">OF!$D$211</definedName>
    <definedName name="NoScum_C" localSheetId="10">EC!#REF!</definedName>
    <definedName name="NoScum_C" localSheetId="14">EC!#REF!</definedName>
    <definedName name="NoScum_C">EC!#REF!</definedName>
    <definedName name="NoScum15" localSheetId="10">PD!#REF!</definedName>
    <definedName name="NoScum15" localSheetId="14">PD!#REF!</definedName>
    <definedName name="NoScum15">PD!#REF!</definedName>
    <definedName name="NoScumPD" localSheetId="10">PD!#REF!</definedName>
    <definedName name="NoScumPD" localSheetId="4">[2]PD!$G$43</definedName>
    <definedName name="NoScumPD" localSheetId="14">PD!#REF!</definedName>
    <definedName name="NoScumPD">PD!#REF!</definedName>
    <definedName name="NoSeasonal">F!$D$135</definedName>
    <definedName name="NoTconnec">T!$D$46</definedName>
    <definedName name="NotFen5" localSheetId="10">CS!#REF!</definedName>
    <definedName name="NotFen5" localSheetId="14">CS!#REF!</definedName>
    <definedName name="NotFen5">CS!#REF!</definedName>
    <definedName name="NotNewWet">F!$D$309</definedName>
    <definedName name="NoUpPerCov">F!$D$269</definedName>
    <definedName name="NoWat3" localSheetId="10">PR!#REF!</definedName>
    <definedName name="NoWat3" localSheetId="14">PR!#REF!</definedName>
    <definedName name="NoWat3">PR!#REF!</definedName>
    <definedName name="NoWater1" localSheetId="10">WS!#REF!</definedName>
    <definedName name="NoWater1" localSheetId="4">[2]WS!#REF!</definedName>
    <definedName name="NoWater1" localSheetId="14">WS!#REF!</definedName>
    <definedName name="NoWater1">WS!#REF!</definedName>
    <definedName name="NoWater3" localSheetId="10">PR!#REF!</definedName>
    <definedName name="NoWater3" localSheetId="4">[2]PR!$D$19</definedName>
    <definedName name="NoWater3" localSheetId="14">PR!#REF!</definedName>
    <definedName name="NoWater3">PR!#REF!</definedName>
    <definedName name="NoWater4" localSheetId="10">NR!#REF!</definedName>
    <definedName name="NoWater4" localSheetId="4">[2]NR!#REF!</definedName>
    <definedName name="NoWater4" localSheetId="14">NR!#REF!</definedName>
    <definedName name="NoWater4">NR!#REF!</definedName>
    <definedName name="NoWater4a" localSheetId="10">NR!#REF!</definedName>
    <definedName name="NoWater4a" localSheetId="4">[2]NR!$D$9</definedName>
    <definedName name="NoWater4a" localSheetId="14">NR!#REF!</definedName>
    <definedName name="NoWater4a">NR!#REF!</definedName>
    <definedName name="NoWoody" localSheetId="10">F!#REF!</definedName>
    <definedName name="NoWoody" localSheetId="4">[2]CQ!$G$49</definedName>
    <definedName name="NoWoody" localSheetId="14">F!#REF!</definedName>
    <definedName name="NoWoody">F!$D$222</definedName>
    <definedName name="NoWoody_S" localSheetId="10">Sens!#REF!</definedName>
    <definedName name="NoWoody_S" localSheetId="14">Sens!#REF!</definedName>
    <definedName name="NoWoody_S">Sens!#REF!</definedName>
    <definedName name="NprobUp4" localSheetId="10">NR!#REF!</definedName>
    <definedName name="NprobUp4" localSheetId="4">[2]NR!$D$129</definedName>
    <definedName name="NprobUp4" localSheetId="14">NR!#REF!</definedName>
    <definedName name="NprobUp4">NR!#REF!</definedName>
    <definedName name="Nrank4" localSheetId="10">NR!#REF!</definedName>
    <definedName name="Nrank4" localSheetId="4">[2]NR!$G$142</definedName>
    <definedName name="Nrank4" localSheetId="14">NR!#REF!</definedName>
    <definedName name="Nrank4">NR!#REF!</definedName>
    <definedName name="NRE3a" localSheetId="10">NR!#REF!</definedName>
    <definedName name="NRE3a" localSheetId="4">[2]NR!$G$168</definedName>
    <definedName name="NRE3a" localSheetId="14">NR!#REF!</definedName>
    <definedName name="NRE3a">NR!#REF!</definedName>
    <definedName name="Nsource">NR!#REF!</definedName>
    <definedName name="Nsource4" localSheetId="10">NR!#REF!</definedName>
    <definedName name="Nsource4" localSheetId="4">[2]NR!$G$147</definedName>
    <definedName name="Nsource4" localSheetId="14">NR!#REF!</definedName>
    <definedName name="Nsource4">NR!#REF!</definedName>
    <definedName name="NtidalJux12" localSheetId="10">#REF!</definedName>
    <definedName name="NtidalJux12" localSheetId="4">[2]WBF!$G$12</definedName>
    <definedName name="NtidalJux12" localSheetId="14">#REF!</definedName>
    <definedName name="NtidalJux12">#REF!</definedName>
    <definedName name="NtidalJux14" localSheetId="10">SBM!#REF!</definedName>
    <definedName name="NtidalJux14" localSheetId="4">[2]SBM!$G$9</definedName>
    <definedName name="NtidalJux14" localSheetId="14">SBM!#REF!</definedName>
    <definedName name="NtidalJux14">SBM!#REF!</definedName>
    <definedName name="NtidalProx9" localSheetId="10">#REF!</definedName>
    <definedName name="NtidalProx9" localSheetId="4">[2]FA!$G$14</definedName>
    <definedName name="NtidalProx9" localSheetId="14">#REF!</definedName>
    <definedName name="NtidalProx9">#REF!</definedName>
    <definedName name="NutrAvail5">CS!$G$181</definedName>
    <definedName name="NutrAvail7">OE!$G$228</definedName>
    <definedName name="Nutrients15" localSheetId="10">PD!#REF!</definedName>
    <definedName name="Nutrients15" localSheetId="14">PD!#REF!</definedName>
    <definedName name="Nutrients15">PD!#REF!</definedName>
    <definedName name="NutrIn20" localSheetId="10">PD!#REF!</definedName>
    <definedName name="NutrIn20" localSheetId="14">PD!#REF!</definedName>
    <definedName name="NutrIn20">PD!#REF!</definedName>
    <definedName name="NutrIn5">[1]NR!$G$185</definedName>
    <definedName name="NutrIn8" localSheetId="10">INV!#REF!</definedName>
    <definedName name="NutrIn8" localSheetId="4">[2]INV!$G$139</definedName>
    <definedName name="NutrIn8" localSheetId="14">INV!#REF!</definedName>
    <definedName name="NutrIn8">INV!#REF!</definedName>
    <definedName name="NutrIn9" localSheetId="4">[2]FA!$G$118</definedName>
    <definedName name="NutrIn9">#REF!</definedName>
    <definedName name="NutrLoad">STR!$G$133</definedName>
    <definedName name="NutrLoad4v">PR!$G$241</definedName>
    <definedName name="OpenlandPct11" localSheetId="10">AM!#REF!</definedName>
    <definedName name="OpenlandPct11" localSheetId="14">AM!#REF!</definedName>
    <definedName name="OpenlandPct11">AM!#REF!</definedName>
    <definedName name="OpenlandProx11" localSheetId="10">AM!#REF!</definedName>
    <definedName name="OpenlandProx11" localSheetId="14">AM!#REF!</definedName>
    <definedName name="OpenlandProx11">AM!#REF!</definedName>
    <definedName name="OpenLpct12">WBF!$G$25</definedName>
    <definedName name="OpenLpct13">WBN!$G$28</definedName>
    <definedName name="OpenLpct16">POL!$G$31</definedName>
    <definedName name="OpenPctScape12" localSheetId="4">[2]WBF!$G$112</definedName>
    <definedName name="OpenPctScape12">#REF!</definedName>
    <definedName name="OpenScapeProx12" localSheetId="4">[2]WBF!$G$118</definedName>
    <definedName name="OpenScapeProx12">#REF!</definedName>
    <definedName name="OpenStrucs14" localSheetId="10">SBM!#REF!</definedName>
    <definedName name="OpenStrucs14" localSheetId="4">[2]SBM!#REF!</definedName>
    <definedName name="OpenStrucs14" localSheetId="14">SBM!#REF!</definedName>
    <definedName name="OpenStrucs14">SBM!#REF!</definedName>
    <definedName name="OpenW">F!$D$53</definedName>
    <definedName name="OpenWpct13" localSheetId="10">WBN!#REF!</definedName>
    <definedName name="OpenWpct13" localSheetId="14">WBF!#REF!</definedName>
    <definedName name="OpenWpct13">WBN!#REF!</definedName>
    <definedName name="Organic4">NR!$G$168</definedName>
    <definedName name="OutDur10" localSheetId="10">FA!#REF!</definedName>
    <definedName name="OutDur10" localSheetId="14">FR!#REF!</definedName>
    <definedName name="OutDur10">FR!#REF!</definedName>
    <definedName name="OutDur2" localSheetId="4">[2]SR!$G$36</definedName>
    <definedName name="OutDur2_">#REF!</definedName>
    <definedName name="OutDur7" localSheetId="4">[2]T!$G$24</definedName>
    <definedName name="OutDura_S" localSheetId="4">[2]Sen!$G$29</definedName>
    <definedName name="OutDura1" localSheetId="4">[2]WS!$G$48</definedName>
    <definedName name="OutDura1">WS!$G$48</definedName>
    <definedName name="OutDura10" localSheetId="4">[2]FR!$G$59</definedName>
    <definedName name="OutDura10">FR!$G$73</definedName>
    <definedName name="OutDura18">Sens!$G$112</definedName>
    <definedName name="OutDura18a">Sens!$G$111</definedName>
    <definedName name="OutDura2v">WC!$G$105</definedName>
    <definedName name="OutDura3" localSheetId="4">[2]PR!$G$53</definedName>
    <definedName name="OutDura3">SR!$G$51</definedName>
    <definedName name="OutDura4" localSheetId="4">[2]NR!$G$49</definedName>
    <definedName name="OutDura4">PR!$G$64</definedName>
    <definedName name="OutDura5" localSheetId="4">[2]CS!$G$58</definedName>
    <definedName name="OutDura5">NR!$G$55</definedName>
    <definedName name="OutDura6" localSheetId="4">[2]OE!$G$55</definedName>
    <definedName name="OutDura6">CS!$G$59</definedName>
    <definedName name="OutDura7">OE!$G$74</definedName>
    <definedName name="OutDura9" localSheetId="4">[2]FA!$G$50</definedName>
    <definedName name="OutDura9">FA!$G$88</definedName>
    <definedName name="OutDuraT11">AM!$G$222</definedName>
    <definedName name="OutDuraT7">OE!$G$162</definedName>
    <definedName name="OutDuraT9">FA!$G$155</definedName>
    <definedName name="Outlet4" localSheetId="10">NR!#REF!</definedName>
    <definedName name="Outlet4" localSheetId="14">NR!#REF!</definedName>
    <definedName name="Outlet4p" localSheetId="10">NR!#REF!</definedName>
    <definedName name="Outlet4p" localSheetId="14">NR!#REF!</definedName>
    <definedName name="Outlet4p">NR!#REF!</definedName>
    <definedName name="OWarea13" localSheetId="14">WBF!#REF!</definedName>
    <definedName name="OWareaDry13">WBN!$G$123</definedName>
    <definedName name="OWareaDry17v">PU!$G$15</definedName>
    <definedName name="OWareaWet1">WS!$G$32</definedName>
    <definedName name="OWareaWet12">WBF!$G$85</definedName>
    <definedName name="OWareaWet13">WBN!#REF!</definedName>
    <definedName name="Owner" localSheetId="10">PU!#REF!</definedName>
    <definedName name="Owner" localSheetId="14">PU!#REF!</definedName>
    <definedName name="Owner">PU!#REF!</definedName>
    <definedName name="Ownership" localSheetId="4">[2]PU!$G$6</definedName>
    <definedName name="Ownership17v">PU!$G$25</definedName>
    <definedName name="OwnershipT17v">PU!$G$84</definedName>
    <definedName name="OwnerSS" localSheetId="10">STR!#REF!</definedName>
    <definedName name="OwnerSS" localSheetId="14">STR!#REF!</definedName>
    <definedName name="OwnerSS">STR!#REF!</definedName>
    <definedName name="OWpct1" localSheetId="10">WS!#REF!</definedName>
    <definedName name="OWpct1" localSheetId="14">WS!#REF!</definedName>
    <definedName name="OWpct1">WS!#REF!</definedName>
    <definedName name="OWpct13" localSheetId="14">WBF!#REF!</definedName>
    <definedName name="PchemStress11">AM!$G$286</definedName>
    <definedName name="Pcp_S" localSheetId="10">Sens!#REF!</definedName>
    <definedName name="Pcp_S" localSheetId="4">[2]Sen!$G$179</definedName>
    <definedName name="Pcp_S" localSheetId="14">Sens!#REF!</definedName>
    <definedName name="Pcp_S">Sens!#REF!</definedName>
    <definedName name="PdataDown3" localSheetId="10">PR!#REF!</definedName>
    <definedName name="PdataDown3" localSheetId="14">PR!#REF!</definedName>
    <definedName name="PdataDown3">PR!#REF!</definedName>
    <definedName name="PdataUp3" localSheetId="10">PR!#REF!</definedName>
    <definedName name="PdataUp3" localSheetId="14">PR!#REF!</definedName>
    <definedName name="PdataUp3">PR!#REF!</definedName>
    <definedName name="PdataUpDis3" localSheetId="10">PR!#REF!</definedName>
    <definedName name="PdataUpDis3" localSheetId="4">[2]PR!#REF!</definedName>
    <definedName name="PdataUpDis3" localSheetId="14">PR!#REF!</definedName>
    <definedName name="PdataUpDis3">PR!#REF!</definedName>
    <definedName name="PdownDis3" localSheetId="10">PR!#REF!</definedName>
    <definedName name="PdownDis3" localSheetId="4">[2]PR!$G$137</definedName>
    <definedName name="PdownDis3" localSheetId="14">PR!#REF!</definedName>
    <definedName name="PdownDis3">PR!#REF!</definedName>
    <definedName name="PerCov1km13" localSheetId="10">WBN!#REF!</definedName>
    <definedName name="PerCov1km13" localSheetId="14">WBF!#REF!</definedName>
    <definedName name="PerCov1km13">WBN!#REF!</definedName>
    <definedName name="PerCovKmType13" localSheetId="10">WBN!#REF!</definedName>
    <definedName name="PerCovKmType13" localSheetId="14">WBF!#REF!</definedName>
    <definedName name="PerCovKmType13">WBN!#REF!</definedName>
    <definedName name="PerCovPct11">AM!$G$30</definedName>
    <definedName name="PerCovPct14">SBM!$G$32</definedName>
    <definedName name="PerCovPct16">POL!$G$25</definedName>
    <definedName name="PerCovPct18">Sens!$G$30</definedName>
    <definedName name="PerCovPct20">STR!$G$25</definedName>
    <definedName name="PerCovPct9">FA!$G$3</definedName>
    <definedName name="PerenCov2WS4v">[3]PR!$G$118</definedName>
    <definedName name="PerenCovWS2v2">[3]SR!$G$112</definedName>
    <definedName name="PerennAll">OF!$D$59</definedName>
    <definedName name="PerimCov13" localSheetId="14">WBF!#REF!</definedName>
    <definedName name="PerimCov13">WBN!$G$190</definedName>
    <definedName name="PerimPctPer11">AM!$G$160</definedName>
    <definedName name="PerimPctPer12">WBF!$G$149</definedName>
    <definedName name="PerimPctPer13">WBN!$G$190</definedName>
    <definedName name="PerimPctPer14">SBM!$G$157</definedName>
    <definedName name="PerimPctPer15">PD!$G$127</definedName>
    <definedName name="PerimPctPer16">POL!$G$72</definedName>
    <definedName name="PerimPctPer16v">POL!$G$142</definedName>
    <definedName name="PerimPctPer18">Sens!$G$152</definedName>
    <definedName name="PerimPctPer18a">Sens!$G$151</definedName>
    <definedName name="PerimPctPer20">STR!$G$79</definedName>
    <definedName name="PerimPctPer2v">WC!$G$110</definedName>
    <definedName name="PerimPctPer3v">SR!$G$189</definedName>
    <definedName name="PerimPctPer4v">PR!$G$217</definedName>
    <definedName name="PerimPctPer8">INV!$G$96</definedName>
    <definedName name="PerimPctPer9">FA!$G$108</definedName>
    <definedName name="PerimPctPerT11">AM!$G$234</definedName>
    <definedName name="PerimPctPerT14">SBM!$G$257</definedName>
    <definedName name="PerimPctPerT15">PD!$G$234</definedName>
    <definedName name="PerimPctPerT9">FA!$G$189</definedName>
    <definedName name="PerimPerT">STR!$G$118</definedName>
    <definedName name="PermPctAll12">#REF!</definedName>
    <definedName name="PermType">F!$D$12</definedName>
    <definedName name="PermW16">POL!#REF!</definedName>
    <definedName name="PermW4">PR!$G$13</definedName>
    <definedName name="PermW5">NR!$G$15</definedName>
    <definedName name="PermW6">CS!$G$11</definedName>
    <definedName name="PermW8">INV!$G$14</definedName>
    <definedName name="PermWarea10" localSheetId="10">FA!#REF!</definedName>
    <definedName name="PermWarea10" localSheetId="14">FR!#REF!</definedName>
    <definedName name="PermWarea10">FR!#REF!</definedName>
    <definedName name="PermWaterAll14" localSheetId="10">SBM!#REF!</definedName>
    <definedName name="PermWaterAll14" localSheetId="4">[2]SBM!$D$16</definedName>
    <definedName name="PermWaterAll14" localSheetId="14">SBM!#REF!</definedName>
    <definedName name="PermWaterAll14">SBM!#REF!</definedName>
    <definedName name="PermWpct1">WS!$G$20</definedName>
    <definedName name="PermWpct10" localSheetId="10">FA!#REF!</definedName>
    <definedName name="PermWpct10">FR!$G$27</definedName>
    <definedName name="PermWpct11">AM!$G$71</definedName>
    <definedName name="PermWpct12" localSheetId="4">[2]WBF!$G$30</definedName>
    <definedName name="PermWpct12">WBF!$G$50</definedName>
    <definedName name="PermWpct13" localSheetId="4">[2]WBN!$G$16</definedName>
    <definedName name="PermWpct13">WBN!$G$71</definedName>
    <definedName name="PermWpct14">SBM!#REF!</definedName>
    <definedName name="PermWpct3" localSheetId="10">PR!#REF!</definedName>
    <definedName name="PermWpct3" localSheetId="4">[2]PR!#REF!</definedName>
    <definedName name="PermWpct3" localSheetId="14">PR!#REF!</definedName>
    <definedName name="PermWpct3">PR!#REF!</definedName>
    <definedName name="PermWpct4" localSheetId="4">[2]NR!$G$17</definedName>
    <definedName name="PermWpct5" localSheetId="4">[2]CS!$G$28</definedName>
    <definedName name="PermWpct8" localSheetId="4">[2]INV!$G$23</definedName>
    <definedName name="PermWpd" localSheetId="10">PD!#REF!</definedName>
    <definedName name="PermWpd" localSheetId="14">PD!#REF!</definedName>
    <definedName name="PermWpd">PD!#REF!</definedName>
    <definedName name="PerrKmPct11" localSheetId="10">AM!#REF!</definedName>
    <definedName name="PerrKmPct11" localSheetId="14">AM!#REF!</definedName>
    <definedName name="PerrKmPct11">AM!#REF!</definedName>
    <definedName name="Persis3" localSheetId="4">[2]PR!$G$27</definedName>
    <definedName name="persist0" localSheetId="4">[2]POL!$G$9</definedName>
    <definedName name="PersistPct1" localSheetId="10">WS!#REF!</definedName>
    <definedName name="PersistPct1" localSheetId="4">[2]WS!$G$22</definedName>
    <definedName name="PersistPct1" localSheetId="14">WS!#REF!</definedName>
    <definedName name="PersistPct1">WS!#REF!</definedName>
    <definedName name="PersistPct2" localSheetId="10">SR!#REF!</definedName>
    <definedName name="PersistPct2" localSheetId="4">[2]SR!$G$123</definedName>
    <definedName name="PersistPct2" localSheetId="14">SR!#REF!</definedName>
    <definedName name="PersistPct2">SR!#REF!</definedName>
    <definedName name="PestAnim10">FR!$G$70</definedName>
    <definedName name="PestAnim11">AM!$G$138</definedName>
    <definedName name="PestAnim19">EC!$G$17</definedName>
    <definedName name="PestAnim9">FA!$G$85</definedName>
    <definedName name="PestFish10" localSheetId="10">FA!#REF!</definedName>
    <definedName name="PestFish10" localSheetId="4">[2]FR!$G$82</definedName>
    <definedName name="PestFish10" localSheetId="14">FR!#REF!</definedName>
    <definedName name="PestFish10">FR!#REF!</definedName>
    <definedName name="PestFish11" localSheetId="10">AM!#REF!</definedName>
    <definedName name="PestFish11" localSheetId="14">AM!#REF!</definedName>
    <definedName name="PestFish11">AM!#REF!</definedName>
    <definedName name="PestFish9" localSheetId="10">#REF!</definedName>
    <definedName name="PestFish9" localSheetId="4">[2]FA!$G$79</definedName>
    <definedName name="PestFish9" localSheetId="14">#REF!</definedName>
    <definedName name="PestFish9">#REF!</definedName>
    <definedName name="PhysAccess" localSheetId="10">#REF!</definedName>
    <definedName name="PhysAccess" localSheetId="4">#REF!</definedName>
    <definedName name="PhysAccess" localSheetId="14">#REF!</definedName>
    <definedName name="PhysAccess">#REF!</definedName>
    <definedName name="PhysAccum5">CS!$G$182</definedName>
    <definedName name="Physical" localSheetId="10">EC!#REF!</definedName>
    <definedName name="Physical" localSheetId="4">[2]CQ!#REF!</definedName>
    <definedName name="Physical" localSheetId="14">EC!#REF!</definedName>
    <definedName name="Physical">EC!#REF!</definedName>
    <definedName name="PlantCov5">CS!$G$180</definedName>
    <definedName name="PlantCov7">OE!$G$227</definedName>
    <definedName name="PlantSiteS" localSheetId="10">Sens!#REF!</definedName>
    <definedName name="PlantSiteS" localSheetId="14">Sens!#REF!</definedName>
    <definedName name="PlantSiteS">Sens!#REF!</definedName>
    <definedName name="Playa" localSheetId="10">#REF!</definedName>
    <definedName name="Playa" localSheetId="4">#REF!</definedName>
    <definedName name="Playa" localSheetId="14">#REF!</definedName>
    <definedName name="Playa">F!$D$355</definedName>
    <definedName name="Playa10" localSheetId="10">FA!#REF!</definedName>
    <definedName name="Playa10" localSheetId="4">[2]FR!$D$4</definedName>
    <definedName name="Playa10" localSheetId="14">FR!#REF!</definedName>
    <definedName name="Playa10">FR!#REF!</definedName>
    <definedName name="Playa11" localSheetId="10">AM!#REF!</definedName>
    <definedName name="Playa11" localSheetId="14">AM!#REF!</definedName>
    <definedName name="Playa11">AM!#REF!</definedName>
    <definedName name="Playa12" localSheetId="10">#REF!</definedName>
    <definedName name="Playa12" localSheetId="4">[2]WBF!$D$4</definedName>
    <definedName name="Playa12" localSheetId="14">#REF!</definedName>
    <definedName name="Playa12">#REF!</definedName>
    <definedName name="Playa12a" localSheetId="10">#REF!</definedName>
    <definedName name="Playa12a" localSheetId="14">#REF!</definedName>
    <definedName name="Playa12a">#REF!</definedName>
    <definedName name="Playa5" localSheetId="10">CS!#REF!</definedName>
    <definedName name="Playa5" localSheetId="4">[2]CS!$D$4</definedName>
    <definedName name="Playa5" localSheetId="14">CS!#REF!</definedName>
    <definedName name="Playa5">CS!#REF!</definedName>
    <definedName name="Playa8" localSheetId="10">INV!#REF!</definedName>
    <definedName name="Playa8" localSheetId="4">[2]INV!$D$3</definedName>
    <definedName name="Playa8" localSheetId="14">INV!#REF!</definedName>
    <definedName name="Playa8">INV!#REF!</definedName>
    <definedName name="Playa9" localSheetId="10">#REF!</definedName>
    <definedName name="Playa9" localSheetId="4">[2]FA!$D$4</definedName>
    <definedName name="Playa9" localSheetId="14">#REF!</definedName>
    <definedName name="Playa9">#REF!</definedName>
    <definedName name="Pload3" localSheetId="4">[2]PR!$G$146</definedName>
    <definedName name="PolFscoreLP">POL!#REF!</definedName>
    <definedName name="PollenOff">POL!$G$151</definedName>
    <definedName name="PollenOn">POL!$G$150</definedName>
    <definedName name="Pollu8" localSheetId="10">INV!#REF!</definedName>
    <definedName name="Pollu8" localSheetId="14">INV!#REF!</definedName>
    <definedName name="Pollu8">INV!#REF!</definedName>
    <definedName name="PolluIn" localSheetId="10">INV!#REF!</definedName>
    <definedName name="PolluIn" localSheetId="4">[2]INV!$G$136</definedName>
    <definedName name="PolluIn" localSheetId="14">INV!#REF!</definedName>
    <definedName name="PolluIn">INV!#REF!</definedName>
    <definedName name="PolluIn13" localSheetId="10">WBN!#REF!</definedName>
    <definedName name="PolluIn13" localSheetId="14">WBF!#REF!</definedName>
    <definedName name="PolluIn13">WBN!#REF!</definedName>
    <definedName name="PolluIn14" localSheetId="4">[2]WBF!$D$159</definedName>
    <definedName name="PolluIn14">#REF!</definedName>
    <definedName name="PondedPctScape12">WBF!#REF!</definedName>
    <definedName name="PondedPctScape13">WBN!#REF!</definedName>
    <definedName name="PondedPctScape18">Sens!#REF!</definedName>
    <definedName name="PondPctScape11" localSheetId="4">[2]AM!$G$200</definedName>
    <definedName name="PondPctScape11">AM!#REF!</definedName>
    <definedName name="PondPctScape12" localSheetId="4">[2]WBF!$G$123</definedName>
    <definedName name="PondPctScape12">#REF!</definedName>
    <definedName name="PondPctScape14" localSheetId="4">[2]SBM!$G$159</definedName>
    <definedName name="PondPctScape14">SBM!#REF!</definedName>
    <definedName name="PondProx_S" localSheetId="4">[2]Sen!$G$146</definedName>
    <definedName name="PondProx11" localSheetId="4">[2]AM!$G$207</definedName>
    <definedName name="PondProx12" localSheetId="4">[2]WBF!$G$130</definedName>
    <definedName name="PondProx12">#REF!</definedName>
    <definedName name="PondProx13" localSheetId="4">[2]WBN!$G$155</definedName>
    <definedName name="PondProx14" localSheetId="4">[2]SBM!$G$166</definedName>
    <definedName name="PondProx15" localSheetId="4">[2]PD!$G$156</definedName>
    <definedName name="PondScape_S" localSheetId="4">[2]Sen!$G$139</definedName>
    <definedName name="PondScape15" localSheetId="4">[2]PD!$G$149</definedName>
    <definedName name="PondScape15">PD!#REF!</definedName>
    <definedName name="PondScapePct13" localSheetId="10">WBN!#REF!</definedName>
    <definedName name="PondScapePct13" localSheetId="4">[2]WBN!$G$148</definedName>
    <definedName name="PondScapePct13" localSheetId="14">WBF!#REF!</definedName>
    <definedName name="PondScapePct13">WBN!#REF!</definedName>
    <definedName name="PondSizeVar11" localSheetId="10">AM!#REF!</definedName>
    <definedName name="PondSizeVar11" localSheetId="14">AM!#REF!</definedName>
    <definedName name="PondSizeVar11">AM!#REF!</definedName>
    <definedName name="PondWpctDry10">FR!$G$55</definedName>
    <definedName name="PondWpctDry11">AM!$G$101</definedName>
    <definedName name="PondWpctDry13">WBN!$G$116</definedName>
    <definedName name="PondWpctDry18">Sens!$G$93</definedName>
    <definedName name="PondWpctDry18a">Sens!$G$92</definedName>
    <definedName name="PondWpctDry2">WC!$G$35</definedName>
    <definedName name="PondWpctDry9">FA!$G$69</definedName>
    <definedName name="PondWpctWet1">WS!$G$25</definedName>
    <definedName name="PondWpctWet11">AM!$G$82</definedName>
    <definedName name="PondWpctWet12">WBF!$G$78</definedName>
    <definedName name="PondWpctWet13">WBN!#REF!</definedName>
    <definedName name="PondWpctWet2">WC!#REF!</definedName>
    <definedName name="PondWpctWet3">SR!#REF!</definedName>
    <definedName name="PondWpctWet6">CS!$G$28</definedName>
    <definedName name="PondWpctWet7">OE!$G$41</definedName>
    <definedName name="PondWpctWet8">INV!$G$42</definedName>
    <definedName name="PopCtr12">#REF!</definedName>
    <definedName name="PopCtr14" localSheetId="10">SBM!#REF!</definedName>
    <definedName name="PopCtr14" localSheetId="14">SBM!#REF!</definedName>
    <definedName name="PopCtr14">SBM!#REF!</definedName>
    <definedName name="PopCtr15" localSheetId="10">PD!#REF!</definedName>
    <definedName name="PopCtr15" localSheetId="14">PD!#REF!</definedName>
    <definedName name="PopCtr15">PD!#REF!</definedName>
    <definedName name="PopCtrDisS">#REF!</definedName>
    <definedName name="PopCtrDist" localSheetId="10">STR!#REF!</definedName>
    <definedName name="PopCtrDist" localSheetId="14">STR!#REF!</definedName>
    <definedName name="PopCtrDist">STR!#REF!</definedName>
    <definedName name="PopDist10" localSheetId="10">FA!#REF!</definedName>
    <definedName name="PopDist10" localSheetId="14">FR!#REF!</definedName>
    <definedName name="PopDist10">FR!#REF!</definedName>
    <definedName name="PopDist4" localSheetId="10">NR!#REF!</definedName>
    <definedName name="PopDist4" localSheetId="14">NR!#REF!</definedName>
    <definedName name="PopDist4">NR!#REF!</definedName>
    <definedName name="PosShed3" localSheetId="10">PR!#REF!</definedName>
    <definedName name="PosShed3" localSheetId="4">[2]PR!$G$107</definedName>
    <definedName name="PosShed3" localSheetId="14">PR!#REF!</definedName>
    <definedName name="PosShed3">PR!#REF!</definedName>
    <definedName name="PprobUp2" localSheetId="10">PR!#REF!</definedName>
    <definedName name="PprobUp2" localSheetId="4">[2]PR!$D$134</definedName>
    <definedName name="PprobUp2" localSheetId="14">PR!#REF!</definedName>
    <definedName name="PprobUp2">PR!#REF!</definedName>
    <definedName name="PR5v">[3]NR!$G$118</definedName>
    <definedName name="Prank3" localSheetId="10">PR!#REF!</definedName>
    <definedName name="Prank3" localSheetId="4">[2]PR!$G$141</definedName>
    <definedName name="Prank3" localSheetId="14">PR!#REF!</definedName>
    <definedName name="Prank3">PR!#REF!</definedName>
    <definedName name="Precip11" localSheetId="10">AM!#REF!</definedName>
    <definedName name="Precip11" localSheetId="4">[2]AM!$G$237</definedName>
    <definedName name="Precip11" localSheetId="14">AM!#REF!</definedName>
    <definedName name="Precip11">AM!#REF!</definedName>
    <definedName name="Precip12" localSheetId="10">#REF!</definedName>
    <definedName name="Precip12" localSheetId="4">[2]WBF!$G$174</definedName>
    <definedName name="Precip12" localSheetId="14">#REF!</definedName>
    <definedName name="Precip12">#REF!</definedName>
    <definedName name="PrecipAnnu" localSheetId="10">#REF!</definedName>
    <definedName name="PrecipAnnu" localSheetId="4">#REF!</definedName>
    <definedName name="PrecipAnnu" localSheetId="14">#REF!</definedName>
    <definedName name="PrecipAnnu">#REF!</definedName>
    <definedName name="PrecipPD" localSheetId="10">PD!#REF!</definedName>
    <definedName name="PrecipPD" localSheetId="4">[2]PD!$G$188</definedName>
    <definedName name="PrecipPD" localSheetId="14">PD!#REF!</definedName>
    <definedName name="PrecipPD">PD!#REF!</definedName>
    <definedName name="_xlnm.Print_Area" localSheetId="2">F!$A$1:$G$362</definedName>
    <definedName name="_xlnm.Print_Area" localSheetId="1">OF!$A$1:$G$232</definedName>
    <definedName name="_xlnm.Print_Area" localSheetId="4">S!$A$1:$F$86</definedName>
    <definedName name="_xlnm.Print_Area" localSheetId="5">Scores!$A$1:$G$36</definedName>
    <definedName name="_xlnm.Print_Area" localSheetId="3">T!$A$1:$F$237</definedName>
    <definedName name="PrivateOwn">F!$D$315</definedName>
    <definedName name="PrivateOwnT">T!$D$232</definedName>
    <definedName name="Produc10" localSheetId="10">FA!#REF!</definedName>
    <definedName name="Produc10" localSheetId="14">FR!#REF!</definedName>
    <definedName name="Produc10">FR!#REF!</definedName>
    <definedName name="Produc11" localSheetId="10">AM!#REF!</definedName>
    <definedName name="Produc11" localSheetId="14">AM!#REF!</definedName>
    <definedName name="Produc11">AM!#REF!</definedName>
    <definedName name="Produc12">WBF!$G$266</definedName>
    <definedName name="Produc13" localSheetId="10">WBN!#REF!</definedName>
    <definedName name="Produc13" localSheetId="14">WBF!#REF!</definedName>
    <definedName name="Produc13">WBN!$G$255</definedName>
    <definedName name="Produc14">SBM!$G$310</definedName>
    <definedName name="Produc9">#REF!</definedName>
    <definedName name="Productiv6">[3]CS!$G$120</definedName>
    <definedName name="Productiv7">OE!$G$225</definedName>
    <definedName name="ProtecStatus" localSheetId="10">PU!#REF!</definedName>
    <definedName name="ProtecStatus" localSheetId="14">PU!#REF!</definedName>
    <definedName name="ProtecStatus">PU!#REF!</definedName>
    <definedName name="PRval">PR!$G$250</definedName>
    <definedName name="PRvX">PR!#REF!</definedName>
    <definedName name="PubAccess" localSheetId="10">PU!#REF!</definedName>
    <definedName name="PubAccess" localSheetId="4">[2]PU!$G$9</definedName>
    <definedName name="PubAccess" localSheetId="14">PU!#REF!</definedName>
    <definedName name="PubAccess">PU!#REF!</definedName>
    <definedName name="Rare11" localSheetId="10">AM!#REF!</definedName>
    <definedName name="Rare11" localSheetId="4">[2]AM!$G$232</definedName>
    <definedName name="Rare11" localSheetId="14">AM!#REF!</definedName>
    <definedName name="Rare11">AM!#REF!</definedName>
    <definedName name="Rare12" localSheetId="4">[2]WBF!$G$170</definedName>
    <definedName name="Rare12">#REF!</definedName>
    <definedName name="Rare13" localSheetId="4">[2]WBN!$G$199</definedName>
    <definedName name="Rare14" localSheetId="4">[2]SBM!$G$199</definedName>
    <definedName name="rare8" localSheetId="10">INV!#REF!</definedName>
    <definedName name="rare8" localSheetId="4">[2]INV!$G$144</definedName>
    <definedName name="rare8" localSheetId="14">INV!#REF!</definedName>
    <definedName name="rare8">INV!#REF!</definedName>
    <definedName name="RareAll" localSheetId="4">[2]CQ!$G$76</definedName>
    <definedName name="rarecommu" localSheetId="10">POL!#REF!</definedName>
    <definedName name="rarecommu" localSheetId="4">[2]POL!$G$123</definedName>
    <definedName name="rarecommu" localSheetId="14">POL!#REF!</definedName>
    <definedName name="rarecommu">POL!#REF!</definedName>
    <definedName name="RareComPD" localSheetId="10">PD!#REF!</definedName>
    <definedName name="RareComPD" localSheetId="14">PD!#REF!</definedName>
    <definedName name="RareComPD">PD!#REF!</definedName>
    <definedName name="RareFish10" localSheetId="10">FA!#REF!</definedName>
    <definedName name="RareFish10">FR!$G$97</definedName>
    <definedName name="RareFNA" localSheetId="10">FA!#REF!</definedName>
    <definedName name="RareFNA" localSheetId="4">[2]FR!$G$106</definedName>
    <definedName name="RareFNA" localSheetId="14">FR!#REF!</definedName>
    <definedName name="RareFNA">FR!#REF!</definedName>
    <definedName name="RareFR" localSheetId="10">FA!#REF!</definedName>
    <definedName name="RareFR" localSheetId="14">FR!#REF!</definedName>
    <definedName name="RareFR">FR!#REF!</definedName>
    <definedName name="rareherb" localSheetId="4">[2]POL!$G$122</definedName>
    <definedName name="RareInvert8">INV!$G$195</definedName>
    <definedName name="RareOnsite18">Sens!$G$196</definedName>
    <definedName name="RareOnsite18a">Sens!$G$195</definedName>
    <definedName name="RareOnsite19">EC!$G$48</definedName>
    <definedName name="RarePcom" localSheetId="10">PD!#REF!</definedName>
    <definedName name="RarePcom" localSheetId="4">[2]PD!$G$183</definedName>
    <definedName name="RarePcom" localSheetId="14">PD!#REF!</definedName>
    <definedName name="RarePcom">PD!#REF!</definedName>
    <definedName name="RarePspp" localSheetId="4">[2]PD!$G$178</definedName>
    <definedName name="RarePspp15v">PD!$G$289</definedName>
    <definedName name="RarePspp16v">POL!$G$132</definedName>
    <definedName name="RareSBM14v">SBM!$G$285</definedName>
    <definedName name="RareSpPD">PD!$D$289</definedName>
    <definedName name="raretyp18">Sens!$G$184</definedName>
    <definedName name="RareTyp18a">Sens!$G$183</definedName>
    <definedName name="RareType" localSheetId="10">#REF!</definedName>
    <definedName name="RareType" localSheetId="4">#REF!</definedName>
    <definedName name="RareType" localSheetId="14">#REF!</definedName>
    <definedName name="RareType">#REF!</definedName>
    <definedName name="RareType15v">PD!$G$299</definedName>
    <definedName name="RareTypePD" localSheetId="10">PD!#REF!</definedName>
    <definedName name="RareTypePD" localSheetId="14">PD!#REF!</definedName>
    <definedName name="RareTypePD">PD!#REF!</definedName>
    <definedName name="RareTypeT">SBM!$G$278</definedName>
    <definedName name="RareTypeT15v">PD!$G$311</definedName>
    <definedName name="RareTypeT2">Sens!$G$239</definedName>
    <definedName name="RareWBF12v">WBF!$G$246</definedName>
    <definedName name="RareWBN13v">WBN!$G$229</definedName>
    <definedName name="Rd3Dens1" localSheetId="10">WC!#REF!</definedName>
    <definedName name="Rd3Dens1" localSheetId="14">WC!#REF!</definedName>
    <definedName name="Rd3Dens1">WC!#REF!</definedName>
    <definedName name="Rd3Dens7" localSheetId="10">WC!#REF!</definedName>
    <definedName name="Rd3Dens7" localSheetId="14">WC!#REF!</definedName>
    <definedName name="Rd3Dens7">WC!#REF!</definedName>
    <definedName name="RdBox" localSheetId="10">STR!#REF!</definedName>
    <definedName name="RdBox" localSheetId="4">[2]STR!$G$61</definedName>
    <definedName name="RdBox" localSheetId="14">STR!#REF!</definedName>
    <definedName name="RdBox">STR!#REF!</definedName>
    <definedName name="RdBox14" localSheetId="10">SBM!#REF!</definedName>
    <definedName name="RdBox14" localSheetId="4">[2]SBM!$G$108</definedName>
    <definedName name="RdBox14" localSheetId="14">SBM!#REF!</definedName>
    <definedName name="RdBox14">SBM!#REF!</definedName>
    <definedName name="RdDens15">[3]PH!$G$40</definedName>
    <definedName name="RdDens17v">[3]PU!$G$9</definedName>
    <definedName name="RdDens20">[3]STR!$G$76</definedName>
    <definedName name="RdDens4">NR!$G$146</definedName>
    <definedName name="RdDis11" localSheetId="4">[2]AM!$G$167</definedName>
    <definedName name="RdDis13" localSheetId="4">[2]WBN!$G$179</definedName>
    <definedName name="RdDis13" localSheetId="14">WBF!#REF!</definedName>
    <definedName name="RdDist13" localSheetId="10">WBN!#REF!</definedName>
    <definedName name="RdDist13" localSheetId="14">WBF!#REF!</definedName>
    <definedName name="RdDist13">WBN!#REF!</definedName>
    <definedName name="RecPot" localSheetId="10">PU!#REF!</definedName>
    <definedName name="RecPot" localSheetId="14">PU!#REF!</definedName>
    <definedName name="RecPot">PU!#REF!</definedName>
    <definedName name="RecPoten17v">PU!$G$37</definedName>
    <definedName name="RecPotenT">PU!$G$62</definedName>
    <definedName name="RecreaPoten" localSheetId="4">[2]PU!$G$16</definedName>
    <definedName name="Redox4">NR!$G$169</definedName>
    <definedName name="Rel2Elev2" localSheetId="10">SR!#REF!</definedName>
    <definedName name="Rel2Elev2" localSheetId="14">SR!#REF!</definedName>
    <definedName name="Rel2Elev2">SR!#REF!</definedName>
    <definedName name="Rel3Elev2" localSheetId="10">SR!#REF!</definedName>
    <definedName name="Rel3Elev2" localSheetId="14">SR!#REF!</definedName>
    <definedName name="Rel3Elev2">SR!#REF!</definedName>
    <definedName name="RelArea1">WS!#REF!</definedName>
    <definedName name="ResFish" localSheetId="4">[2]INV!$G$160</definedName>
    <definedName name="ResFishScore2_">#REF!</definedName>
    <definedName name="Restored4">PR!$G$99</definedName>
    <definedName name="RestoredT15">PD!#REF!</definedName>
    <definedName name="RestoredT6">CS!$G$169</definedName>
    <definedName name="RimHt1">WS!#REF!</definedName>
    <definedName name="RiskWQ" localSheetId="10">STR!#REF!</definedName>
    <definedName name="RiskWQ" localSheetId="14">STR!#REF!</definedName>
    <definedName name="RiskWQ">STR!#REF!</definedName>
    <definedName name="RiskWQ2" localSheetId="10">STR!#REF!</definedName>
    <definedName name="RiskWQ2" localSheetId="14">STR!#REF!</definedName>
    <definedName name="RiskWQ2">STR!#REF!</definedName>
    <definedName name="RiverProx1v">WS!$G$91</definedName>
    <definedName name="RoadCirc11" localSheetId="10">AM!#REF!</definedName>
    <definedName name="RoadCirc11" localSheetId="14">AM!#REF!</definedName>
    <definedName name="RoadCirc11">AM!#REF!</definedName>
    <definedName name="RoadDist" localSheetId="10">#REF!</definedName>
    <definedName name="RoadDist" localSheetId="4">#REF!</definedName>
    <definedName name="RoadDist" localSheetId="14">#REF!</definedName>
    <definedName name="RoadDist">#REF!</definedName>
    <definedName name="s10a" localSheetId="10">S!#REF!</definedName>
    <definedName name="s10a" localSheetId="14">S!#REF!</definedName>
    <definedName name="s10a">S!#REF!</definedName>
    <definedName name="S10b" localSheetId="10">S!#REF!</definedName>
    <definedName name="S10b" localSheetId="14">S!#REF!</definedName>
    <definedName name="S10b">S!#REF!</definedName>
    <definedName name="S10c" localSheetId="10">S!#REF!</definedName>
    <definedName name="S10c" localSheetId="14">S!#REF!</definedName>
    <definedName name="S10c">S!#REF!</definedName>
    <definedName name="S1A">S!#REF!</definedName>
    <definedName name="S2A">S!#REF!</definedName>
    <definedName name="S2B">S!#REF!</definedName>
    <definedName name="S2C">S!#REF!</definedName>
    <definedName name="S3A">S!#REF!</definedName>
    <definedName name="S3B">S!#REF!</definedName>
    <definedName name="S3C">S!#REF!</definedName>
    <definedName name="S4A">S!#REF!</definedName>
    <definedName name="S4B">S!#REF!</definedName>
    <definedName name="S4C">S!#REF!</definedName>
    <definedName name="S5A">S!#REF!</definedName>
    <definedName name="S5b">S!#REF!</definedName>
    <definedName name="S5C">S!#REF!</definedName>
    <definedName name="S5Cc">S!#REF!</definedName>
    <definedName name="s6a" localSheetId="10">S!#REF!</definedName>
    <definedName name="s6a" localSheetId="14">S!#REF!</definedName>
    <definedName name="s6a">S!#REF!</definedName>
    <definedName name="s6a1">S!#REF!</definedName>
    <definedName name="s6b">S!#REF!</definedName>
    <definedName name="s6b1">S!#REF!</definedName>
    <definedName name="s6c1">S!#REF!</definedName>
    <definedName name="s7a1">S!#REF!</definedName>
    <definedName name="S7B" localSheetId="10">S!#REF!</definedName>
    <definedName name="S7B" localSheetId="14">S!#REF!</definedName>
    <definedName name="S7B">S!#REF!</definedName>
    <definedName name="s7b1">S!#REF!</definedName>
    <definedName name="S7C" localSheetId="10">S!#REF!</definedName>
    <definedName name="S7C" localSheetId="14">S!#REF!</definedName>
    <definedName name="S7C">S!#REF!</definedName>
    <definedName name="s7c1">S!#REF!</definedName>
    <definedName name="S8A" localSheetId="10">S!#REF!</definedName>
    <definedName name="S8A" localSheetId="14">S!#REF!</definedName>
    <definedName name="S8A">S!#REF!</definedName>
    <definedName name="S8A1" localSheetId="10">S!#REF!</definedName>
    <definedName name="S8A1" localSheetId="14">S!#REF!</definedName>
    <definedName name="S8A1">S!#REF!</definedName>
    <definedName name="S8Aa">S!#REF!</definedName>
    <definedName name="S8B" localSheetId="10">S!#REF!</definedName>
    <definedName name="S8B" localSheetId="14">S!#REF!</definedName>
    <definedName name="S8B">S!#REF!</definedName>
    <definedName name="S8Bb">S!#REF!</definedName>
    <definedName name="S8C">S!#REF!</definedName>
    <definedName name="S8Cc">S!#REF!</definedName>
    <definedName name="s9a" localSheetId="10">S!#REF!</definedName>
    <definedName name="s9a" localSheetId="14">S!#REF!</definedName>
    <definedName name="s9a">S!#REF!</definedName>
    <definedName name="S9Aa">S!#REF!</definedName>
    <definedName name="s9b" localSheetId="10">S!#REF!</definedName>
    <definedName name="s9b" localSheetId="14">S!#REF!</definedName>
    <definedName name="s9b">S!#REF!</definedName>
    <definedName name="S9Bb">S!#REF!</definedName>
    <definedName name="s9c" localSheetId="10">S!#REF!</definedName>
    <definedName name="s9c" localSheetId="14">S!#REF!</definedName>
    <definedName name="s9c">S!#REF!</definedName>
    <definedName name="S9Cc">S!#REF!</definedName>
    <definedName name="Salin10" localSheetId="10">FA!#REF!</definedName>
    <definedName name="Salin11">AM!$G$132</definedName>
    <definedName name="Salin14">SBM!#REF!</definedName>
    <definedName name="Salin3" localSheetId="4">[2]PR!$G$4</definedName>
    <definedName name="Salin4" localSheetId="10">NR!#REF!</definedName>
    <definedName name="Salin4" localSheetId="14">NR!#REF!</definedName>
    <definedName name="Salin4">PR!$G$59</definedName>
    <definedName name="Salin6" localSheetId="4">[2]OE!$G$4</definedName>
    <definedName name="Salin6">CS!$G$54</definedName>
    <definedName name="Salin8">[3]INV!$G$83</definedName>
    <definedName name="Salin9" localSheetId="10">#REF!</definedName>
    <definedName name="Salin9" localSheetId="4">[2]FA!#REF!</definedName>
    <definedName name="Salin9" localSheetId="14">#REF!</definedName>
    <definedName name="Salin9">[3]FR!$G$71</definedName>
    <definedName name="Saline">[3]F!$D$130</definedName>
    <definedName name="Saline11" localSheetId="10">AM!#REF!</definedName>
    <definedName name="Saline11" localSheetId="14">AM!#REF!</definedName>
    <definedName name="Salinity11" localSheetId="10">AM!#REF!</definedName>
    <definedName name="Salinity11" localSheetId="14">AM!#REF!</definedName>
    <definedName name="Salinity13" localSheetId="14">WBF!#REF!</definedName>
    <definedName name="Salinity2" localSheetId="10">SR!#REF!</definedName>
    <definedName name="Salinity2" localSheetId="4">[2]SR!$G$3</definedName>
    <definedName name="Salinity2" localSheetId="14">SR!#REF!</definedName>
    <definedName name="SalinPD" localSheetId="10">PD!#REF!</definedName>
    <definedName name="SalinPD" localSheetId="4">[2]PD!$G$15</definedName>
    <definedName name="SalinPD" localSheetId="14">PD!#REF!</definedName>
    <definedName name="SalinRiskS" localSheetId="10">Sens!#REF!</definedName>
    <definedName name="SalinRiskS" localSheetId="14">Sens!#REF!</definedName>
    <definedName name="SalinRiskS">Sens!#REF!</definedName>
    <definedName name="SalinT11">AM!$G$201</definedName>
    <definedName name="SalinT14">SBM!$G$202</definedName>
    <definedName name="SalinT15">PD!$G$181</definedName>
    <definedName name="SalinT3">SR!$G$89</definedName>
    <definedName name="SalinT4">PR!$G$112</definedName>
    <definedName name="SalinT5">NR!$G$115</definedName>
    <definedName name="SalinT6">CS!$G$118</definedName>
    <definedName name="SalinT7">OE!$G$129</definedName>
    <definedName name="Salmon5" localSheetId="10">CS!#REF!</definedName>
    <definedName name="Salmon5" localSheetId="14">CS!#REF!</definedName>
    <definedName name="Salmon5">CS!#REF!</definedName>
    <definedName name="SalmonShedPS">#REF!</definedName>
    <definedName name="SalmonShedPS2">#REF!</definedName>
    <definedName name="SalmoShed9">#REF!</definedName>
    <definedName name="Satur10" localSheetId="10">FA!#REF!</definedName>
    <definedName name="Satur10" localSheetId="14">FR!#REF!</definedName>
    <definedName name="Satur10">FR!#REF!</definedName>
    <definedName name="SAV_LT5" localSheetId="10">EC!#REF!</definedName>
    <definedName name="SAV_LT5" localSheetId="14">EC!#REF!</definedName>
    <definedName name="SAV_LT5">EC!#REF!</definedName>
    <definedName name="SAV1pd" localSheetId="10">PD!#REF!</definedName>
    <definedName name="SAV1pd" localSheetId="4">[2]PD!$G$46</definedName>
    <definedName name="SAV1pd" localSheetId="14">PD!#REF!</definedName>
    <definedName name="SAV1pd">PD!#REF!</definedName>
    <definedName name="sav2pd" localSheetId="10">PD!#REF!</definedName>
    <definedName name="sav2pd" localSheetId="4">[2]PD!$G$50</definedName>
    <definedName name="sav2pd" localSheetId="14">PD!#REF!</definedName>
    <definedName name="sav2pd">PD!#REF!</definedName>
    <definedName name="SAVdom1" localSheetId="10">EC!#REF!</definedName>
    <definedName name="SAVdom1" localSheetId="14">EC!#REF!</definedName>
    <definedName name="SAVdom1">EC!#REF!</definedName>
    <definedName name="SAVinvasQ" localSheetId="10">EC!#REF!</definedName>
    <definedName name="SAVinvasQ" localSheetId="14">EC!#REF!</definedName>
    <definedName name="SAVinvasQ">EC!#REF!</definedName>
    <definedName name="SAVpct3" localSheetId="4">[2]PR!#REF!</definedName>
    <definedName name="SAVpct3" localSheetId="14">PR!#REF!</definedName>
    <definedName name="SAVpct3">PR!#REF!</definedName>
    <definedName name="SAVpct5" localSheetId="10">CS!#REF!</definedName>
    <definedName name="SAVpct5" localSheetId="4">[2]CS!#REF!</definedName>
    <definedName name="SAVpct5" localSheetId="14">CS!#REF!</definedName>
    <definedName name="SAVpct5">CS!#REF!</definedName>
    <definedName name="SAVpct8">INV!$G$54</definedName>
    <definedName name="SAVpctS" localSheetId="10">Sens!#REF!</definedName>
    <definedName name="SAVpctS" localSheetId="14">Sens!#REF!</definedName>
    <definedName name="SAVpctS">Sens!#REF!</definedName>
    <definedName name="SAVsens1" localSheetId="10">Sens!#REF!</definedName>
    <definedName name="SAVsens1" localSheetId="4">[2]Sen!$G$48</definedName>
    <definedName name="SAVsens1" localSheetId="14">Sens!#REF!</definedName>
    <definedName name="SAVsens1">Sens!#REF!</definedName>
    <definedName name="SAVsens1_C" localSheetId="10">EC!#REF!</definedName>
    <definedName name="SAVsens1_C" localSheetId="4">[2]CQ!$G$23</definedName>
    <definedName name="SAVsens1_C" localSheetId="14">EC!#REF!</definedName>
    <definedName name="SAVsens1_C">EC!#REF!</definedName>
    <definedName name="SAVsens2_C" localSheetId="10">EC!#REF!</definedName>
    <definedName name="SAVsens2_C" localSheetId="4">[2]CQ!$G$27</definedName>
    <definedName name="SAVsens2_C" localSheetId="14">EC!#REF!</definedName>
    <definedName name="SAVsens2_C">EC!#REF!</definedName>
    <definedName name="SAVsens2_S" localSheetId="10">Sens!#REF!</definedName>
    <definedName name="SAVsens2_S" localSheetId="4">[2]Sen!$G$52</definedName>
    <definedName name="SAVsens2_S" localSheetId="14">Sens!#REF!</definedName>
    <definedName name="SAVsens2_S">Sens!#REF!</definedName>
    <definedName name="SAVubq1" localSheetId="10">EC!#REF!</definedName>
    <definedName name="SAVubq1" localSheetId="14">EC!#REF!</definedName>
    <definedName name="SAVubq1">EC!#REF!</definedName>
    <definedName name="SAVubq2" localSheetId="10">Sens!#REF!</definedName>
    <definedName name="SAVubq2" localSheetId="4">[2]Sen!$G$56</definedName>
    <definedName name="SAVubq2" localSheetId="14">Sens!#REF!</definedName>
    <definedName name="SAVubq2">Sens!#REF!</definedName>
    <definedName name="SBMfscoreLP">SBM!#REF!</definedName>
    <definedName name="SBMscore9">#REF!</definedName>
    <definedName name="SBMsiteS" localSheetId="10">Sens!#REF!</definedName>
    <definedName name="SBMsiteS" localSheetId="14">Sens!#REF!</definedName>
    <definedName name="SBMsiteS">Sens!#REF!</definedName>
    <definedName name="ScapeLU11" localSheetId="10">AM!#REF!</definedName>
    <definedName name="ScapeLU11" localSheetId="4">[2]AM!$G$180</definedName>
    <definedName name="ScapeLU11" localSheetId="14">AM!#REF!</definedName>
    <definedName name="ScapeLU11">AM!#REF!</definedName>
    <definedName name="ScapeLU14" localSheetId="4">[2]SBM!$G$139</definedName>
    <definedName name="Scarcity1" localSheetId="10">WS!#REF!</definedName>
    <definedName name="Scarcity1" localSheetId="14">WS!#REF!</definedName>
    <definedName name="Scarcity1">WS!#REF!</definedName>
    <definedName name="SciUse" localSheetId="4">[2]PU!$G$20</definedName>
    <definedName name="SciUse17v">PU!$G$32</definedName>
    <definedName name="SciUseT17v">PU!$G$91</definedName>
    <definedName name="ScorePLDf">PD!$G$321</definedName>
    <definedName name="ScorePOL15v">PD!$G$312</definedName>
    <definedName name="ScorePOLf" localSheetId="4">[2]PD!$G$199</definedName>
    <definedName name="ScorePOLf">PD!$G$312</definedName>
    <definedName name="ScorePRv5">NR!#REF!</definedName>
    <definedName name="ScoreSBM">PD!$G$313</definedName>
    <definedName name="ScoreSBM15v">PD!$G$313</definedName>
    <definedName name="ScoreSBMf" localSheetId="10">PD!#REF!</definedName>
    <definedName name="ScoreSBMf" localSheetId="4">[2]PD!$G$201</definedName>
    <definedName name="ScoreSBMf" localSheetId="14">PD!#REF!</definedName>
    <definedName name="ScoreSBMf">PD!#REF!</definedName>
    <definedName name="ScoreSubsis" localSheetId="10">PD!#REF!</definedName>
    <definedName name="ScoreSubsis" localSheetId="14">PD!#REF!</definedName>
    <definedName name="ScoreSubsis">PD!#REF!</definedName>
    <definedName name="ScoreWBFf" localSheetId="10">PD!#REF!</definedName>
    <definedName name="ScoreWBFf" localSheetId="4">[2]PD!$G$200</definedName>
    <definedName name="ScoreWBFf" localSheetId="14">PD!#REF!</definedName>
    <definedName name="ScoreWBFf">PD!#REF!</definedName>
    <definedName name="Scum15" localSheetId="10">EC!#REF!</definedName>
    <definedName name="Scum15" localSheetId="4">[2]CQ!$G$20</definedName>
    <definedName name="Scum15" localSheetId="14">EC!#REF!</definedName>
    <definedName name="Scum15">EC!#REF!</definedName>
    <definedName name="Scum3" localSheetId="10">PR!#REF!</definedName>
    <definedName name="Scum3" localSheetId="4">[2]PR!$G$74</definedName>
    <definedName name="Scum3" localSheetId="14">PR!#REF!</definedName>
    <definedName name="Scum3">PR!#REF!</definedName>
    <definedName name="Scum9" localSheetId="10">#REF!</definedName>
    <definedName name="Scum9" localSheetId="4">[2]FA!$G$91</definedName>
    <definedName name="Scum9" localSheetId="14">#REF!</definedName>
    <definedName name="Scum9">#REF!</definedName>
    <definedName name="SeasPct1" localSheetId="4">[2]WS!$G$36</definedName>
    <definedName name="SeasPct1">WS!$G$20</definedName>
    <definedName name="SeasPct12">WBF!$G$117</definedName>
    <definedName name="SeasPct14">SBM!$G$115</definedName>
    <definedName name="SeasPct15">PD!$G$84</definedName>
    <definedName name="SeasPct16">POL!$G$37</definedName>
    <definedName name="SeasPct18">Sens!$G$106</definedName>
    <definedName name="SeasPct18a">Sens!$G$105</definedName>
    <definedName name="SeasPct19">EC!$G$11</definedName>
    <definedName name="SeasPct2" localSheetId="4">[2]SR!$G$24</definedName>
    <definedName name="SeasPct3">SR!$G$45</definedName>
    <definedName name="SeasPct5">NR!$G$49</definedName>
    <definedName name="SeasPct6">CS!$G$48</definedName>
    <definedName name="SeasPct7">OE!$G$68</definedName>
    <definedName name="SeasPct8" localSheetId="4">[2]INV!$G$37</definedName>
    <definedName name="SeasPct8">INV!$G$67</definedName>
    <definedName name="SeasPct9">FA!$G$77</definedName>
    <definedName name="SeasTime1" localSheetId="10">WS!#REF!</definedName>
    <definedName name="SeasTime1" localSheetId="4">[2]WS!#REF!</definedName>
    <definedName name="SeasTime1" localSheetId="14">WS!#REF!</definedName>
    <definedName name="SeasTime1">WS!#REF!</definedName>
    <definedName name="SeasTime11" localSheetId="10">AM!#REF!</definedName>
    <definedName name="SeasTime11" localSheetId="4">[2]AM!$G$33</definedName>
    <definedName name="SeasTime11" localSheetId="14">AM!#REF!</definedName>
    <definedName name="SeasTime11">AM!#REF!</definedName>
    <definedName name="SeasTime13" localSheetId="10">WBN!#REF!</definedName>
    <definedName name="SeasTime13" localSheetId="4">[2]WBN!#REF!</definedName>
    <definedName name="SeasTime13" localSheetId="14">WBF!#REF!</definedName>
    <definedName name="SeasTime13">WBN!#REF!</definedName>
    <definedName name="SeasTime8" localSheetId="10">INV!#REF!</definedName>
    <definedName name="SeasTime8" localSheetId="4">[2]INV!$G$43</definedName>
    <definedName name="SeasTime8" localSheetId="14">INV!#REF!</definedName>
    <definedName name="SeasTime8">INV!#REF!</definedName>
    <definedName name="SeasTimeV1" localSheetId="10">WS!#REF!</definedName>
    <definedName name="SeasTimeV1" localSheetId="4">[2]WS!#REF!</definedName>
    <definedName name="SeasTimeV1" localSheetId="14">WS!#REF!</definedName>
    <definedName name="SeasTimeV1">WS!#REF!</definedName>
    <definedName name="SeasTiming10" localSheetId="10">FA!#REF!</definedName>
    <definedName name="SeasTiming10" localSheetId="4">[2]FR!$G$44</definedName>
    <definedName name="SeasTiming10" localSheetId="14">FR!#REF!</definedName>
    <definedName name="SeasTiming10">FR!#REF!</definedName>
    <definedName name="SeasTiming9" localSheetId="10">#REF!</definedName>
    <definedName name="SeasTiming9" localSheetId="14">#REF!</definedName>
    <definedName name="SeasTiming9">#REF!</definedName>
    <definedName name="SeasW_S" localSheetId="4">[2]Sen!$G$12</definedName>
    <definedName name="SeasWpct11" localSheetId="10">AM!#REF!</definedName>
    <definedName name="SeasWpct11" localSheetId="4">[2]AM!$G$27</definedName>
    <definedName name="SeasWpct11" localSheetId="14">AM!#REF!</definedName>
    <definedName name="SeasWpct11">AM!#REF!</definedName>
    <definedName name="SeasWpct12" localSheetId="4">[2]WBF!$G$24</definedName>
    <definedName name="SeasWpct12">#REF!</definedName>
    <definedName name="SeasWpct13">WBN!$G$166</definedName>
    <definedName name="SeasWpct3" localSheetId="10">PR!#REF!</definedName>
    <definedName name="SeasWpct3" localSheetId="4">[2]PR!#REF!</definedName>
    <definedName name="SeasWpct3" localSheetId="14">PR!#REF!</definedName>
    <definedName name="SeasWpct3">PR!#REF!</definedName>
    <definedName name="SeasWpct4" localSheetId="4">[2]NR!$G$31</definedName>
    <definedName name="SeasWpct5" localSheetId="4">[2]CS!$G$35</definedName>
    <definedName name="SeasWpct6" localSheetId="4">[2]OE!$G$36</definedName>
    <definedName name="SeasWpct9" localSheetId="4">[2]FA!$G$28</definedName>
    <definedName name="SeasWpct9">#REF!</definedName>
    <definedName name="Sedge6">CS!#REF!</definedName>
    <definedName name="SedIn10" localSheetId="10">FA!#REF!</definedName>
    <definedName name="SedIn10" localSheetId="14">FR!#REF!</definedName>
    <definedName name="SedIn10">FR!#REF!</definedName>
    <definedName name="SedIn2" localSheetId="4">[2]SR!$G$102</definedName>
    <definedName name="SedIn2">SR!$G$213</definedName>
    <definedName name="SedIn20" localSheetId="10">PD!#REF!</definedName>
    <definedName name="SedIn20" localSheetId="14">PD!#REF!</definedName>
    <definedName name="SedIn20">PD!#REF!</definedName>
    <definedName name="SedIn8" localSheetId="10">INV!#REF!</definedName>
    <definedName name="SedIn8" localSheetId="4">[2]INV!$G$140</definedName>
    <definedName name="SedIn8" localSheetId="14">INV!#REF!</definedName>
    <definedName name="SedIn8">INV!#REF!</definedName>
    <definedName name="SedIn9" localSheetId="4">[2]FA!$G$119</definedName>
    <definedName name="SedIn9">#REF!</definedName>
    <definedName name="SedLoad" localSheetId="4">[2]STR!$G$7</definedName>
    <definedName name="SedLoad">STR!$G$135</definedName>
    <definedName name="SedRCA10">FR!$G$95</definedName>
    <definedName name="SedRCA3v">SR!$G$213</definedName>
    <definedName name="SedRCA8">INV!$G$122</definedName>
    <definedName name="SedRCA9">FA!$G$131</definedName>
    <definedName name="SENS1" localSheetId="10">Sens!#REF!</definedName>
    <definedName name="SENS1" localSheetId="4">[2]Sen!$G$186</definedName>
    <definedName name="SENS1" localSheetId="14">Sens!#REF!</definedName>
    <definedName name="SENS1">Sens!#REF!</definedName>
    <definedName name="SENS2" localSheetId="10">Sens!#REF!</definedName>
    <definedName name="SENS2" localSheetId="4">[2]Sen!$G$187</definedName>
    <definedName name="SENS2" localSheetId="14">Sens!#REF!</definedName>
    <definedName name="SENS2">Sens!#REF!</definedName>
    <definedName name="SENS3" localSheetId="10">Sens!#REF!</definedName>
    <definedName name="SENS3" localSheetId="4">[2]Sen!$G$188</definedName>
    <definedName name="SENS3" localSheetId="14">Sens!#REF!</definedName>
    <definedName name="SENS3">Sens!#REF!</definedName>
    <definedName name="SENS4" localSheetId="10">Sens!#REF!</definedName>
    <definedName name="SENS4" localSheetId="4">[2]Sen!$G$189</definedName>
    <definedName name="SENS4" localSheetId="14">Sens!#REF!</definedName>
    <definedName name="SENS4">Sens!#REF!</definedName>
    <definedName name="SENS5" localSheetId="10">Sens!#REF!</definedName>
    <definedName name="SENS5" localSheetId="14">Sens!#REF!</definedName>
    <definedName name="SENS5">Sens!#REF!</definedName>
    <definedName name="Shade7" localSheetId="4">[2]T!$G$29</definedName>
    <definedName name="Shade7w">#REF!</definedName>
    <definedName name="Shade9" localSheetId="4">[2]FA!$G$70</definedName>
    <definedName name="Shade9">#REF!</definedName>
    <definedName name="ShadeHiT7">OE!$G$193</definedName>
    <definedName name="ShadeHiT9">FA!$G$173</definedName>
    <definedName name="ShadeLoT7">OE!$G$199</definedName>
    <definedName name="ShadeLoT8">INV!$G$152</definedName>
    <definedName name="ShadeLoT9">FA!$G$179</definedName>
    <definedName name="ShallowType">F!$D$10</definedName>
    <definedName name="Shed2Pos1" localSheetId="10">WS!#REF!</definedName>
    <definedName name="Shed2Pos1" localSheetId="14">WS!#REF!</definedName>
    <definedName name="Shed2Pos1">WS!#REF!</definedName>
    <definedName name="Shed3Pos1" localSheetId="10">WS!#REF!</definedName>
    <definedName name="Shed3Pos1" localSheetId="14">WS!#REF!</definedName>
    <definedName name="Shed3Pos1">WS!#REF!</definedName>
    <definedName name="ShedPos_S" localSheetId="4">[2]Sen!$G$170</definedName>
    <definedName name="ShedPos4" localSheetId="10">NR!#REF!</definedName>
    <definedName name="ShedPos4" localSheetId="4">[2]NR!$G$107</definedName>
    <definedName name="ShedPos4" localSheetId="14">NR!#REF!</definedName>
    <definedName name="ShedPos4">NR!#REF!</definedName>
    <definedName name="ShedWet2" localSheetId="4">[2]SR!$G$81</definedName>
    <definedName name="Shoal2" localSheetId="10">SR!#REF!</definedName>
    <definedName name="Shoal2" localSheetId="4">[2]SR!$G$150</definedName>
    <definedName name="Shoal2" localSheetId="14">SR!#REF!</definedName>
    <definedName name="Shoal2">SR!#REF!</definedName>
    <definedName name="Shoaling" localSheetId="10">#REF!</definedName>
    <definedName name="Shoaling" localSheetId="4">#REF!</definedName>
    <definedName name="Shoaling" localSheetId="14">#REF!</definedName>
    <definedName name="Shoaling">#REF!</definedName>
    <definedName name="ShoalSS" localSheetId="10">SR!#REF!</definedName>
    <definedName name="ShoalSS" localSheetId="14">SR!#REF!</definedName>
    <definedName name="ShoalSS">SR!#REF!</definedName>
    <definedName name="Shorebd12">WBF!$G$124</definedName>
    <definedName name="Shorebd13">WBN!#REF!</definedName>
    <definedName name="ShorebdT12">WBF!$G$204</definedName>
    <definedName name="ShoreSlope11" localSheetId="4">[2]AM!$G$60</definedName>
    <definedName name="ShoreSlope11">AM!#REF!</definedName>
    <definedName name="ShoreSlope13" localSheetId="14">WBF!#REF!</definedName>
    <definedName name="ShoreSlope13">WBN!#REF!</definedName>
    <definedName name="ShoreSlope14">SBM!#REF!</definedName>
    <definedName name="ShoreSlope19">[3]EC!$G$14</definedName>
    <definedName name="ShoreSlope3">SR!#REF!</definedName>
    <definedName name="ShrExpos11">AM!#REF!</definedName>
    <definedName name="ShrExpos14">SBM!$G$151</definedName>
    <definedName name="ShrHtDiv14">SBM!#REF!</definedName>
    <definedName name="ShrHtDiv15">PD!#REF!</definedName>
    <definedName name="ShrHtDiv19">EC!#REF!</definedName>
    <definedName name="ShrShaded11">AM!#REF!</definedName>
    <definedName name="ShrShaded14">SBM!#REF!</definedName>
    <definedName name="ShrShaded15">PD!#REF!</definedName>
    <definedName name="ShrubDom14">SBM!#REF!</definedName>
    <definedName name="ShrubDom15">PD!#REF!</definedName>
    <definedName name="ShrubDom19">EC!#REF!</definedName>
    <definedName name="ShrubExpos15">PD!$G$121</definedName>
    <definedName name="ShrubHtDivS" localSheetId="10">Sens!#REF!</definedName>
    <definedName name="ShrubHtDivS" localSheetId="14">Sens!#REF!</definedName>
    <definedName name="ShrubHtDivS">Sens!#REF!</definedName>
    <definedName name="ShrubPattS" localSheetId="10">Sens!#REF!</definedName>
    <definedName name="ShrubPattS" localSheetId="14">Sens!#REF!</definedName>
    <definedName name="ShrubPattS">Sens!#REF!</definedName>
    <definedName name="ShrubSens1" localSheetId="10">Sens!#REF!</definedName>
    <definedName name="ShrubSens1" localSheetId="4">[2]Sen!$G$80</definedName>
    <definedName name="ShrubSens1" localSheetId="14">Sens!#REF!</definedName>
    <definedName name="ShrubSens1">Sens!#REF!</definedName>
    <definedName name="ShrubSens1_C" localSheetId="10">EC!#REF!</definedName>
    <definedName name="ShrubSens1_C" localSheetId="4">[2]CQ!$G$55</definedName>
    <definedName name="ShrubSens1_C" localSheetId="14">EC!#REF!</definedName>
    <definedName name="ShrubSens1_C">EC!#REF!</definedName>
    <definedName name="ShrubSens1_S" localSheetId="10">Sens!#REF!</definedName>
    <definedName name="ShrubSens1_S" localSheetId="4">[2]Sen!#REF!</definedName>
    <definedName name="ShrubSens1_S" localSheetId="14">Sens!#REF!</definedName>
    <definedName name="ShrubSens1_S">Sens!#REF!</definedName>
    <definedName name="ShrubShaded11" localSheetId="10">AM!#REF!</definedName>
    <definedName name="ShrubShaded11" localSheetId="14">AM!#REF!</definedName>
    <definedName name="ShrubShaded11">AM!#REF!</definedName>
    <definedName name="ShrubSun11" localSheetId="10">AM!#REF!</definedName>
    <definedName name="ShrubSun11" localSheetId="14">AM!#REF!</definedName>
    <definedName name="ShrubSun11">AM!#REF!</definedName>
    <definedName name="ShrubUbq1" localSheetId="10">EC!#REF!</definedName>
    <definedName name="ShrubUbq1" localSheetId="14">EC!#REF!</definedName>
    <definedName name="ShrubUbq1">EC!#REF!</definedName>
    <definedName name="ShurbHtDiv14">SBM!$C$130</definedName>
    <definedName name="Size_S" localSheetId="10">Sens!#REF!</definedName>
    <definedName name="Size_S" localSheetId="4">[2]Sen!$G$163</definedName>
    <definedName name="Size_S" localSheetId="14">Sens!#REF!</definedName>
    <definedName name="Size_S">Sens!#REF!</definedName>
    <definedName name="Size0" localSheetId="10">POL!#REF!</definedName>
    <definedName name="Size0" localSheetId="4">[2]POL!$G$95</definedName>
    <definedName name="Size0" localSheetId="14">POL!#REF!</definedName>
    <definedName name="Size0">POL!#REF!</definedName>
    <definedName name="Size1" localSheetId="10">WS!#REF!</definedName>
    <definedName name="Size1" localSheetId="14">WS!#REF!</definedName>
    <definedName name="Size1">WS!#REF!</definedName>
    <definedName name="Size12" localSheetId="4">[2]WBF!$G$145</definedName>
    <definedName name="Size12">#REF!</definedName>
    <definedName name="Size13" localSheetId="10">WBN!#REF!</definedName>
    <definedName name="Size13" localSheetId="4">[2]WBN!$G$166</definedName>
    <definedName name="Size13" localSheetId="14">WBF!#REF!</definedName>
    <definedName name="Size13">WBN!#REF!</definedName>
    <definedName name="Size14" localSheetId="10">SBM!#REF!</definedName>
    <definedName name="Size14" localSheetId="4">[2]SBM!$G$173</definedName>
    <definedName name="Size14" localSheetId="14">SBM!#REF!</definedName>
    <definedName name="Size14">SBM!#REF!</definedName>
    <definedName name="SizeForest14">SBM!#REF!</definedName>
    <definedName name="SizeForest20">STR!#REF!</definedName>
    <definedName name="SizePD" localSheetId="10">PD!#REF!</definedName>
    <definedName name="SizePD" localSheetId="14">PD!#REF!</definedName>
    <definedName name="SizePD">PD!#REF!</definedName>
    <definedName name="SizePerenn11">AM!$G$24</definedName>
    <definedName name="SizePerenn14">SBM!$G$24</definedName>
    <definedName name="SizePerenn15">PD!$G$24</definedName>
    <definedName name="SizePerenn16">POL!$G$17</definedName>
    <definedName name="SizePerenn18">Sens!$G$17</definedName>
    <definedName name="SizePerenn20">STR!$G$17</definedName>
    <definedName name="SlidePD" localSheetId="10">PD!#REF!</definedName>
    <definedName name="SlidePD" localSheetId="14">PD!#REF!</definedName>
    <definedName name="SlidePD">PD!#REF!</definedName>
    <definedName name="SlopeBuffT3">SR!$G$207</definedName>
    <definedName name="SlopeBuffT4v">PR!$G$235</definedName>
    <definedName name="SlopeInChan3v">SR!$G$184</definedName>
    <definedName name="SlopeInChan4v">PR!$G$212</definedName>
    <definedName name="SlopeInChanT7">OE!$G$184</definedName>
    <definedName name="SlopeUnif2" localSheetId="10">SR!#REF!</definedName>
    <definedName name="SlopeUnif2" localSheetId="4">[2]SR!#REF!</definedName>
    <definedName name="SlopeUnif2" localSheetId="14">SR!#REF!</definedName>
    <definedName name="SlopeUnif2">SR!#REF!</definedName>
    <definedName name="SlopeUnif3" localSheetId="10">PR!#REF!</definedName>
    <definedName name="SlopeUnif3" localSheetId="4">[2]PR!#REF!</definedName>
    <definedName name="SlopeUnif3" localSheetId="14">PR!#REF!</definedName>
    <definedName name="SlopeUnif3">PR!#REF!</definedName>
    <definedName name="SlopeUnif4" localSheetId="10">NR!#REF!</definedName>
    <definedName name="SlopeUnif4" localSheetId="4">[2]NR!#REF!</definedName>
    <definedName name="SlopeUnif4" localSheetId="14">NR!#REF!</definedName>
    <definedName name="SlopeUnif4">NR!#REF!</definedName>
    <definedName name="SlopeUnif5" localSheetId="10">CS!#REF!</definedName>
    <definedName name="SlopeUnif5" localSheetId="4">[2]CS!#REF!</definedName>
    <definedName name="SlopeUnif5" localSheetId="14">CS!#REF!</definedName>
    <definedName name="SlopeUnif5">CS!#REF!</definedName>
    <definedName name="SlopeUnif6" localSheetId="10">OE!#REF!</definedName>
    <definedName name="SlopeUnif6" localSheetId="4">[2]OE!#REF!</definedName>
    <definedName name="SlopeUnif6" localSheetId="14">OE!#REF!</definedName>
    <definedName name="SlopeUnif6">OE!#REF!</definedName>
    <definedName name="SlopeUp18">Sens!#REF!</definedName>
    <definedName name="SlopeUp18a">Sens!#REF!</definedName>
    <definedName name="SlopeUp1v">WS!#REF!</definedName>
    <definedName name="SlopeUp3v">SR!#REF!</definedName>
    <definedName name="SlopeUp4v">PR!#REF!</definedName>
    <definedName name="SnagB13" localSheetId="10">WBN!#REF!</definedName>
    <definedName name="SnagB13" localSheetId="14">WBF!#REF!</definedName>
    <definedName name="SnagB13">WBN!#REF!</definedName>
    <definedName name="Snags13" localSheetId="10">WBN!#REF!</definedName>
    <definedName name="Snags13" localSheetId="4">[2]WBN!$G$80</definedName>
    <definedName name="Snags13" localSheetId="14">WBF!#REF!</definedName>
    <definedName name="Snags13">WBN!#REF!</definedName>
    <definedName name="Snags14" localSheetId="10">SBM!#REF!</definedName>
    <definedName name="Snags14" localSheetId="4">[2]SBM!#REF!</definedName>
    <definedName name="Snags14" localSheetId="14">SBM!#REF!</definedName>
    <definedName name="Snags14">SBM!$G$145</definedName>
    <definedName name="Snags16">POL!$G$66</definedName>
    <definedName name="Snow_S" localSheetId="10">Sens!#REF!</definedName>
    <definedName name="Snow_S" localSheetId="14">Sens!#REF!</definedName>
    <definedName name="Snow_S">Sens!#REF!</definedName>
    <definedName name="Snow1" localSheetId="10">WS!#REF!</definedName>
    <definedName name="Snow1" localSheetId="14">WS!#REF!</definedName>
    <definedName name="Snow1">WS!#REF!</definedName>
    <definedName name="Snow10" localSheetId="10">FA!#REF!</definedName>
    <definedName name="Snow10" localSheetId="14">FR!#REF!</definedName>
    <definedName name="Snow10">FR!#REF!</definedName>
    <definedName name="Snow11" localSheetId="10">AM!#REF!</definedName>
    <definedName name="Snow11" localSheetId="14">AM!#REF!</definedName>
    <definedName name="Snow11">AM!#REF!</definedName>
    <definedName name="Snow12">#REF!</definedName>
    <definedName name="Snow1a" localSheetId="10">WS!#REF!</definedName>
    <definedName name="Snow1a" localSheetId="14">WS!#REF!</definedName>
    <definedName name="Snow1a">WS!#REF!</definedName>
    <definedName name="Snow2" localSheetId="10">SR!#REF!</definedName>
    <definedName name="Snow2" localSheetId="14">SR!#REF!</definedName>
    <definedName name="Snow2">SR!#REF!</definedName>
    <definedName name="Snow2_">#REF!</definedName>
    <definedName name="Snow2a">#REF!</definedName>
    <definedName name="Snow3" localSheetId="10">PR!#REF!</definedName>
    <definedName name="Snow3" localSheetId="14">PR!#REF!</definedName>
    <definedName name="Snow3">PR!#REF!</definedName>
    <definedName name="Snow4" localSheetId="10">NR!#REF!</definedName>
    <definedName name="Snow4" localSheetId="14">NR!#REF!</definedName>
    <definedName name="Snow4">NR!#REF!</definedName>
    <definedName name="Snow5" localSheetId="10">CS!#REF!</definedName>
    <definedName name="Snow5" localSheetId="14">CS!#REF!</definedName>
    <definedName name="Snow5">CS!#REF!</definedName>
    <definedName name="Snow6" localSheetId="10">OE!#REF!</definedName>
    <definedName name="Snow6" localSheetId="14">OE!#REF!</definedName>
    <definedName name="Snow6">OE!#REF!</definedName>
    <definedName name="SnowPD" localSheetId="10">PD!#REF!</definedName>
    <definedName name="SnowPD" localSheetId="14">PD!#REF!</definedName>
    <definedName name="SnowPD">PD!#REF!</definedName>
    <definedName name="Snows" localSheetId="10">Sens!#REF!</definedName>
    <definedName name="Snows" localSheetId="14">Sens!#REF!</definedName>
    <definedName name="Snows">Sens!#REF!</definedName>
    <definedName name="Snows_S" localSheetId="10">Sens!#REF!</definedName>
    <definedName name="Snows_S" localSheetId="14">Sens!#REF!</definedName>
    <definedName name="Snows_S">Sens!#REF!</definedName>
    <definedName name="Snows_S2" localSheetId="10">Sens!#REF!</definedName>
    <definedName name="Snows_S2" localSheetId="14">Sens!#REF!</definedName>
    <definedName name="Snows_S2">Sens!#REF!</definedName>
    <definedName name="SnowStore1">WS!#REF!</definedName>
    <definedName name="Soil2_">#REF!</definedName>
    <definedName name="SoilAlt15">[3]PH!$G$221</definedName>
    <definedName name="SoilDisturb" localSheetId="4">[2]STR!$G$8</definedName>
    <definedName name="SoilDisturb">STR!$G$136</definedName>
    <definedName name="soildisturb0" localSheetId="10">POL!#REF!</definedName>
    <definedName name="soildisturb0" localSheetId="4">[2]POL!$G$102</definedName>
    <definedName name="soildisturb0" localSheetId="14">POL!#REF!</definedName>
    <definedName name="soildisturb0">POL!#REF!</definedName>
    <definedName name="SoilDisturb11" localSheetId="10">AM!#REF!</definedName>
    <definedName name="SoilDisturb11" localSheetId="4">[2]AM!$G$224</definedName>
    <definedName name="SoilDisturb11" localSheetId="14">AM!#REF!</definedName>
    <definedName name="SoilDisturb11">AM!#REF!</definedName>
    <definedName name="SoilDisturb15" localSheetId="4">[2]PD!$D$171</definedName>
    <definedName name="SoilDisturb15">PD!$D$175</definedName>
    <definedName name="SoilDisturb15a">PD!$G$175</definedName>
    <definedName name="SoilDisturb3">SR!$G$87</definedName>
    <definedName name="SoilDisturb4" localSheetId="4">[2]NR!$G$104</definedName>
    <definedName name="SoilDisturb4">PR!$G$106</definedName>
    <definedName name="SoilDisturb5" localSheetId="4">[2]CS!$G$136</definedName>
    <definedName name="SoilDisturb5">NR!$G$109</definedName>
    <definedName name="SoilDisturb6" localSheetId="4">[2]OE!$G$115</definedName>
    <definedName name="SoilDisturb6">CS!$G$112</definedName>
    <definedName name="SoilDisturb8" localSheetId="4">[2]INV!$G$141</definedName>
    <definedName name="SoilDisturb8">INV!$G$123</definedName>
    <definedName name="SoilTex_S" localSheetId="4">[2]Sen!$G$110</definedName>
    <definedName name="SoilTex1">WS!$G$83</definedName>
    <definedName name="SoilTex15">PD!$G$150</definedName>
    <definedName name="SoilTex18">Sens!$G$172</definedName>
    <definedName name="SoilTex18a">Sens!$G$171</definedName>
    <definedName name="SoilTex3" localSheetId="4">[2]PR!$G$86</definedName>
    <definedName name="SoilTex4" localSheetId="4">[2]NR!$G$87</definedName>
    <definedName name="SoilTex4">PR!$G$94</definedName>
    <definedName name="SoilTex4T">PR!$G$150</definedName>
    <definedName name="SoilTex5" localSheetId="4">[2]CS!$G$112</definedName>
    <definedName name="SoilTex5">NR!$G$97</definedName>
    <definedName name="SoilTex6">CS!$G$100</definedName>
    <definedName name="SoilTex7">OE!$G$112</definedName>
    <definedName name="SoilTex8" localSheetId="10">INV!#REF!</definedName>
    <definedName name="SoilTex8" localSheetId="4">[2]INV!#REF!</definedName>
    <definedName name="SoilTex8" localSheetId="14">INV!#REF!</definedName>
    <definedName name="SoilTexPD" localSheetId="4">[2]PD!$G$95</definedName>
    <definedName name="SoilTexT15">PD!$G$258</definedName>
    <definedName name="SoilTexT18">Sens!$G$235</definedName>
    <definedName name="SoilTexT18a">Sens!$G$234</definedName>
    <definedName name="SoilTexT6">CS!$G$164</definedName>
    <definedName name="SoilTexT8">INV!$G$182</definedName>
    <definedName name="SolarHeat" localSheetId="10">WC!#REF!</definedName>
    <definedName name="SolarHeat" localSheetId="14">WC!#REF!</definedName>
    <definedName name="SolarHeat">WC!#REF!</definedName>
    <definedName name="SolarHeatWarming">#REF!</definedName>
    <definedName name="SongbMam" localSheetId="4">[2]INV!$G$164</definedName>
    <definedName name="SPA" localSheetId="10">PU!#REF!</definedName>
    <definedName name="SPA" localSheetId="14">PU!#REF!</definedName>
    <definedName name="SPA">PU!#REF!</definedName>
    <definedName name="SppArea">PD!$G$315</definedName>
    <definedName name="SpPatch14" localSheetId="10">SBM!#REF!</definedName>
    <definedName name="SpPatch14" localSheetId="4">[2]SBM!#REF!</definedName>
    <definedName name="SpPatch14" localSheetId="14">SBM!#REF!</definedName>
    <definedName name="SpPatch14">SBM!#REF!</definedName>
    <definedName name="SpPatchy8" localSheetId="10">INV!#REF!</definedName>
    <definedName name="SpPatchy8" localSheetId="4">[2]INV!#REF!</definedName>
    <definedName name="SpPatchy8" localSheetId="14">INV!#REF!</definedName>
    <definedName name="SpPatchy8">INV!#REF!</definedName>
    <definedName name="Spts">#REF!</definedName>
    <definedName name="SRval" localSheetId="10">PR!#REF!</definedName>
    <definedName name="SRval" localSheetId="14">PR!#REF!</definedName>
    <definedName name="SRval">PR!#REF!</definedName>
    <definedName name="SRvalue">SR!$G$222</definedName>
    <definedName name="SSubq2" localSheetId="10">Sens!#REF!</definedName>
    <definedName name="SSubq2" localSheetId="4">[2]Sen!$G$89</definedName>
    <definedName name="SSubq2" localSheetId="14">Sens!#REF!</definedName>
    <definedName name="SSubq2">Sens!#REF!</definedName>
    <definedName name="Steep1" localSheetId="10">WS!#REF!</definedName>
    <definedName name="Steep1" localSheetId="14">WS!#REF!</definedName>
    <definedName name="Steep1">WS!#REF!</definedName>
    <definedName name="Steep13" localSheetId="10">WBN!#REF!</definedName>
    <definedName name="Steep13" localSheetId="4">[2]WBN!$D$109</definedName>
    <definedName name="Steep13" localSheetId="14">WBF!#REF!</definedName>
    <definedName name="Steep13">WBN!#REF!</definedName>
    <definedName name="Steep1ws" localSheetId="10">WS!#REF!</definedName>
    <definedName name="Steep1ws" localSheetId="14">WS!#REF!</definedName>
    <definedName name="Steep1ws">WS!#REF!</definedName>
    <definedName name="Steep2ws" localSheetId="10">WS!#REF!</definedName>
    <definedName name="Steep2ws" localSheetId="14">WS!#REF!</definedName>
    <definedName name="Steep2ws">WS!#REF!</definedName>
    <definedName name="StorageRCA1v">WS!#REF!</definedName>
    <definedName name="StorageRCA3v">SR!#REF!</definedName>
    <definedName name="StorageRCA4v">PR!#REF!</definedName>
    <definedName name="StreamInGrad3" localSheetId="10">PR!#REF!</definedName>
    <definedName name="StreamInGrad3" localSheetId="14">PR!#REF!</definedName>
    <definedName name="StreamInGrad3">PR!#REF!</definedName>
    <definedName name="Stress10" localSheetId="10">FA!$G$223</definedName>
    <definedName name="Stress10">FR!$G$112</definedName>
    <definedName name="Stress12">WBF!$G$267</definedName>
    <definedName name="Stress14">SBM!$G$311</definedName>
    <definedName name="Stress9">#REF!</definedName>
    <definedName name="Stressors13">WBN!$G$256</definedName>
    <definedName name="Stressors8">INV!$G$213</definedName>
    <definedName name="StressPD">PD!$G$319</definedName>
    <definedName name="StressPts">#REF!</definedName>
    <definedName name="struc0" localSheetId="10">POL!#REF!</definedName>
    <definedName name="struc0" localSheetId="4">[2]POL!#REF!</definedName>
    <definedName name="struc0" localSheetId="14">POL!#REF!</definedName>
    <definedName name="struc0">POL!#REF!</definedName>
    <definedName name="Struc10">FR!$G$111</definedName>
    <definedName name="Struc12">WBF!$G$265</definedName>
    <definedName name="Struc13">WBN!$G$254</definedName>
    <definedName name="Struc14" localSheetId="10">SBM!#REF!</definedName>
    <definedName name="Struc14" localSheetId="4">[2]SBM!$D$77</definedName>
    <definedName name="Struc14" localSheetId="14">SBM!#REF!</definedName>
    <definedName name="Struc14">SBM!#REF!</definedName>
    <definedName name="Struc9">FA!$G$220</definedName>
    <definedName name="StrucB">SBM!#REF!</definedName>
    <definedName name="Structure14">SBM!$G$309</definedName>
    <definedName name="Structure8">INV!$G$210</definedName>
    <definedName name="Subsist">#REF!</definedName>
    <definedName name="Subsist10" localSheetId="10">FA!#REF!</definedName>
    <definedName name="Subsist10" localSheetId="14">FR!#REF!</definedName>
    <definedName name="Subsist10">FR!#REF!</definedName>
    <definedName name="Subsist9">#REF!</definedName>
    <definedName name="Subsurf">WS!$G$130</definedName>
    <definedName name="SubZero1" localSheetId="10">WS!#REF!</definedName>
    <definedName name="SubZero1" localSheetId="14">WS!#REF!</definedName>
    <definedName name="SubZero1">WS!#REF!</definedName>
    <definedName name="Subzero10" localSheetId="10">FA!#REF!</definedName>
    <definedName name="Subzero2" localSheetId="10">SR!#REF!</definedName>
    <definedName name="Subzero2" localSheetId="14">SR!#REF!</definedName>
    <definedName name="Subzero2">SR!#REF!</definedName>
    <definedName name="Subzero5" localSheetId="10">CS!#REF!</definedName>
    <definedName name="Subzero5" localSheetId="14">CS!#REF!</definedName>
    <definedName name="Subzero5">CS!#REF!</definedName>
    <definedName name="Subzero6" localSheetId="10">OE!#REF!</definedName>
    <definedName name="Subzero6" localSheetId="14">OE!#REF!</definedName>
    <definedName name="Subzero6">OE!#REF!</definedName>
    <definedName name="SubZeroDays1" localSheetId="10">WS!#REF!</definedName>
    <definedName name="SubZeroDays1" localSheetId="14">WS!#REF!</definedName>
    <definedName name="SubZeroDays1">WS!#REF!</definedName>
    <definedName name="SurfWat1" localSheetId="10">WS!#REF!</definedName>
    <definedName name="SurfWat1" localSheetId="14">WS!#REF!</definedName>
    <definedName name="SurfWat1">WS!#REF!</definedName>
    <definedName name="Sustain1" localSheetId="10">WS!#REF!</definedName>
    <definedName name="Sustain1" localSheetId="4">[2]WS!$G$106</definedName>
    <definedName name="Sustain1" localSheetId="14">WS!#REF!</definedName>
    <definedName name="Sustain1">WS!#REF!</definedName>
    <definedName name="Sustain11" localSheetId="10">AM!#REF!</definedName>
    <definedName name="Sustain11" localSheetId="4">[2]AM!$G$244</definedName>
    <definedName name="Sustain11" localSheetId="14">AM!#REF!</definedName>
    <definedName name="Sustain11">AM!#REF!</definedName>
    <definedName name="Sustain12" localSheetId="10">#REF!</definedName>
    <definedName name="Sustain12" localSheetId="4">[2]WBF!$G$181</definedName>
    <definedName name="Sustain12" localSheetId="14">#REF!</definedName>
    <definedName name="Sustain12">#REF!</definedName>
    <definedName name="Sustain13" localSheetId="10">WBN!#REF!</definedName>
    <definedName name="Sustain13" localSheetId="4">[2]WBN!$G$211</definedName>
    <definedName name="Sustain13" localSheetId="14">WBF!#REF!</definedName>
    <definedName name="Sustain13">WBN!#REF!</definedName>
    <definedName name="sustain14" localSheetId="10">SBM!#REF!</definedName>
    <definedName name="sustain14" localSheetId="4">[2]SBM!$G$211</definedName>
    <definedName name="sustain14" localSheetId="14">SBM!#REF!</definedName>
    <definedName name="sustain14">SBM!#REF!</definedName>
    <definedName name="Sustain2" localSheetId="10">SR!#REF!</definedName>
    <definedName name="Sustain2" localSheetId="4">[2]SR!$G$160</definedName>
    <definedName name="Sustain2" localSheetId="14">SR!#REF!</definedName>
    <definedName name="Sustain2">SR!#REF!</definedName>
    <definedName name="Sustain3" localSheetId="10">PR!#REF!</definedName>
    <definedName name="Sustain3" localSheetId="4">[2]PR!$G$156</definedName>
    <definedName name="Sustain3" localSheetId="14">PR!#REF!</definedName>
    <definedName name="Sustain3">PR!#REF!</definedName>
    <definedName name="Sustain4" localSheetId="10">NR!#REF!</definedName>
    <definedName name="Sustain4" localSheetId="4">[2]NR!$G$161</definedName>
    <definedName name="Sustain4" localSheetId="14">NR!#REF!</definedName>
    <definedName name="Sustain4">NR!#REF!</definedName>
    <definedName name="sustain8" localSheetId="10">INV!#REF!</definedName>
    <definedName name="sustain8" localSheetId="4">[2]INV!$G$155</definedName>
    <definedName name="sustain8" localSheetId="14">INV!#REF!</definedName>
    <definedName name="sustain8">INV!#REF!</definedName>
    <definedName name="SustainPD" localSheetId="10">PD!#REF!</definedName>
    <definedName name="SustainPD" localSheetId="4">[2]PD!$G$195</definedName>
    <definedName name="SustainPD" localSheetId="14">PD!#REF!</definedName>
    <definedName name="SustainPD">PD!#REF!</definedName>
    <definedName name="Swater2" localSheetId="10">SR!#REF!</definedName>
    <definedName name="Swater2" localSheetId="14">SR!#REF!</definedName>
    <definedName name="Swater2">SR!#REF!</definedName>
    <definedName name="SWOpd" localSheetId="10">PD!#REF!</definedName>
    <definedName name="SWOpd" localSheetId="14">PD!#REF!</definedName>
    <definedName name="SWOpd">PD!#REF!</definedName>
    <definedName name="System" localSheetId="10">#REF!</definedName>
    <definedName name="System" localSheetId="4">#REF!</definedName>
    <definedName name="System" localSheetId="14">#REF!</definedName>
    <definedName name="System">#REF!</definedName>
    <definedName name="TEknown" localSheetId="10">#REF!</definedName>
    <definedName name="TEknown" localSheetId="4">#REF!</definedName>
    <definedName name="TEknown" localSheetId="14">#REF!</definedName>
    <definedName name="TEknown">#REF!</definedName>
    <definedName name="TempWet">F!$D$9</definedName>
    <definedName name="TEpredicted" localSheetId="10">#REF!</definedName>
    <definedName name="TEpredicted" localSheetId="4">#REF!</definedName>
    <definedName name="TEpredicted" localSheetId="14">#REF!</definedName>
    <definedName name="TEpredicted">#REF!</definedName>
    <definedName name="TerrFertilPD" localSheetId="10">PD!#REF!</definedName>
    <definedName name="TerrFertilPD" localSheetId="14">PD!#REF!</definedName>
    <definedName name="TerrFertilPD">PD!#REF!</definedName>
    <definedName name="TerrStruc11" localSheetId="10">AM!#REF!</definedName>
    <definedName name="TerrStruc11" localSheetId="14">AM!#REF!</definedName>
    <definedName name="TerrStruc11">AM!$G$285</definedName>
    <definedName name="TEST1" localSheetId="10">S!#REF!</definedName>
    <definedName name="TEST1" localSheetId="14">S!#REF!</definedName>
    <definedName name="TEST1">S!#REF!</definedName>
    <definedName name="TEST10" localSheetId="10">S!#REF!</definedName>
    <definedName name="TEST10" localSheetId="14">S!#REF!</definedName>
    <definedName name="TEST10">S!#REF!</definedName>
    <definedName name="TEST11" localSheetId="10">S!#REF!</definedName>
    <definedName name="TEST11" localSheetId="14">S!#REF!</definedName>
    <definedName name="TEST11">S!#REF!</definedName>
    <definedName name="TEST12" localSheetId="10">S!#REF!</definedName>
    <definedName name="TEST12" localSheetId="14">S!#REF!</definedName>
    <definedName name="TEST12">S!#REF!</definedName>
    <definedName name="TEST13" localSheetId="10">S!#REF!</definedName>
    <definedName name="TEST13" localSheetId="14">S!#REF!</definedName>
    <definedName name="TEST13">S!#REF!</definedName>
    <definedName name="TEST14" localSheetId="10">S!#REF!</definedName>
    <definedName name="TEST14" localSheetId="14">S!#REF!</definedName>
    <definedName name="TEST14">S!#REF!</definedName>
    <definedName name="TEST15" localSheetId="10">S!#REF!</definedName>
    <definedName name="TEST15" localSheetId="14">S!#REF!</definedName>
    <definedName name="TEST15">S!#REF!</definedName>
    <definedName name="TEST18" localSheetId="10">S!#REF!</definedName>
    <definedName name="TEST18" localSheetId="14">S!#REF!</definedName>
    <definedName name="TEST18">S!#REF!</definedName>
    <definedName name="TEST19" localSheetId="10">S!#REF!</definedName>
    <definedName name="TEST19" localSheetId="14">S!#REF!</definedName>
    <definedName name="TEST19">S!#REF!</definedName>
    <definedName name="TEST2" localSheetId="10">S!#REF!</definedName>
    <definedName name="TEST2" localSheetId="14">S!#REF!</definedName>
    <definedName name="TEST2">S!#REF!</definedName>
    <definedName name="TEST20" localSheetId="10">S!#REF!</definedName>
    <definedName name="TEST20" localSheetId="14">S!#REF!</definedName>
    <definedName name="TEST20">S!#REF!</definedName>
    <definedName name="TEST21" localSheetId="10">S!#REF!</definedName>
    <definedName name="TEST21" localSheetId="14">S!#REF!</definedName>
    <definedName name="TEST21">S!#REF!</definedName>
    <definedName name="TEST3" localSheetId="10">S!#REF!</definedName>
    <definedName name="TEST3" localSheetId="14">S!#REF!</definedName>
    <definedName name="TEST3">S!#REF!</definedName>
    <definedName name="TEST4" localSheetId="10">S!#REF!</definedName>
    <definedName name="TEST4" localSheetId="14">S!#REF!</definedName>
    <definedName name="TEST4">S!#REF!</definedName>
    <definedName name="TEST5" localSheetId="10">S!#REF!</definedName>
    <definedName name="TEST5" localSheetId="14">S!#REF!</definedName>
    <definedName name="TEST5">S!#REF!</definedName>
    <definedName name="TEST6" localSheetId="10">S!#REF!</definedName>
    <definedName name="TEST6" localSheetId="14">S!#REF!</definedName>
    <definedName name="TEST6">S!#REF!</definedName>
    <definedName name="TEST7" localSheetId="10">S!#REF!</definedName>
    <definedName name="TEST7" localSheetId="14">S!#REF!</definedName>
    <definedName name="TEST7">S!#REF!</definedName>
    <definedName name="TEST8" localSheetId="10">S!#REF!</definedName>
    <definedName name="TEST8" localSheetId="14">S!#REF!</definedName>
    <definedName name="TEST8">S!#REF!</definedName>
    <definedName name="TEST9" localSheetId="10">S!#REF!</definedName>
    <definedName name="TEST9" localSheetId="14">S!#REF!</definedName>
    <definedName name="TEST9">S!#REF!</definedName>
    <definedName name="ThruFlo1">WS!$G$57</definedName>
    <definedName name="ThruFlo10" localSheetId="4">[2]FR!$G$67</definedName>
    <definedName name="ThruFlo10">FR!$G$78</definedName>
    <definedName name="ThruFlo12" localSheetId="4">[2]WBF!$G$55</definedName>
    <definedName name="ThruFlo12">WBF!#REF!</definedName>
    <definedName name="ThruFlo13">WBN!#REF!</definedName>
    <definedName name="ThruFlo15">PD!$G$91</definedName>
    <definedName name="ThruFlo2" localSheetId="4">[2]SR!$G$44</definedName>
    <definedName name="ThruFlo3" localSheetId="4">[2]PR!$G$61</definedName>
    <definedName name="ThruFlo3">SR!$G$60</definedName>
    <definedName name="ThruFlo4" localSheetId="4">[2]NR!$G$57</definedName>
    <definedName name="ThruFlo4">PR!$G$73</definedName>
    <definedName name="ThruFlo5" localSheetId="10">CS!#REF!</definedName>
    <definedName name="ThruFlo5" localSheetId="4">[2]CS!$G$66</definedName>
    <definedName name="ThruFlo5" localSheetId="14">CS!#REF!</definedName>
    <definedName name="ThruFlo5">NR!#REF!</definedName>
    <definedName name="ThruFlo6" localSheetId="4">[2]OE!$G$63</definedName>
    <definedName name="ThruFlo7">OE!$G$83</definedName>
    <definedName name="ThruFlo8" localSheetId="4">[2]INV!$G$69</definedName>
    <definedName name="ThruFlo8">INV!$G$73</definedName>
    <definedName name="ThruFlo9" localSheetId="4">[2]FA!$G$58</definedName>
    <definedName name="ThruFlo9">FA!$G$93</definedName>
    <definedName name="ThruFlow13" localSheetId="4">[2]WBN!$G$50</definedName>
    <definedName name="ThruFlow5">NR!$G$64</definedName>
    <definedName name="Tidal">T!$D$4</definedName>
    <definedName name="Tidal_OE">OE!$G$230</definedName>
    <definedName name="tidal0" localSheetId="10">POL!#REF!</definedName>
    <definedName name="tidal0" localSheetId="14">POL!#REF!</definedName>
    <definedName name="tidal0">POL!#REF!</definedName>
    <definedName name="Tidal1" localSheetId="10">WS!#REF!</definedName>
    <definedName name="Tidal1" localSheetId="4">[2]WS!$D$2</definedName>
    <definedName name="Tidal1" localSheetId="14">WS!#REF!</definedName>
    <definedName name="Tidal10" localSheetId="10">FA!#REF!</definedName>
    <definedName name="Tidal10" localSheetId="4">[2]FR!$D$2</definedName>
    <definedName name="Tidal10" localSheetId="14">FR!#REF!</definedName>
    <definedName name="Tidal10">FR!#REF!</definedName>
    <definedName name="Tidal11" localSheetId="10">AM!#REF!</definedName>
    <definedName name="Tidal11" localSheetId="14">AM!#REF!</definedName>
    <definedName name="Tidal11">AM!$G$288</definedName>
    <definedName name="Tidal12" localSheetId="10">#REF!</definedName>
    <definedName name="Tidal12" localSheetId="4">[2]WBF!$D$2</definedName>
    <definedName name="Tidal12" localSheetId="14">#REF!</definedName>
    <definedName name="Tidal12">#REF!</definedName>
    <definedName name="Tidal13" localSheetId="10">WBN!#REF!</definedName>
    <definedName name="Tidal13" localSheetId="4">[2]WBN!$D$2</definedName>
    <definedName name="Tidal13" localSheetId="14">WBF!#REF!</definedName>
    <definedName name="Tidal13">WBN!#REF!</definedName>
    <definedName name="Tidal14" localSheetId="10">SBM!#REF!</definedName>
    <definedName name="Tidal14" localSheetId="4">[2]SBM!$D$2</definedName>
    <definedName name="Tidal14" localSheetId="14">SBM!#REF!</definedName>
    <definedName name="Tidal14">SBM!#REF!</definedName>
    <definedName name="Tidal2" localSheetId="10">SR!#REF!</definedName>
    <definedName name="Tidal2" localSheetId="4">[2]SR!$D$2</definedName>
    <definedName name="Tidal2" localSheetId="14">SR!#REF!</definedName>
    <definedName name="Tidal3" localSheetId="10">PR!#REF!</definedName>
    <definedName name="Tidal3" localSheetId="4">[2]PR!$D$2</definedName>
    <definedName name="Tidal3" localSheetId="14">PR!#REF!</definedName>
    <definedName name="Tidal3">PR!#REF!</definedName>
    <definedName name="Tidal4" localSheetId="10">NR!#REF!</definedName>
    <definedName name="Tidal4" localSheetId="4">[2]NR!$D$2</definedName>
    <definedName name="Tidal4" localSheetId="14">NR!#REF!</definedName>
    <definedName name="Tidal4">NR!#REF!</definedName>
    <definedName name="Tidal5" localSheetId="10">CS!#REF!</definedName>
    <definedName name="Tidal5" localSheetId="14">CS!#REF!</definedName>
    <definedName name="Tidal5">CS!#REF!</definedName>
    <definedName name="Tidal6" localSheetId="10">OE!#REF!</definedName>
    <definedName name="Tidal6" localSheetId="4">[2]OE!$D$2</definedName>
    <definedName name="Tidal6" localSheetId="14">OE!#REF!</definedName>
    <definedName name="Tidal6">OE!#REF!</definedName>
    <definedName name="Tidal7" localSheetId="10">WC!#REF!</definedName>
    <definedName name="Tidal7" localSheetId="4">[2]T!$D$2</definedName>
    <definedName name="Tidal7" localSheetId="14">WC!#REF!</definedName>
    <definedName name="Tidal7">WC!#REF!</definedName>
    <definedName name="Tidal8" localSheetId="10">INV!#REF!</definedName>
    <definedName name="Tidal8" localSheetId="4">[2]INV!$D$2</definedName>
    <definedName name="Tidal8" localSheetId="14">INV!#REF!</definedName>
    <definedName name="Tidal8">INV!#REF!</definedName>
    <definedName name="Tidal9" localSheetId="10">#REF!</definedName>
    <definedName name="Tidal9" localSheetId="4">[2]FA!$D$2</definedName>
    <definedName name="Tidal9" localSheetId="14">#REF!</definedName>
    <definedName name="Tidal9">#REF!</definedName>
    <definedName name="TidalFA_LP">FA!#REF!</definedName>
    <definedName name="TidalNTconn13" localSheetId="10">WBN!#REF!</definedName>
    <definedName name="TidalNTconn13" localSheetId="4">[2]WBN!#REF!</definedName>
    <definedName name="TidalNTconn13" localSheetId="14">WBF!#REF!</definedName>
    <definedName name="TidalNTconn13">WBN!#REF!</definedName>
    <definedName name="TidalPD" localSheetId="10">PD!#REF!</definedName>
    <definedName name="TidalPD" localSheetId="4">[2]PD!$D$2</definedName>
    <definedName name="TidalPD" localSheetId="14">PD!#REF!</definedName>
    <definedName name="TidalPD">PD!#REF!</definedName>
    <definedName name="TidalProx_S" localSheetId="10">Sens!#REF!</definedName>
    <definedName name="TidalProx_S" localSheetId="14">Sens!#REF!</definedName>
    <definedName name="TidalProx_S">Sens!#REF!</definedName>
    <definedName name="TidalProx1" localSheetId="10">WS!#REF!</definedName>
    <definedName name="TidalProx1" localSheetId="14">WS!#REF!</definedName>
    <definedName name="TidalProx1">WS!#REF!</definedName>
    <definedName name="TidalProx10" localSheetId="10">FA!#REF!</definedName>
    <definedName name="TidalProx10" localSheetId="14">FR!#REF!</definedName>
    <definedName name="TidalProx10">FR!#REF!</definedName>
    <definedName name="TidalProx11" localSheetId="10">AM!#REF!</definedName>
    <definedName name="TidalProx11" localSheetId="14">AM!#REF!</definedName>
    <definedName name="TidalProx11">AM!#REF!</definedName>
    <definedName name="TidalProx12" localSheetId="10">#REF!</definedName>
    <definedName name="TidalProx12" localSheetId="4">[2]WBF!$G$141</definedName>
    <definedName name="TidalProx12" localSheetId="14">#REF!</definedName>
    <definedName name="TidalProx12">#REF!</definedName>
    <definedName name="TidalProx13" localSheetId="10">WBN!#REF!</definedName>
    <definedName name="TidalProx13" localSheetId="14">WBF!#REF!</definedName>
    <definedName name="TidalProx13">WBN!#REF!</definedName>
    <definedName name="TidalProx3" localSheetId="10">PR!#REF!</definedName>
    <definedName name="TidalProx3" localSheetId="14">PR!#REF!</definedName>
    <definedName name="TidalProx3">PR!#REF!</definedName>
    <definedName name="TidalProx4" localSheetId="10">NR!#REF!</definedName>
    <definedName name="TidalProx4" localSheetId="14">NR!#REF!</definedName>
    <definedName name="TidalProx4">NR!#REF!</definedName>
    <definedName name="TidalProx5" localSheetId="10">CS!#REF!</definedName>
    <definedName name="TidalProx5" localSheetId="4">[2]CS!$G$131</definedName>
    <definedName name="TidalProx5" localSheetId="14">CS!#REF!</definedName>
    <definedName name="TidalProx5">CS!#REF!</definedName>
    <definedName name="TidalProx6" localSheetId="10">OE!#REF!</definedName>
    <definedName name="TidalProx6" localSheetId="14">OE!#REF!</definedName>
    <definedName name="TidalProx6">OE!#REF!</definedName>
    <definedName name="TidalProx8" localSheetId="10">INV!#REF!</definedName>
    <definedName name="TidalProx8" localSheetId="14">INV!#REF!</definedName>
    <definedName name="TidalProx8">INV!#REF!</definedName>
    <definedName name="TidalProx9">#REF!</definedName>
    <definedName name="TidalProxPD" localSheetId="10">PD!#REF!</definedName>
    <definedName name="TidalProxPD" localSheetId="14">PD!#REF!</definedName>
    <definedName name="TidalProxPD">PD!#REF!</definedName>
    <definedName name="TidalProxS">#REF!</definedName>
    <definedName name="TidalScoreCS">CS!$G$184</definedName>
    <definedName name="TidalScoreFA">FA!$G$224</definedName>
    <definedName name="TidalScoreINV">INV!$G$214</definedName>
    <definedName name="TidalScoreNR">NR!$G$170</definedName>
    <definedName name="TidalScoreOE">OE!$G$230</definedName>
    <definedName name="TidalScorePH">PD!$G$320</definedName>
    <definedName name="TidalScorePOL">POL!$G$153</definedName>
    <definedName name="TidalScorePR">PR!$G$248</definedName>
    <definedName name="TidalScoreS18">Sens!$G$245</definedName>
    <definedName name="TidalScoreSBM">SBM!$G$312</definedName>
    <definedName name="TidalScoreSens">[1]Sens!$G$240</definedName>
    <definedName name="TidalScoreSR">SR!$G$220</definedName>
    <definedName name="TidalScoreWBF">WBF!$G$268</definedName>
    <definedName name="TidalW" localSheetId="10">#REF!</definedName>
    <definedName name="TidalW" localSheetId="4">#REF!</definedName>
    <definedName name="TidalW" localSheetId="14">#REF!</definedName>
    <definedName name="TidalW">#REF!</definedName>
    <definedName name="tidalx">[4]T!$D$4</definedName>
    <definedName name="TideProx2" localSheetId="10">SR!#REF!</definedName>
    <definedName name="TideProx2" localSheetId="14">SR!#REF!</definedName>
    <definedName name="TideProx2">SR!#REF!</definedName>
    <definedName name="TideProx7" localSheetId="10">#REF!</definedName>
    <definedName name="TideProx7" localSheetId="14">#REF!</definedName>
    <definedName name="TideProx7">#REF!</definedName>
    <definedName name="TnonT11">AM!$G$227</definedName>
    <definedName name="TnonT12">WBF!$G$197</definedName>
    <definedName name="TnonT14">SBM!$G$223</definedName>
    <definedName name="TnonT15">PD!#REF!</definedName>
    <definedName name="TnonT7">OE!$G$177</definedName>
    <definedName name="TnonT8">INV!$G$139</definedName>
    <definedName name="TnonT9">FA!$G$166</definedName>
    <definedName name="TnonTconn10" localSheetId="10">FA!#REF!</definedName>
    <definedName name="TnonTconn10" localSheetId="14">FR!#REF!</definedName>
    <definedName name="TnonTconn10">FR!#REF!</definedName>
    <definedName name="TnonTpd" localSheetId="10">PD!#REF!</definedName>
    <definedName name="TnonTpd" localSheetId="4">[2]PD!$G$9</definedName>
    <definedName name="TnonTpd" localSheetId="14">PD!#REF!</definedName>
    <definedName name="TnonTpd">PD!#REF!</definedName>
    <definedName name="TooSteep1">F!$D$186</definedName>
    <definedName name="TooSteep2">F!$D$187</definedName>
    <definedName name="Transport3" localSheetId="10">PR!#REF!</definedName>
    <definedName name="Transport3" localSheetId="14">PR!#REF!</definedName>
    <definedName name="Transport4" localSheetId="14">NR!#REF!</definedName>
    <definedName name="TransRCA1v">WS!$G$113</definedName>
    <definedName name="TransRCA20">STR!$G$61</definedName>
    <definedName name="TransRCA3v">SR!$G$158</definedName>
    <definedName name="TransRCA4v">PR!$G$186</definedName>
    <definedName name="TransSCA20">STR!#REF!</definedName>
    <definedName name="TransSCA3v">SR!#REF!</definedName>
    <definedName name="TransSCA4v">PR!#REF!</definedName>
    <definedName name="TreeDiams14">SBM!$G$136</definedName>
    <definedName name="TreeDiams16">POL!$G$57</definedName>
    <definedName name="TreeDiams18">Sens!$G$137</definedName>
    <definedName name="TreeDiams18a">Sens!$G$136</definedName>
    <definedName name="TreeDiams6">CS!$G$85</definedName>
    <definedName name="TreeForm13" localSheetId="10">WBN!#REF!</definedName>
    <definedName name="TreeForm13" localSheetId="14">WBF!#REF!</definedName>
    <definedName name="TreeForm13">WBN!#REF!</definedName>
    <definedName name="TreeForm5" localSheetId="4">[2]CS!$G$88</definedName>
    <definedName name="TreeForm6" localSheetId="10">OE!#REF!</definedName>
    <definedName name="TreeForm6" localSheetId="4">[2]OE!#REF!</definedName>
    <definedName name="TreeForm6" localSheetId="14">OE!#REF!</definedName>
    <definedName name="TreeFrag_S" localSheetId="10">Sens!#REF!</definedName>
    <definedName name="TreeFrag_S" localSheetId="4">[2]Sen!#REF!</definedName>
    <definedName name="TreeFrag_S" localSheetId="14">Sens!#REF!</definedName>
    <definedName name="TreeFrag_S">Sens!#REF!</definedName>
    <definedName name="TreeFrag14" localSheetId="10">SBM!#REF!</definedName>
    <definedName name="TreeFrag14" localSheetId="4">[2]SBM!#REF!</definedName>
    <definedName name="TreeFrag14" localSheetId="14">SBM!#REF!</definedName>
    <definedName name="TreeFrag14">SBM!#REF!</definedName>
    <definedName name="Trees13" localSheetId="10">WBN!#REF!</definedName>
    <definedName name="Trees13" localSheetId="14">WBF!#REF!</definedName>
    <definedName name="Trees13">WBN!#REF!</definedName>
    <definedName name="TreeTyp13" localSheetId="10">WBN!#REF!</definedName>
    <definedName name="TreeTyp13" localSheetId="14">WBF!#REF!</definedName>
    <definedName name="TreeTyp13">WBN!#REF!</definedName>
    <definedName name="TreeTypes14" localSheetId="4">[2]SBM!$G$41</definedName>
    <definedName name="TreeVar11" localSheetId="10">AM!#REF!</definedName>
    <definedName name="TreeVar11" localSheetId="4">[2]AM!$G$80</definedName>
    <definedName name="TreeVar11" localSheetId="14">AM!#REF!</definedName>
    <definedName name="TreeVar11">AM!#REF!</definedName>
    <definedName name="TreeVar8" localSheetId="10">INV!#REF!</definedName>
    <definedName name="TreeVar8" localSheetId="4">[2]INV!#REF!</definedName>
    <definedName name="TreeVar8" localSheetId="14">INV!#REF!</definedName>
    <definedName name="TreeVar8">INV!#REF!</definedName>
    <definedName name="TurbExceed" localSheetId="10">SR!#REF!</definedName>
    <definedName name="TurbExceed" localSheetId="14">SR!#REF!</definedName>
    <definedName name="TurbExceed">SR!#REF!</definedName>
    <definedName name="TurbExceedSS" localSheetId="10">SR!#REF!</definedName>
    <definedName name="TurbExceedSS" localSheetId="14">SR!#REF!</definedName>
    <definedName name="TurbExceedSS">SR!#REF!</definedName>
    <definedName name="Turbid15" localSheetId="10">PD!#REF!</definedName>
    <definedName name="Turbid15" localSheetId="4">[2]PD!$D$170</definedName>
    <definedName name="Turbid15" localSheetId="14">PD!#REF!</definedName>
    <definedName name="Turbid15">PD!#REF!</definedName>
    <definedName name="TurbUp2" localSheetId="10">SR!#REF!</definedName>
    <definedName name="TurbUp2" localSheetId="4">[2]SR!$D$109</definedName>
    <definedName name="TurbUp2" localSheetId="14">SR!#REF!</definedName>
    <definedName name="TurbUp2">SR!#REF!</definedName>
    <definedName name="Unbrow" localSheetId="10">SBM!#REF!</definedName>
    <definedName name="Unbrow" localSheetId="14">SBM!#REF!</definedName>
    <definedName name="Unbrow">SBM!#REF!</definedName>
    <definedName name="Unbrowsed" localSheetId="10">PD!#REF!</definedName>
    <definedName name="Unbrowsed" localSheetId="14">PD!#REF!</definedName>
    <definedName name="Unbrowsed">PD!#REF!</definedName>
    <definedName name="Undercut10" localSheetId="10">FA!#REF!</definedName>
    <definedName name="Undercut10" localSheetId="4">[2]FR!$G$73</definedName>
    <definedName name="Undercut10" localSheetId="14">FR!#REF!</definedName>
    <definedName name="Undercut10">FR!#REF!</definedName>
    <definedName name="Undercut11" localSheetId="10">AM!#REF!</definedName>
    <definedName name="Undercut11" localSheetId="4">[2]AM!$G$54</definedName>
    <definedName name="Undercut11" localSheetId="14">AM!#REF!</definedName>
    <definedName name="Undercut11">AM!#REF!</definedName>
    <definedName name="Undercut2" localSheetId="10">SR!#REF!</definedName>
    <definedName name="Undercut2" localSheetId="4">[2]SR!$G$139</definedName>
    <definedName name="Undercut2" localSheetId="14">SR!#REF!</definedName>
    <definedName name="Undercut2">SR!#REF!</definedName>
    <definedName name="Undercut9" localSheetId="10">#REF!</definedName>
    <definedName name="Undercut9" localSheetId="4">[2]FA!$G$64</definedName>
    <definedName name="Undercut9" localSheetId="14">#REF!</definedName>
    <definedName name="Undercut9">#REF!</definedName>
    <definedName name="Unif1" localSheetId="10">WS!#REF!</definedName>
    <definedName name="Unif1" localSheetId="4">[2]WS!#REF!</definedName>
    <definedName name="Unif1" localSheetId="14">WS!#REF!</definedName>
    <definedName name="Unif1">WS!#REF!</definedName>
    <definedName name="Unif11" localSheetId="10">AM!#REF!</definedName>
    <definedName name="Unif11" localSheetId="14">AM!#REF!</definedName>
    <definedName name="Unif11">AM!#REF!</definedName>
    <definedName name="UniqPatch">#REF!</definedName>
    <definedName name="UniqPatch11" localSheetId="4">[2]AM!$G$228</definedName>
    <definedName name="UniqPatch11">AM!$G$255</definedName>
    <definedName name="UniqPatch12v">WBF!$G$243</definedName>
    <definedName name="UniqPatch13v">WBN!$G$224</definedName>
    <definedName name="UniqPatch14v">SBM!$G$280</definedName>
    <definedName name="UniqPatch15v">PD!$G$284</definedName>
    <definedName name="UniqPatch16v">POL!$G$127</definedName>
    <definedName name="UniqPatch18">Sens!$G$25</definedName>
    <definedName name="UniqPatch8">INV!$G$188</definedName>
    <definedName name="UniqPatchPD" localSheetId="4">[2]PD!$G$174</definedName>
    <definedName name="Unprotec" localSheetId="10">STR!#REF!</definedName>
    <definedName name="Unprotec" localSheetId="14">STR!#REF!</definedName>
    <definedName name="Unprotec">STR!#REF!</definedName>
    <definedName name="UpCovWidth1">WS!#REF!</definedName>
    <definedName name="UpCovWidth13" localSheetId="14">WBF!#REF!</definedName>
    <definedName name="UpEdge14" localSheetId="4">[2]SBM!$G$62</definedName>
    <definedName name="UpEdgeShape4" localSheetId="10">NR!#REF!</definedName>
    <definedName name="UpEdgeShape4" localSheetId="4">[2]NR!$G$80</definedName>
    <definedName name="UpEdgeShape4" localSheetId="14">NR!#REF!</definedName>
    <definedName name="UpEdgeShape4">NR!#REF!</definedName>
    <definedName name="UpErodible" localSheetId="10">#REF!</definedName>
    <definedName name="UpErodible" localSheetId="4">#REF!</definedName>
    <definedName name="UpErodible" localSheetId="14">#REF!</definedName>
    <definedName name="UpErodible">#REF!</definedName>
    <definedName name="UpExceed2" localSheetId="10">SR!#REF!</definedName>
    <definedName name="UpExceed2" localSheetId="14">SR!#REF!</definedName>
    <definedName name="UpExceed2">SR!#REF!</definedName>
    <definedName name="UpExceedDist" localSheetId="10">#REF!</definedName>
    <definedName name="UpExceedDist" localSheetId="4">#REF!</definedName>
    <definedName name="UpExceedDist" localSheetId="14">#REF!</definedName>
    <definedName name="UpExceedDist">#REF!</definedName>
    <definedName name="UpNitrate" localSheetId="10">#REF!</definedName>
    <definedName name="UpNitrate" localSheetId="4">#REF!</definedName>
    <definedName name="UpNitrate" localSheetId="14">#REF!</definedName>
    <definedName name="UpNitrate">#REF!</definedName>
    <definedName name="UpPhos" localSheetId="10">#REF!</definedName>
    <definedName name="UpPhos" localSheetId="4">#REF!</definedName>
    <definedName name="UpPhos" localSheetId="14">#REF!</definedName>
    <definedName name="UpPhos">#REF!</definedName>
    <definedName name="UpPollute" localSheetId="10">#REF!</definedName>
    <definedName name="UpPollute" localSheetId="4">#REF!</definedName>
    <definedName name="UpPollute" localSheetId="14">#REF!</definedName>
    <definedName name="UpPollute">#REF!</definedName>
    <definedName name="UpStorage" localSheetId="10">#REF!</definedName>
    <definedName name="UpStorage" localSheetId="4">#REF!</definedName>
    <definedName name="UpStorage" localSheetId="14">#REF!</definedName>
    <definedName name="UpStorage">#REF!</definedName>
    <definedName name="UpStore1" localSheetId="10">WS!#REF!</definedName>
    <definedName name="UpStore1" localSheetId="14">WS!#REF!</definedName>
    <definedName name="UpStore1">WS!#REF!</definedName>
    <definedName name="UpStore3" localSheetId="10">PR!#REF!</definedName>
    <definedName name="UpStore3" localSheetId="4">[2]PR!$G$120</definedName>
    <definedName name="UpStore3" localSheetId="14">PR!#REF!</definedName>
    <definedName name="UpStore3">PR!#REF!</definedName>
    <definedName name="UpStore4" localSheetId="10">NR!#REF!</definedName>
    <definedName name="UpStore4" localSheetId="4">[2]NR!$G$120</definedName>
    <definedName name="UpStore4" localSheetId="14">NR!#REF!</definedName>
    <definedName name="UpStore4">NR!#REF!</definedName>
    <definedName name="UpStoreSS" localSheetId="10">SR!#REF!</definedName>
    <definedName name="UpStoreSS" localSheetId="4">[2]SR!$G$94</definedName>
    <definedName name="UpStoreSS" localSheetId="14">SR!#REF!</definedName>
    <definedName name="UpStoreSS">SR!#REF!</definedName>
    <definedName name="UpThermo" localSheetId="10">#REF!</definedName>
    <definedName name="UpThermo" localSheetId="4">#REF!</definedName>
    <definedName name="UpThermo" localSheetId="14">#REF!</definedName>
    <definedName name="UpThermo">#REF!</definedName>
    <definedName name="UpTransport" localSheetId="10">#REF!</definedName>
    <definedName name="UpTransport" localSheetId="4">#REF!</definedName>
    <definedName name="UpTransport" localSheetId="14">#REF!</definedName>
    <definedName name="UpTransport">#REF!</definedName>
    <definedName name="UpTreePctPer12">WBF!$G$156</definedName>
    <definedName name="UpTreePctPer13">WBN!$G$204</definedName>
    <definedName name="UpTreePctPer14">SBM!$G$171</definedName>
    <definedName name="UpTreePctPer16">POL!#REF!</definedName>
    <definedName name="UpTreePctPer1v">WS!$G$122</definedName>
    <definedName name="UpTreePctPer9">FA!$G$122</definedName>
    <definedName name="UpTurbid" localSheetId="10">#REF!</definedName>
    <definedName name="UpTurbid" localSheetId="4">#REF!</definedName>
    <definedName name="UpTurbid" localSheetId="14">#REF!</definedName>
    <definedName name="UpTurbid">#REF!</definedName>
    <definedName name="UpWeed15">PD!$G$141</definedName>
    <definedName name="UpWeed20">STR!$G$93</definedName>
    <definedName name="UpWQdis2" localSheetId="10">SR!#REF!</definedName>
    <definedName name="UpWQdis2" localSheetId="4">[2]SR!#REF!</definedName>
    <definedName name="UpWQdis2" localSheetId="14">SR!#REF!</definedName>
    <definedName name="UpWQdis2">SR!#REF!</definedName>
    <definedName name="UsesT17v">PU!$G$79</definedName>
    <definedName name="VegClear" localSheetId="10">STR!#REF!</definedName>
    <definedName name="VegClear" localSheetId="4">[2]STR!$G$9</definedName>
    <definedName name="VegClear" localSheetId="14">STR!#REF!</definedName>
    <definedName name="VegClear">STR!#REF!</definedName>
    <definedName name="VegCut11">AM!$G$147</definedName>
    <definedName name="VegCut13">WBN!$G$183</definedName>
    <definedName name="VegCut14">SBM!$G$124</definedName>
    <definedName name="VegCut15">PD!$G$110</definedName>
    <definedName name="VegCut19">EC!$G$32</definedName>
    <definedName name="VegCut3">SR!$G$71</definedName>
    <definedName name="VegCutT14">SBM!#REF!</definedName>
    <definedName name="VegCutT15">PD!$G$248</definedName>
    <definedName name="VegCutT16">POL!#REF!</definedName>
    <definedName name="VegCutT19">EC!$G$62</definedName>
    <definedName name="VegFormDivT14">SBM!#REF!</definedName>
    <definedName name="VegFormDivT15">PD!$G$208</definedName>
    <definedName name="VegFormDivT18">Sens!#REF!</definedName>
    <definedName name="VegFormDivT8">INV!$G$158</definedName>
    <definedName name="VegFormDomT12">WBF!#REF!</definedName>
    <definedName name="VegFormDomT14">SBM!#REF!</definedName>
    <definedName name="VegFormDomT6">CS!$G$152</definedName>
    <definedName name="VegFormDomT7">OE!$G$211</definedName>
    <definedName name="VegformsT12">WBF!$G$209</definedName>
    <definedName name="VegformsT14">SBM!$G$230</definedName>
    <definedName name="VegformsT18">Sens!$G$212</definedName>
    <definedName name="VegFormsT18a">Sens!$G$211</definedName>
    <definedName name="VegformsT6">CS!$G$146</definedName>
    <definedName name="VegformsT7">OE!$G$205</definedName>
    <definedName name="VegGap11" localSheetId="10">AM!#REF!</definedName>
    <definedName name="VegGap11" localSheetId="14">AM!#REF!</definedName>
    <definedName name="VegGap14" localSheetId="4">[2]SBM!$G$54</definedName>
    <definedName name="VegGaps8" localSheetId="4">[2]INV!$G$100</definedName>
    <definedName name="VegSpDomT12">WBF!#REF!</definedName>
    <definedName name="VegSpDomT14">SBM!$G$236</definedName>
    <definedName name="VegSpDomT15">PD!$G$212</definedName>
    <definedName name="VegSpDomT16">POL!$G$113</definedName>
    <definedName name="VegSpDomT18">Sens!$G$218</definedName>
    <definedName name="VegSpDomT18a">Sens!$G$217</definedName>
    <definedName name="VegSpDomT8">INV!$G$162</definedName>
    <definedName name="VegWabs3" localSheetId="4">[2]PR!$G$67</definedName>
    <definedName name="VegWrel3" localSheetId="10">PR!#REF!</definedName>
    <definedName name="VegWrel3" localSheetId="4">[2]PR!$G$147</definedName>
    <definedName name="VegWrel3" localSheetId="14">PR!#REF!</definedName>
    <definedName name="VegWrel3">PR!#REF!</definedName>
    <definedName name="VhtDiv12">WBF!#REF!</definedName>
    <definedName name="VhtDiv13">WBN!#REF!</definedName>
    <definedName name="VhtDiv14">SBM!#REF!</definedName>
    <definedName name="VhtDiv15">PD!#REF!</definedName>
    <definedName name="VhtDiv16">POL!#REF!</definedName>
    <definedName name="VhtDiv8">INV!#REF!</definedName>
    <definedName name="VhtDivT14">SBM!#REF!</definedName>
    <definedName name="VhtDivT15">PD!#REF!</definedName>
    <definedName name="VhtDivT8">INV!#REF!</definedName>
    <definedName name="Visibil12v">WBF!$G$255</definedName>
    <definedName name="Visibil13v">WBN!$G$246</definedName>
    <definedName name="Visibil14v">SBM!$G$302</definedName>
    <definedName name="Visibil17v">PU!$G$33</definedName>
    <definedName name="Visibil20">STR!$G$98</definedName>
    <definedName name="Visibility" localSheetId="4">[2]PU!$G$2</definedName>
    <definedName name="VisitNo11">AM!$G$184</definedName>
    <definedName name="VisitNo12">WBF!$G$163</definedName>
    <definedName name="VisitNo13">WBN!$G$211</definedName>
    <definedName name="VisitNo14">SBM!$G$189</definedName>
    <definedName name="VisitNo15">PD!$G$162</definedName>
    <definedName name="VisitNo17v">PU!$G$42</definedName>
    <definedName name="VisitNo20">STR!$G$102</definedName>
    <definedName name="VisitNoT12">WBF!$G$230</definedName>
    <definedName name="VisitNoT15">PD!$G$263</definedName>
    <definedName name="VisitNoT17v">PU!$G$67</definedName>
    <definedName name="VisitOften11">AM!$G$191</definedName>
    <definedName name="VisitOften12">WBF!$G$170</definedName>
    <definedName name="VisitOften13">WBN!$G$218</definedName>
    <definedName name="VisitOften14">SBM!$G$196</definedName>
    <definedName name="VisitOften15">PD!$G$169</definedName>
    <definedName name="VisitOften17v">PU!$G$49</definedName>
    <definedName name="VisitOften20">STR!$G$109</definedName>
    <definedName name="VisitOftenT12">WBF!$G$237</definedName>
    <definedName name="VisitOftenT15">PD!$G$270</definedName>
    <definedName name="VisitOftenT17v">PU!$G$74</definedName>
    <definedName name="Vremove6" localSheetId="10">OE!#REF!</definedName>
    <definedName name="Vremove6" localSheetId="4">[2]OE!$G$116</definedName>
    <definedName name="Vremove6" localSheetId="14">OE!#REF!</definedName>
    <definedName name="Vremove6">OE!#REF!</definedName>
    <definedName name="VwidthAbs_S" localSheetId="4">[2]Sen!$G$40</definedName>
    <definedName name="VwidthAbs13" localSheetId="4">[2]WBN!$G$56</definedName>
    <definedName name="VwidthAbs4" localSheetId="4">[2]NR!$G$63</definedName>
    <definedName name="VwidthAbs5" localSheetId="4">[2]CS!$G$75</definedName>
    <definedName name="VwidthAbs6" localSheetId="4">[2]OE!$G$72</definedName>
    <definedName name="VwidthRel_S" localSheetId="10">Sens!#REF!</definedName>
    <definedName name="VwidthRel_S" localSheetId="4">[2]Sen!$G$37</definedName>
    <definedName name="VwidthRel_S" localSheetId="14">Sens!#REF!</definedName>
    <definedName name="VwidthRel_S">Sens!#REF!</definedName>
    <definedName name="VwidthRel4" localSheetId="10">NR!#REF!</definedName>
    <definedName name="VwidthRel4" localSheetId="4">[2]NR!$G$148</definedName>
    <definedName name="VwidthRel4" localSheetId="14">NR!#REF!</definedName>
    <definedName name="VwidthRel4">NR!#REF!</definedName>
    <definedName name="VwidthRel5" localSheetId="10">CS!#REF!</definedName>
    <definedName name="VwidthRel5" localSheetId="4">[2]CS!$G$72</definedName>
    <definedName name="VwidthRel5" localSheetId="14">CS!#REF!</definedName>
    <definedName name="VwidthRel5">CS!#REF!</definedName>
    <definedName name="VwidthRel6" localSheetId="10">OE!#REF!</definedName>
    <definedName name="VwidthRel6" localSheetId="4">[2]OE!$G$69</definedName>
    <definedName name="VwidthRel6" localSheetId="14">OE!#REF!</definedName>
    <definedName name="VwidthRel6">OE!#REF!</definedName>
    <definedName name="Warmth4">NR!$G$165</definedName>
    <definedName name="Warmth6">CS!$G$179</definedName>
    <definedName name="Wat1Erod2" localSheetId="10">SR!#REF!</definedName>
    <definedName name="Wat1Erod2" localSheetId="14">SR!#REF!</definedName>
    <definedName name="Wat1Erod2">SR!#REF!</definedName>
    <definedName name="Wat2Erod2" localSheetId="10">SR!#REF!</definedName>
    <definedName name="Wat2Erod2" localSheetId="14">SR!#REF!</definedName>
    <definedName name="Wat2Erod2">SR!#REF!</definedName>
    <definedName name="Wat3Erod2" localSheetId="10">SR!#REF!</definedName>
    <definedName name="Wat3Erod2" localSheetId="14">SR!#REF!</definedName>
    <definedName name="Wat3Erod2">SR!#REF!</definedName>
    <definedName name="Water0" localSheetId="10">POL!#REF!</definedName>
    <definedName name="Water0" localSheetId="14">POL!#REF!</definedName>
    <definedName name="Water0">POL!#REF!</definedName>
    <definedName name="Water10" localSheetId="10">FA!#REF!</definedName>
    <definedName name="Water10" localSheetId="14">FR!#REF!</definedName>
    <definedName name="Water10">FR!#REF!</definedName>
    <definedName name="Water11" localSheetId="10">AM!#REF!</definedName>
    <definedName name="Water11" localSheetId="14">AM!#REF!</definedName>
    <definedName name="Water11">AM!#REF!</definedName>
    <definedName name="Water12">#REF!</definedName>
    <definedName name="Water13" localSheetId="10">WBN!#REF!</definedName>
    <definedName name="Water13" localSheetId="14">WBF!#REF!</definedName>
    <definedName name="Water13">WBN!#REF!</definedName>
    <definedName name="Water14" localSheetId="10">SBM!#REF!</definedName>
    <definedName name="Water14" localSheetId="14">SBM!#REF!</definedName>
    <definedName name="Water14">SBM!#REF!</definedName>
    <definedName name="Water15" localSheetId="10">PD!#REF!</definedName>
    <definedName name="Water15" localSheetId="14">PD!#REF!</definedName>
    <definedName name="Water15">PD!#REF!</definedName>
    <definedName name="Water1a" localSheetId="10">WS!#REF!</definedName>
    <definedName name="Water1a" localSheetId="14">WS!#REF!</definedName>
    <definedName name="Water1a">WS!#REF!</definedName>
    <definedName name="Water2" localSheetId="10">SR!#REF!</definedName>
    <definedName name="Water2" localSheetId="14">SR!#REF!</definedName>
    <definedName name="Water2">SR!#REF!</definedName>
    <definedName name="Water2a" localSheetId="10">SR!#REF!</definedName>
    <definedName name="Water2a" localSheetId="14">SR!#REF!</definedName>
    <definedName name="Water2a">SR!#REF!</definedName>
    <definedName name="Water3" localSheetId="10">PR!#REF!</definedName>
    <definedName name="Water3" localSheetId="14">PR!#REF!</definedName>
    <definedName name="Water3">PR!#REF!</definedName>
    <definedName name="Water4" localSheetId="10">NR!#REF!</definedName>
    <definedName name="Water4" localSheetId="14">NR!#REF!</definedName>
    <definedName name="Water4">NR!#REF!</definedName>
    <definedName name="Water7" localSheetId="10">WC!#REF!</definedName>
    <definedName name="Water7" localSheetId="14">WC!#REF!</definedName>
    <definedName name="Water7">WC!#REF!</definedName>
    <definedName name="Water7w">#REF!</definedName>
    <definedName name="Water8" localSheetId="10">INV!#REF!</definedName>
    <definedName name="Water8" localSheetId="14">INV!#REF!</definedName>
    <definedName name="Water8">INV!#REF!</definedName>
    <definedName name="Water9">#REF!</definedName>
    <definedName name="WaterMixDry11">AM!$G$108</definedName>
    <definedName name="WaterMixDry13" localSheetId="14">WBF!#REF!</definedName>
    <definedName name="WaterMixDry13">WBN!$G$133</definedName>
    <definedName name="WaterMixDry5">NR!$G$38</definedName>
    <definedName name="WaterMixDry8">INV!$G$49</definedName>
    <definedName name="WaterMixWet11">AM!$G$89</definedName>
    <definedName name="WaterMixWet12">WBF!$G$95</definedName>
    <definedName name="WaterMixWet13">WBN!$G$111</definedName>
    <definedName name="WaterMixWet14">SBM!$G$97</definedName>
    <definedName name="WaterMixWet15">PD!$G$60</definedName>
    <definedName name="WaterMixWet5">NR!$G$26</definedName>
    <definedName name="WaterMixWet8">INV!#REF!</definedName>
    <definedName name="Waterscape11">AM!$G$281</definedName>
    <definedName name="Wave2" localSheetId="10">SR!#REF!</definedName>
    <definedName name="Wave2" localSheetId="4">[2]SR!$G$146</definedName>
    <definedName name="Wave2" localSheetId="14">SR!#REF!</definedName>
    <definedName name="Wave2">SR!#REF!</definedName>
    <definedName name="Waves" localSheetId="10">STR!#REF!</definedName>
    <definedName name="Waves" localSheetId="4">[2]STR!$G$15</definedName>
    <definedName name="Waves" localSheetId="14">STR!#REF!</definedName>
    <definedName name="Waves">STR!#REF!</definedName>
    <definedName name="Waves15" localSheetId="10">PD!#REF!</definedName>
    <definedName name="Waves15" localSheetId="4">[2]PD!$G$105</definedName>
    <definedName name="Waves15" localSheetId="14">PD!#REF!</definedName>
    <definedName name="Waves15">PD!#REF!</definedName>
    <definedName name="WavesT12">WBF!#REF!</definedName>
    <definedName name="WavesT3">SR!$G$117</definedName>
    <definedName name="WavesT3v">SR!$G$203</definedName>
    <definedName name="WavesT4">PR!$G$140</definedName>
    <definedName name="WavesT5">NR!#REF!</definedName>
    <definedName name="WavesT7">OE!$G$189</definedName>
    <definedName name="WBFscore10" localSheetId="10">AM!#REF!</definedName>
    <definedName name="WBFscore10" localSheetId="14">AM!#REF!</definedName>
    <definedName name="WBFscore10">AM!#REF!</definedName>
    <definedName name="WBFscores" localSheetId="10">FA!#REF!</definedName>
    <definedName name="WBFscores" localSheetId="4">[2]FR!$D$112</definedName>
    <definedName name="WBFscores" localSheetId="14">FR!#REF!</definedName>
    <definedName name="WBFscores">FR!#REF!</definedName>
    <definedName name="WBFsiteS" localSheetId="10">Sens!#REF!</definedName>
    <definedName name="WBFsiteS" localSheetId="14">Sens!#REF!</definedName>
    <definedName name="WBFsiteS">Sens!#REF!</definedName>
    <definedName name="WbirdF" localSheetId="10">INV!#REF!</definedName>
    <definedName name="WbirdF" localSheetId="4">[2]INV!$G$162</definedName>
    <definedName name="WbirdF" localSheetId="14">INV!#REF!</definedName>
    <definedName name="WbirdF">INV!#REF!</definedName>
    <definedName name="WbirdFeed" localSheetId="4">[2]FA!$G$124</definedName>
    <definedName name="WbirdFeed">#REF!</definedName>
    <definedName name="WbirdNest" localSheetId="4">[2]INV!$G$163</definedName>
    <definedName name="WBN4a" localSheetId="10">WBN!#REF!</definedName>
    <definedName name="WBN4a" localSheetId="14">WBF!#REF!</definedName>
    <definedName name="WBN4a">WBN!#REF!</definedName>
    <definedName name="WBNsiteS" localSheetId="10">Sens!#REF!</definedName>
    <definedName name="WBNsiteS" localSheetId="14">Sens!#REF!</definedName>
    <definedName name="WBNsiteS">Sens!#REF!</definedName>
    <definedName name="WeedSource" localSheetId="4">[2]STR!$G$35</definedName>
    <definedName name="WeedSourcePD" localSheetId="4">[2]PD!$G$130</definedName>
    <definedName name="Wells5v">NR!$G$156</definedName>
    <definedName name="WellWater" localSheetId="10">#REF!</definedName>
    <definedName name="WellWater" localSheetId="4">#REF!</definedName>
    <definedName name="WellWater" localSheetId="14">#REF!</definedName>
    <definedName name="WellWater">#REF!</definedName>
    <definedName name="WetAreasRatio" localSheetId="10">WS!#REF!</definedName>
    <definedName name="WetAreasRatio" localSheetId="14">WS!#REF!</definedName>
    <definedName name="WetAreasRatio">WS!#REF!</definedName>
    <definedName name="WetDens11v">[3]AM!$G$257</definedName>
    <definedName name="WetDens13">[3]WB!$G$19</definedName>
    <definedName name="WetDens13v">[3]WB!$G$272</definedName>
    <definedName name="WetDens14v">[3]SBM!$G$285</definedName>
    <definedName name="WetDens15v">[3]PH!$G$223</definedName>
    <definedName name="WetDens18">[3]Sens!$G$42</definedName>
    <definedName name="WetDens1v">[3]WS!$G$122</definedName>
    <definedName name="WetDens3v">[3]SR!$G$128</definedName>
    <definedName name="WetDens4v">[3]PR!$G$134</definedName>
    <definedName name="WetDens8">[3]INV!$G$10</definedName>
    <definedName name="WetDistrib13" localSheetId="10">WBN!#REF!</definedName>
    <definedName name="WetDistrib13" localSheetId="4">[2]WBN!#REF!</definedName>
    <definedName name="WetDistrib13" localSheetId="14">WBF!#REF!</definedName>
    <definedName name="WetDistrib13">WBN!#REF!</definedName>
    <definedName name="WetIntercept">SR!$G$218</definedName>
    <definedName name="WetPct1WS2" localSheetId="10">WS!#REF!</definedName>
    <definedName name="WetPct1WS2" localSheetId="14">WS!#REF!</definedName>
    <definedName name="WetPct1WS2">WS!#REF!</definedName>
    <definedName name="WetPct2WS18">[3]Sens!$G$35</definedName>
    <definedName name="WetPct2WS4v">[3]PR!$G$127</definedName>
    <definedName name="WetPctRCA1">WS!$G$3</definedName>
    <definedName name="WetPctRCA1v">WS!$G$104</definedName>
    <definedName name="WetPctRCA2v">WC!$G$74</definedName>
    <definedName name="WetPctRCA3">SR!$G$3</definedName>
    <definedName name="WetPctRCA3v">SR!$G$149</definedName>
    <definedName name="WetPctRCA4">PR!$G$3</definedName>
    <definedName name="WetPctRCA4v">PR!$G$177</definedName>
    <definedName name="WetPctRCA5">NR!#REF!</definedName>
    <definedName name="WetPctSCA1">WS!$G$8</definedName>
    <definedName name="WetPctSCA2v">WC!$G$83</definedName>
    <definedName name="WetPctSCA3">SR!$G$8</definedName>
    <definedName name="WetPctSCA3v">SR!$G$168</definedName>
    <definedName name="WetPctSCA4">PR!$G$8</definedName>
    <definedName name="WetPctSCA4v">PR!$G$196</definedName>
    <definedName name="WetPctSCA5">NR!#REF!</definedName>
    <definedName name="WetPctWS2v3">[3]SR!$G$121</definedName>
    <definedName name="WetSum1Shed1" localSheetId="10">WS!#REF!</definedName>
    <definedName name="WetSum1Shed1" localSheetId="14">WS!#REF!</definedName>
    <definedName name="WetSum1Shed1">WS!#REF!</definedName>
    <definedName name="WetSum2Shed" localSheetId="10">WS!#REF!</definedName>
    <definedName name="WetSum2Shed" localSheetId="14">WS!#REF!</definedName>
    <definedName name="WetSum2Shed">WS!#REF!</definedName>
    <definedName name="WetSum2Shed1" localSheetId="10">WS!#REF!</definedName>
    <definedName name="WetSum2Shed1" localSheetId="14">WS!#REF!</definedName>
    <definedName name="WetSum2Shed1">WS!#REF!</definedName>
    <definedName name="WetSum3shed" localSheetId="10">WS!#REF!</definedName>
    <definedName name="WetSum3shed" localSheetId="14">WS!#REF!</definedName>
    <definedName name="WetSum3shed">WS!#REF!</definedName>
    <definedName name="WetSum3shed1" localSheetId="10">WS!#REF!</definedName>
    <definedName name="WetSum3shed1" localSheetId="14">WS!#REF!</definedName>
    <definedName name="Wetter" localSheetId="4">[2]STR!$G$2</definedName>
    <definedName name="Wetter">STR!#REF!</definedName>
    <definedName name="WetterEx">STR!#REF!</definedName>
    <definedName name="Wettype10" localSheetId="10">FA!#REF!</definedName>
    <definedName name="Wettype10" localSheetId="14">FR!#REF!</definedName>
    <definedName name="Wettype10">FR!#REF!</definedName>
    <definedName name="Wettype11" localSheetId="10">AM!#REF!</definedName>
    <definedName name="Wettype11" localSheetId="14">AM!#REF!</definedName>
    <definedName name="Wettype11">AM!#REF!</definedName>
    <definedName name="Wettype12">#REF!</definedName>
    <definedName name="Wettype13" localSheetId="10">WBN!#REF!</definedName>
    <definedName name="Wettype13" localSheetId="14">WBF!#REF!</definedName>
    <definedName name="Wettype13">WBN!#REF!</definedName>
    <definedName name="Wettype2">#REF!</definedName>
    <definedName name="Wettype4" localSheetId="10">NR!#REF!</definedName>
    <definedName name="Wettype4" localSheetId="14">NR!#REF!</definedName>
    <definedName name="Wettype4">NR!#REF!</definedName>
    <definedName name="Wettype5" localSheetId="10">CS!#REF!</definedName>
    <definedName name="Wettype5" localSheetId="14">CS!#REF!</definedName>
    <definedName name="Wettype5">CS!#REF!</definedName>
    <definedName name="Wettype8" localSheetId="10">INV!#REF!</definedName>
    <definedName name="Wettype8" localSheetId="14">INV!#REF!</definedName>
    <definedName name="Wettype8">INV!#REF!</definedName>
    <definedName name="Wettype9">#REF!</definedName>
    <definedName name="WettypePD" localSheetId="10">PD!#REF!</definedName>
    <definedName name="WettypePD" localSheetId="14">PD!#REF!</definedName>
    <definedName name="WettypePD">PD!#REF!</definedName>
    <definedName name="WettypeS" localSheetId="10">Sens!#REF!</definedName>
    <definedName name="WettypeS" localSheetId="14">Sens!#REF!</definedName>
    <definedName name="WettypeS">Sens!#REF!</definedName>
    <definedName name="wetuniq" localSheetId="4">[2]POL!$G$118</definedName>
    <definedName name="WetWS2Wet1v">[3]WS!$G$130</definedName>
    <definedName name="WidthAbs2" localSheetId="4">[2]SR!$G$50</definedName>
    <definedName name="WidthDry13">WBN!$G$146</definedName>
    <definedName name="WidthDry7">[3]OE!$G$56</definedName>
    <definedName name="WidthHiT11">AM!$G$215</definedName>
    <definedName name="WidthHiT14">SBM!$G$216</definedName>
    <definedName name="WidthHiT15">PD!$G$195</definedName>
    <definedName name="WidthHiT16">POL!$G$106</definedName>
    <definedName name="WidthHiT3">SR!$G$103</definedName>
    <definedName name="WidthHiT4">PR!$G$126</definedName>
    <definedName name="WidthHiT5">NR!$G$121</definedName>
    <definedName name="WidthHiT6">CS!$G$132</definedName>
    <definedName name="WidthHiT7">OE!$G$143</definedName>
    <definedName name="WidthHiT9">FA!$G$141</definedName>
    <definedName name="WidthLoT12">WBF!$G$184</definedName>
    <definedName name="WidthLoT18">Sens!$G$205</definedName>
    <definedName name="WidthLoT18a">Sens!$G$204</definedName>
    <definedName name="WidthLoT3">SR!$G$110</definedName>
    <definedName name="WidthLoT4">PR!$G$133</definedName>
    <definedName name="WidthLoT5">NR!$G$128</definedName>
    <definedName name="WidthLoT6">CS!$G$139</definedName>
    <definedName name="WidthLoT7">OE!$G$150</definedName>
    <definedName name="WidthLoT9">FA!$G$148</definedName>
    <definedName name="WidthRel2" localSheetId="10">SR!#REF!</definedName>
    <definedName name="WidthRel2" localSheetId="4">[2]SR!$G$136</definedName>
    <definedName name="WidthRel2" localSheetId="14">SR!#REF!</definedName>
    <definedName name="WidthWet11">AM!$G$94</definedName>
    <definedName name="WidthWet12">WBF!$G$100</definedName>
    <definedName name="WidthWet13">WBN!#REF!</definedName>
    <definedName name="WidthWet14">SBM!$G$102</definedName>
    <definedName name="WidthWet15">PD!$G$65</definedName>
    <definedName name="WidthWet18">Sens!$G$86</definedName>
    <definedName name="WidthWet18a">Sens!$G$85</definedName>
    <definedName name="WidthWet19">EC!$G$3</definedName>
    <definedName name="WidthWet2">WC!$G$28</definedName>
    <definedName name="WidthWet3">SR!$G$32</definedName>
    <definedName name="WidthWet4">PR!$G$37</definedName>
    <definedName name="WidthWet5">NR!$G$31</definedName>
    <definedName name="WidthWet6">CS!$G$35</definedName>
    <definedName name="WidthWet7">OE!$G$48</definedName>
    <definedName name="Wind14" localSheetId="10">SBM!#REF!</definedName>
    <definedName name="Wind14" localSheetId="14">SBM!#REF!</definedName>
    <definedName name="Wind14">SBM!#REF!</definedName>
    <definedName name="WindErosS" localSheetId="10">Sens!#REF!</definedName>
    <definedName name="WindErosS" localSheetId="14">Sens!#REF!</definedName>
    <definedName name="WindErosS">Sens!#REF!</definedName>
    <definedName name="WinterWind" localSheetId="10">Sens!#REF!</definedName>
    <definedName name="WinterWind" localSheetId="14">Sens!#REF!</definedName>
    <definedName name="WinterWind">Sens!#REF!</definedName>
    <definedName name="wood1pd" localSheetId="10">PD!#REF!</definedName>
    <definedName name="wood1pd" localSheetId="4">[2]PD!$G$74</definedName>
    <definedName name="wood1pd" localSheetId="14">PD!#REF!</definedName>
    <definedName name="wood1pd">PD!#REF!</definedName>
    <definedName name="wood2pd" localSheetId="4">[2]PD!$G$80</definedName>
    <definedName name="WoodAbove10" localSheetId="10">FA!#REF!</definedName>
    <definedName name="WoodAbove10" localSheetId="4">[2]FR!$G$79</definedName>
    <definedName name="WoodAbove11" localSheetId="10">AM!#REF!</definedName>
    <definedName name="WoodAbove11" localSheetId="4">[2]AM!$G$67</definedName>
    <definedName name="WoodAbove11" localSheetId="14">AM!#REF!</definedName>
    <definedName name="WoodAbove11">AM!#REF!</definedName>
    <definedName name="WoodAbove12" localSheetId="10">#REF!</definedName>
    <definedName name="WoodAbove12" localSheetId="4">[2]WBF!#REF!</definedName>
    <definedName name="WoodAbove12" localSheetId="14">#REF!</definedName>
    <definedName name="WoodAbove12">#REF!</definedName>
    <definedName name="WoodAbove14" localSheetId="10">SBM!#REF!</definedName>
    <definedName name="WoodAbove14" localSheetId="4">[2]SBM!$G$22</definedName>
    <definedName name="WoodAbove14" localSheetId="14">SBM!#REF!</definedName>
    <definedName name="WoodAbove14">SBM!#REF!</definedName>
    <definedName name="WoodAbove9" localSheetId="4">[2]FA!$G$76</definedName>
    <definedName name="WoodAbove9">#REF!</definedName>
    <definedName name="WoodDown11" localSheetId="10">AM!#REF!</definedName>
    <definedName name="WoodDown11" localSheetId="14">AM!#REF!</definedName>
    <definedName name="WoodDown11">AM!$G$157</definedName>
    <definedName name="WoodDown14" localSheetId="4">[2]SBM!$G$69</definedName>
    <definedName name="WoodDown14">SBM!$G$148</definedName>
    <definedName name="WoodDown16">POL!$G$69</definedName>
    <definedName name="WoodDown8" localSheetId="4">[2]INV!$G$108</definedName>
    <definedName name="WoodDown8">INV!$G$87</definedName>
    <definedName name="WoodOver10">FR!$G$89</definedName>
    <definedName name="WoodOver11">AM!$G$153</definedName>
    <definedName name="WoodOver9">FA!$G$104</definedName>
    <definedName name="WoodPatt14" localSheetId="10">SBM!#REF!</definedName>
    <definedName name="WoodPatt14" localSheetId="14">SBM!#REF!</definedName>
    <definedName name="WoodPatt14">SBM!#REF!</definedName>
    <definedName name="WoodTypes_S" localSheetId="10">Sens!#REF!</definedName>
    <definedName name="WoodTypes_S" localSheetId="4">[2]Sen!#REF!</definedName>
    <definedName name="WoodTypes_S" localSheetId="14">Sens!#REF!</definedName>
    <definedName name="WoodTypes_S">Sens!#REF!</definedName>
    <definedName name="Woody14" localSheetId="10">SBM!#REF!</definedName>
    <definedName name="Woody14" localSheetId="4">[2]SBM!$G$37</definedName>
    <definedName name="Woody14" localSheetId="14">SBM!#REF!</definedName>
    <definedName name="Woody14">SBM!#REF!</definedName>
    <definedName name="woodydbh0" localSheetId="4">[2]POL!$G$42</definedName>
    <definedName name="WoodyDomT">T!$D$107</definedName>
    <definedName name="WoodyDryShade13">WBN!$G$104</definedName>
    <definedName name="WoodyDryShade14">SBM!$G$90</definedName>
    <definedName name="WoodyDryShade2">WC!$G$21</definedName>
    <definedName name="WoodyDryShade9">FA!$G$62</definedName>
    <definedName name="WoodyEdge14" localSheetId="10">SBM!#REF!</definedName>
    <definedName name="WoodyEdge14" localSheetId="4">[2]SBM!$G$31</definedName>
    <definedName name="WoodyEdge14" localSheetId="14">SBM!#REF!</definedName>
    <definedName name="WoodyEdge14">SBM!#REF!</definedName>
    <definedName name="woodynn0" localSheetId="10">POL!#REF!</definedName>
    <definedName name="woodynn0" localSheetId="4">[2]POL!$G$36</definedName>
    <definedName name="woodynn0" localSheetId="14">POL!#REF!</definedName>
    <definedName name="woodynn0">POL!#REF!</definedName>
    <definedName name="woodypct0" localSheetId="10">POL!#REF!</definedName>
    <definedName name="woodypct0" localSheetId="14">POL!#REF!</definedName>
    <definedName name="woodypct0">POL!#REF!</definedName>
    <definedName name="WoodyPct1">WS!#REF!</definedName>
    <definedName name="WoodyPct14" localSheetId="4">[2]SBM!$G$25</definedName>
    <definedName name="WoodyPct14">SBM!$G$130</definedName>
    <definedName name="WoodyPct15">PD!$G$115</definedName>
    <definedName name="WoodyPct18">Sens!$G$130</definedName>
    <definedName name="WoodyPct18a">Sens!$G$129</definedName>
    <definedName name="WoodyPct2">WC!$G$47</definedName>
    <definedName name="WoodyPct5" localSheetId="4">[2]CS!$G$82</definedName>
    <definedName name="WoodyPct5">NR!$G$81</definedName>
    <definedName name="WoodyPct6">CS!$G$79</definedName>
    <definedName name="WoodyPctPD" localSheetId="10">PD!#REF!</definedName>
    <definedName name="WoodyPctPD" localSheetId="14">PD!#REF!</definedName>
    <definedName name="WoodyPctPD">PD!#REF!</definedName>
    <definedName name="WoodySens2_C" localSheetId="4">[2]CQ!$G$65</definedName>
    <definedName name="WoodySens2_S" localSheetId="10">Sens!#REF!</definedName>
    <definedName name="WoodySens2_S" localSheetId="4">[2]Sen!$G$86</definedName>
    <definedName name="WoodySens2_S" localSheetId="14">Sens!#REF!</definedName>
    <definedName name="WoodySens2_S">Sens!#REF!</definedName>
    <definedName name="WoodyWet0" localSheetId="10">POL!#REF!</definedName>
    <definedName name="WoodyWet0" localSheetId="14">POL!#REF!</definedName>
    <definedName name="WoodyWet0">POL!#REF!</definedName>
    <definedName name="WoodyWetShade12">WBF!#REF!</definedName>
    <definedName name="WoodyWetShade14">SBM!#REF!</definedName>
    <definedName name="WQdisDown4" localSheetId="10">NR!#REF!</definedName>
    <definedName name="WQdisDown4" localSheetId="4">[2]NR!$G$132</definedName>
    <definedName name="WQdisDown4" localSheetId="14">NR!#REF!</definedName>
    <definedName name="WQdisDown4">NR!#REF!</definedName>
    <definedName name="WQdistUp7" localSheetId="10">WC!#REF!</definedName>
    <definedName name="WQdistUp7" localSheetId="4">[2]T!#REF!</definedName>
    <definedName name="WQdistUp7" localSheetId="14">WC!#REF!</definedName>
    <definedName name="WQdistUp7">WC!#REF!</definedName>
    <definedName name="WQdown4" localSheetId="10">NR!#REF!</definedName>
    <definedName name="WQdown4" localSheetId="14">NR!#REF!</definedName>
    <definedName name="WQdown4">NR!#REF!</definedName>
    <definedName name="WQdown7" localSheetId="10">WC!#REF!</definedName>
    <definedName name="WQdown7" localSheetId="14">WC!#REF!</definedName>
    <definedName name="WQdown7">WC!#REF!</definedName>
    <definedName name="WQdownDis" localSheetId="10">STR!#REF!</definedName>
    <definedName name="WQdownDis" localSheetId="4">[2]STR!#REF!</definedName>
    <definedName name="WQdownDis" localSheetId="14">STR!#REF!</definedName>
    <definedName name="WQdownDis">STR!#REF!</definedName>
    <definedName name="WQdownDis11" localSheetId="10">AM!#REF!</definedName>
    <definedName name="WQdownDis11" localSheetId="14">AM!#REF!</definedName>
    <definedName name="WQdownDis11">AM!#REF!</definedName>
    <definedName name="WQdownDis12" localSheetId="10">#REF!</definedName>
    <definedName name="WQdownDis12" localSheetId="4">[2]WBF!#REF!</definedName>
    <definedName name="WQdownDis12" localSheetId="14">#REF!</definedName>
    <definedName name="WQdownDis12">#REF!</definedName>
    <definedName name="WQdownDis13" localSheetId="10">WBN!#REF!</definedName>
    <definedName name="WQdownDis13" localSheetId="4">[2]WBN!#REF!</definedName>
    <definedName name="WQdownDis13" localSheetId="14">WBF!#REF!</definedName>
    <definedName name="WQdownDis13">WBN!#REF!</definedName>
    <definedName name="WQdownDis7" localSheetId="10">WC!#REF!</definedName>
    <definedName name="WQdownDis7" localSheetId="4">[2]T!$G$42</definedName>
    <definedName name="WQdownDis7" localSheetId="14">WC!#REF!</definedName>
    <definedName name="WQdownDis7">WC!#REF!</definedName>
    <definedName name="WQdownDis8" localSheetId="10">INV!#REF!</definedName>
    <definedName name="WQdownDis8" localSheetId="4">[2]INV!#REF!</definedName>
    <definedName name="WQdownDis8" localSheetId="14">INV!#REF!</definedName>
    <definedName name="WQdownDis8">INV!#REF!</definedName>
    <definedName name="WQdownDis9" localSheetId="10">#REF!</definedName>
    <definedName name="WQdownDis9" localSheetId="4">[2]FA!$G$115</definedName>
    <definedName name="WQdownDis9" localSheetId="14">#REF!</definedName>
    <definedName name="WQdownDis9">#REF!</definedName>
    <definedName name="WQin10">FR!$G$3</definedName>
    <definedName name="WQin11">AM!$G$54</definedName>
    <definedName name="WQin12">WBF!$G$37</definedName>
    <definedName name="WQin13">WBN!$G$50</definedName>
    <definedName name="WQin20">STR!$G$47</definedName>
    <definedName name="WQin3v">SR!$G$130</definedName>
    <definedName name="WQin4v">PR!$G$158</definedName>
    <definedName name="WQin5v">NR!#REF!</definedName>
    <definedName name="WQin8">INV!$G$3</definedName>
    <definedName name="WQin9">FA!$G$16</definedName>
    <definedName name="WQNdisUp4" localSheetId="10">NR!#REF!</definedName>
    <definedName name="WQNdisUp4" localSheetId="4">[2]NR!#REF!</definedName>
    <definedName name="WQNdisUp4" localSheetId="14">NR!#REF!</definedName>
    <definedName name="WQNdisUp4">NR!#REF!</definedName>
    <definedName name="WQprobDownS" localSheetId="10">STR!#REF!</definedName>
    <definedName name="WQprobDownS" localSheetId="4">[2]STR!#REF!</definedName>
    <definedName name="WQprobDownS" localSheetId="14">STR!#REF!</definedName>
    <definedName name="WQprobDownS">STR!#REF!</definedName>
    <definedName name="WQprobUpS" localSheetId="10">STR!#REF!</definedName>
    <definedName name="WQprobUpS" localSheetId="4">[2]STR!$G$62</definedName>
    <definedName name="WQprobUpS" localSheetId="14">STR!#REF!</definedName>
    <definedName name="WQprobUpS">STR!#REF!</definedName>
    <definedName name="WQrisk2" localSheetId="10">SR!#REF!</definedName>
    <definedName name="WQrisk2" localSheetId="14">SR!#REF!</definedName>
    <definedName name="WQrisk2">SR!#REF!</definedName>
    <definedName name="WQrisk20">[3]STR!$G$98</definedName>
    <definedName name="WQrisk3v">[3]SR!$G$162</definedName>
    <definedName name="WQrisk4v">[3]PR!$G$168</definedName>
    <definedName name="WQrisk8">[3]INV!$G$18</definedName>
    <definedName name="WQrisk9">[3]FR!$G$15</definedName>
    <definedName name="WQstress">STR!$G$139</definedName>
    <definedName name="WQup11" localSheetId="10">AM!#REF!</definedName>
    <definedName name="WQup11" localSheetId="4">[2]AM!$G$220</definedName>
    <definedName name="WQup11" localSheetId="14">AM!#REF!</definedName>
    <definedName name="WQup11">AM!#REF!</definedName>
    <definedName name="WQup4" localSheetId="10">NR!#REF!</definedName>
    <definedName name="WQup4" localSheetId="14">NR!#REF!</definedName>
    <definedName name="WQup4">NR!#REF!</definedName>
    <definedName name="WQup7" localSheetId="10">WC!#REF!</definedName>
    <definedName name="WQup7" localSheetId="14">WC!#REF!</definedName>
    <definedName name="WQup7">WC!#REF!</definedName>
    <definedName name="WQup9" localSheetId="10">#REF!</definedName>
    <definedName name="WQup9" localSheetId="4">[2]FA!$G$107</definedName>
    <definedName name="WQup9" localSheetId="14">#REF!</definedName>
    <definedName name="WQup9">#REF!</definedName>
    <definedName name="WQupDis" localSheetId="10">STR!#REF!</definedName>
    <definedName name="WQupDis" localSheetId="4">[2]STR!#REF!</definedName>
    <definedName name="WQupDis" localSheetId="14">STR!#REF!</definedName>
    <definedName name="WQupDis">STR!#REF!</definedName>
    <definedName name="WQupDis11" localSheetId="10">AM!#REF!</definedName>
    <definedName name="WQupDis11" localSheetId="14">AM!#REF!</definedName>
    <definedName name="WQupDis11">AM!#REF!</definedName>
    <definedName name="WQupDis12" localSheetId="10">#REF!</definedName>
    <definedName name="WQupDis12" localSheetId="4">[2]WBF!#REF!</definedName>
    <definedName name="WQupDis12" localSheetId="14">#REF!</definedName>
    <definedName name="WQupDis12">#REF!</definedName>
    <definedName name="WQupDis13" localSheetId="4">[2]WBN!#REF!</definedName>
    <definedName name="WQupdis8" localSheetId="4">[2]INV!#REF!</definedName>
    <definedName name="WQupDis9" localSheetId="4">[2]FA!#REF!</definedName>
    <definedName name="Wscape12">WBF!$G$262</definedName>
    <definedName name="Wscape13">WBN!$G$251</definedName>
    <definedName name="Wscape14">SBM!$G$307</definedName>
    <definedName name="xxx2">[4]T!$D$46</definedName>
    <definedName name="Yield1">WS!$G$136</definedName>
    <definedName name="Z_B8E02330_2419_4DE6_AD01_7ACC7A5D18DD_.wvu.Cols" localSheetId="5" hidden="1">Scores!$E:$E,Scores!#REF!</definedName>
    <definedName name="Z_B8E02330_2419_4DE6_AD01_7ACC7A5D18DD_.wvu.PrintArea" localSheetId="2" hidden="1">F!$A$1:$D$350</definedName>
    <definedName name="Z_B8E02330_2419_4DE6_AD01_7ACC7A5D18DD_.wvu.PrintArea" localSheetId="4" hidden="1">S!$A$1:$F$86</definedName>
    <definedName name="Z_B8E02330_2419_4DE6_AD01_7ACC7A5D18DD_.wvu.PrintArea" localSheetId="5" hidden="1">Scores!$A$1:$G$28</definedName>
    <definedName name="Zoning10v">FR!$G$102</definedName>
    <definedName name="Zoning11v">AM!$G$274</definedName>
    <definedName name="Zoning12v">WBF!$G$250</definedName>
    <definedName name="Zoning13v">WBN!$G$241</definedName>
    <definedName name="Zoning14v">SBM!$G$297</definedName>
    <definedName name="Zoning15v">PD!$G$294</definedName>
    <definedName name="Zoning16v">POL!$G$137</definedName>
    <definedName name="Zoning17v">PU!$G$10</definedName>
    <definedName name="Zoning1v">WS!$G$117</definedName>
    <definedName name="Zoning2v">WC!$G$92</definedName>
    <definedName name="Zoning3v">SR!$G$178</definedName>
    <definedName name="Zoning4v">PR!$G$206</definedName>
    <definedName name="Zoning8v">INV!$G$199</definedName>
    <definedName name="Zoning9v">FA!$G$212</definedName>
  </definedNames>
  <calcPr calcId="191029"/>
  <customWorkbookViews>
    <customWorkbookView name="Paul Adamus - Personal View" guid="{B8E02330-2419-4DE6-AD01-7ACC7A5D18DD}" mergeInterval="0" personalView="1" maximized="1" xWindow="1" yWindow="1" windowWidth="1020" windowHeight="490" tabRatio="100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5" l="1"/>
  <c r="B2" i="5"/>
  <c r="B1" i="5"/>
  <c r="C55" i="9" l="1"/>
  <c r="AG29" i="5"/>
  <c r="AF29" i="5"/>
  <c r="AE29" i="5"/>
  <c r="AD29" i="5"/>
  <c r="AG28" i="5"/>
  <c r="AF28" i="5"/>
  <c r="AE28" i="5"/>
  <c r="AD28" i="5"/>
  <c r="AG27" i="5"/>
  <c r="AF27" i="5"/>
  <c r="AE27" i="5"/>
  <c r="AD27" i="5"/>
  <c r="AG24" i="5"/>
  <c r="AF24" i="5"/>
  <c r="AE24" i="5"/>
  <c r="AD24" i="5"/>
  <c r="AB23" i="5"/>
  <c r="AA23" i="5"/>
  <c r="Z23" i="5"/>
  <c r="Y23" i="5"/>
  <c r="AB22" i="5"/>
  <c r="AA22" i="5"/>
  <c r="Z22" i="5"/>
  <c r="Y22" i="5"/>
  <c r="AG21" i="5"/>
  <c r="AF21" i="5"/>
  <c r="AE21" i="5"/>
  <c r="AD21" i="5"/>
  <c r="AB21" i="5"/>
  <c r="AA21" i="5"/>
  <c r="Z21" i="5"/>
  <c r="Y21" i="5"/>
  <c r="AG20" i="5"/>
  <c r="AF20" i="5"/>
  <c r="AE20" i="5"/>
  <c r="AD20" i="5"/>
  <c r="AB20" i="5"/>
  <c r="AA20" i="5"/>
  <c r="Z20" i="5"/>
  <c r="Y20" i="5"/>
  <c r="AG19" i="5"/>
  <c r="AF19" i="5"/>
  <c r="AE19" i="5"/>
  <c r="AD19" i="5"/>
  <c r="AB19" i="5"/>
  <c r="AA19" i="5"/>
  <c r="Z19" i="5"/>
  <c r="Y19" i="5"/>
  <c r="AG18" i="5"/>
  <c r="AF18" i="5"/>
  <c r="AE18" i="5"/>
  <c r="AD18" i="5"/>
  <c r="AB18" i="5"/>
  <c r="AA18" i="5"/>
  <c r="Z18" i="5"/>
  <c r="Y18" i="5"/>
  <c r="AG17" i="5"/>
  <c r="AF17" i="5"/>
  <c r="AE17" i="5"/>
  <c r="AD17" i="5"/>
  <c r="AB17" i="5"/>
  <c r="AA17" i="5"/>
  <c r="Z17" i="5"/>
  <c r="Y17" i="5"/>
  <c r="AG16" i="5"/>
  <c r="AF16" i="5"/>
  <c r="AE16" i="5"/>
  <c r="AD16" i="5"/>
  <c r="AB16" i="5"/>
  <c r="AA16" i="5"/>
  <c r="Z16" i="5"/>
  <c r="Y16" i="5"/>
  <c r="AG15" i="5"/>
  <c r="AF15" i="5"/>
  <c r="AE15" i="5"/>
  <c r="AD15" i="5"/>
  <c r="AB15" i="5"/>
  <c r="AA15" i="5"/>
  <c r="Z15" i="5"/>
  <c r="Y15" i="5"/>
  <c r="AG14" i="5"/>
  <c r="AF14" i="5"/>
  <c r="AE14" i="5"/>
  <c r="AD14" i="5"/>
  <c r="AB14" i="5"/>
  <c r="AA14" i="5"/>
  <c r="Z14" i="5"/>
  <c r="Y14" i="5"/>
  <c r="AG13" i="5"/>
  <c r="AF13" i="5"/>
  <c r="AE13" i="5"/>
  <c r="AD13" i="5"/>
  <c r="AB13" i="5"/>
  <c r="AA13" i="5"/>
  <c r="Z13" i="5"/>
  <c r="Y13" i="5"/>
  <c r="AG12" i="5"/>
  <c r="AF12" i="5"/>
  <c r="AE12" i="5"/>
  <c r="AD12" i="5"/>
  <c r="AB12" i="5"/>
  <c r="AA12" i="5"/>
  <c r="Z12" i="5"/>
  <c r="Y12" i="5"/>
  <c r="AG11" i="5"/>
  <c r="AF11" i="5"/>
  <c r="AE11" i="5"/>
  <c r="AD11" i="5"/>
  <c r="AB11" i="5"/>
  <c r="AA11" i="5"/>
  <c r="Z11" i="5"/>
  <c r="Y11" i="5"/>
  <c r="AG10" i="5"/>
  <c r="AF10" i="5"/>
  <c r="AE10" i="5"/>
  <c r="AD10" i="5"/>
  <c r="AB10" i="5"/>
  <c r="AA10" i="5"/>
  <c r="Z10" i="5"/>
  <c r="Y10" i="5"/>
  <c r="AG9" i="5"/>
  <c r="AF9" i="5"/>
  <c r="AE9" i="5"/>
  <c r="AD9" i="5"/>
  <c r="AB9" i="5"/>
  <c r="AA9" i="5"/>
  <c r="Z9" i="5"/>
  <c r="Y9" i="5"/>
  <c r="AG8" i="5"/>
  <c r="AF8" i="5"/>
  <c r="AE8" i="5"/>
  <c r="AD8" i="5"/>
  <c r="AB8" i="5"/>
  <c r="AA8" i="5"/>
  <c r="Z8" i="5"/>
  <c r="Y8" i="5"/>
  <c r="A183" i="25"/>
  <c r="A21" i="17"/>
  <c r="N18" i="5" l="1"/>
  <c r="N15" i="5"/>
  <c r="Q8" i="5"/>
  <c r="N14" i="5"/>
  <c r="D253" i="18"/>
  <c r="F253" i="18" s="1"/>
  <c r="D252" i="18"/>
  <c r="F252" i="18" s="1"/>
  <c r="D251" i="18"/>
  <c r="F251" i="18" s="1"/>
  <c r="D250" i="18"/>
  <c r="F250" i="18" s="1"/>
  <c r="D249" i="18"/>
  <c r="F249" i="18" s="1"/>
  <c r="D248" i="18"/>
  <c r="F248" i="18" s="1"/>
  <c r="C253" i="18"/>
  <c r="C252" i="18"/>
  <c r="C251" i="18"/>
  <c r="C250" i="18"/>
  <c r="C249" i="18"/>
  <c r="C248" i="18"/>
  <c r="C242" i="18"/>
  <c r="C243" i="18"/>
  <c r="C244" i="18"/>
  <c r="C245" i="18"/>
  <c r="C246" i="18"/>
  <c r="C247" i="18"/>
  <c r="A241" i="18"/>
  <c r="B241" i="18"/>
  <c r="D247" i="18"/>
  <c r="F247" i="18" s="1"/>
  <c r="D246" i="18"/>
  <c r="F246" i="18" s="1"/>
  <c r="D245" i="18"/>
  <c r="F245" i="18" s="1"/>
  <c r="D244" i="18"/>
  <c r="D243" i="18"/>
  <c r="F243" i="18" s="1"/>
  <c r="D242" i="18"/>
  <c r="F242" i="18" s="1"/>
  <c r="D240" i="18"/>
  <c r="F240" i="18" s="1"/>
  <c r="D239" i="18"/>
  <c r="D238" i="18"/>
  <c r="F238" i="18" s="1"/>
  <c r="D237" i="18"/>
  <c r="F237" i="18" s="1"/>
  <c r="D236" i="18"/>
  <c r="F236" i="18" s="1"/>
  <c r="D235" i="18"/>
  <c r="F235" i="18" s="1"/>
  <c r="G234" i="18" s="1"/>
  <c r="C241" i="18"/>
  <c r="C240" i="18"/>
  <c r="C239" i="18"/>
  <c r="C238" i="18"/>
  <c r="C237" i="18"/>
  <c r="C236" i="18"/>
  <c r="C235" i="18"/>
  <c r="C234" i="18"/>
  <c r="A234" i="18"/>
  <c r="B234" i="18"/>
  <c r="D233" i="18"/>
  <c r="F233" i="18" s="1"/>
  <c r="C233" i="18"/>
  <c r="D232" i="18"/>
  <c r="F232" i="18" s="1"/>
  <c r="C232" i="18"/>
  <c r="D231" i="18"/>
  <c r="F231" i="18" s="1"/>
  <c r="C231" i="18"/>
  <c r="D230" i="18"/>
  <c r="F230" i="18" s="1"/>
  <c r="C230" i="18"/>
  <c r="D229" i="18"/>
  <c r="F229" i="18" s="1"/>
  <c r="C229" i="18"/>
  <c r="D228" i="18"/>
  <c r="F228" i="18" s="1"/>
  <c r="C228" i="18"/>
  <c r="C227" i="18"/>
  <c r="B227" i="18"/>
  <c r="A227" i="18"/>
  <c r="D226" i="18"/>
  <c r="F226" i="18" s="1"/>
  <c r="C226" i="18"/>
  <c r="D225" i="18"/>
  <c r="F225" i="18" s="1"/>
  <c r="C225" i="18"/>
  <c r="D224" i="18"/>
  <c r="F224" i="18" s="1"/>
  <c r="C224" i="18"/>
  <c r="D223" i="18"/>
  <c r="C223" i="18"/>
  <c r="C222" i="18"/>
  <c r="B222" i="18"/>
  <c r="A222" i="18"/>
  <c r="D221" i="18"/>
  <c r="F221" i="18" s="1"/>
  <c r="C221" i="18"/>
  <c r="D220" i="18"/>
  <c r="F220" i="18" s="1"/>
  <c r="C220" i="18"/>
  <c r="D219" i="18"/>
  <c r="F219" i="18" s="1"/>
  <c r="C219" i="18"/>
  <c r="D218" i="18"/>
  <c r="F218" i="18" s="1"/>
  <c r="C218" i="18"/>
  <c r="D217" i="18"/>
  <c r="F217" i="18" s="1"/>
  <c r="C217" i="18"/>
  <c r="D216" i="18"/>
  <c r="F216" i="18" s="1"/>
  <c r="C216" i="18"/>
  <c r="C215" i="18"/>
  <c r="B215" i="18"/>
  <c r="A215" i="18"/>
  <c r="D214" i="18"/>
  <c r="C214" i="18"/>
  <c r="D213" i="18"/>
  <c r="F213" i="18" s="1"/>
  <c r="C213" i="18"/>
  <c r="D212" i="18"/>
  <c r="F212" i="18" s="1"/>
  <c r="C212" i="18"/>
  <c r="D211" i="18"/>
  <c r="F211" i="18" s="1"/>
  <c r="C211" i="18"/>
  <c r="D210" i="18"/>
  <c r="F210" i="18" s="1"/>
  <c r="C210" i="18"/>
  <c r="D209" i="18"/>
  <c r="F209" i="18" s="1"/>
  <c r="C209" i="18"/>
  <c r="D208" i="18"/>
  <c r="F208" i="18" s="1"/>
  <c r="C208" i="18"/>
  <c r="C207" i="18"/>
  <c r="B207" i="18"/>
  <c r="A207" i="18"/>
  <c r="D206" i="18"/>
  <c r="F206" i="18" s="1"/>
  <c r="C206" i="18"/>
  <c r="D205" i="18"/>
  <c r="F205" i="18" s="1"/>
  <c r="C205" i="18"/>
  <c r="D204" i="18"/>
  <c r="F204" i="18" s="1"/>
  <c r="C204" i="18"/>
  <c r="D203" i="18"/>
  <c r="F203" i="18" s="1"/>
  <c r="C203" i="18"/>
  <c r="D202" i="18"/>
  <c r="F202" i="18" s="1"/>
  <c r="C202" i="18"/>
  <c r="C201" i="18"/>
  <c r="B201" i="18"/>
  <c r="A201" i="18"/>
  <c r="D200" i="18"/>
  <c r="F200" i="18" s="1"/>
  <c r="C200" i="18"/>
  <c r="D199" i="18"/>
  <c r="C199" i="18"/>
  <c r="D198" i="18"/>
  <c r="F198" i="18" s="1"/>
  <c r="C198" i="18"/>
  <c r="C197" i="18"/>
  <c r="B197" i="18"/>
  <c r="A197" i="18"/>
  <c r="F244" i="18"/>
  <c r="F239" i="18"/>
  <c r="F223" i="18"/>
  <c r="F214" i="18"/>
  <c r="F199" i="18"/>
  <c r="C19" i="8"/>
  <c r="C167" i="49"/>
  <c r="G241" i="18" l="1"/>
  <c r="G201" i="18"/>
  <c r="G197" i="18"/>
  <c r="G207" i="18"/>
  <c r="G215" i="18"/>
  <c r="G227" i="18"/>
  <c r="G222" i="18"/>
  <c r="D163" i="13"/>
  <c r="D162" i="13"/>
  <c r="D161" i="13"/>
  <c r="D160" i="13"/>
  <c r="D159" i="13"/>
  <c r="D222" i="20"/>
  <c r="D221" i="20"/>
  <c r="D220" i="20"/>
  <c r="D219" i="20"/>
  <c r="D217" i="20"/>
  <c r="D216" i="20"/>
  <c r="D215" i="20"/>
  <c r="D214" i="20"/>
  <c r="D213" i="20"/>
  <c r="D212" i="20"/>
  <c r="D210" i="20"/>
  <c r="D209" i="20"/>
  <c r="D208" i="20"/>
  <c r="D207" i="20"/>
  <c r="D206" i="20"/>
  <c r="D205" i="20"/>
  <c r="D203" i="20"/>
  <c r="D202" i="20"/>
  <c r="D201" i="20"/>
  <c r="D200" i="20"/>
  <c r="D199" i="20"/>
  <c r="D198" i="20"/>
  <c r="D196" i="20"/>
  <c r="D195" i="20"/>
  <c r="D194" i="20"/>
  <c r="D193" i="20"/>
  <c r="D192" i="20"/>
  <c r="D191" i="20"/>
  <c r="D189" i="20"/>
  <c r="D188" i="20"/>
  <c r="D187" i="20"/>
  <c r="D186" i="20"/>
  <c r="D185" i="20"/>
  <c r="D184" i="20"/>
  <c r="D182" i="20"/>
  <c r="D181" i="20"/>
  <c r="D180" i="20"/>
  <c r="D179" i="20"/>
  <c r="D178" i="20"/>
  <c r="D176" i="20"/>
  <c r="D175" i="20"/>
  <c r="D174" i="20"/>
  <c r="D173" i="20"/>
  <c r="D171" i="20"/>
  <c r="D170" i="20"/>
  <c r="D169" i="20"/>
  <c r="D168" i="20"/>
  <c r="D167" i="20"/>
  <c r="D165" i="20"/>
  <c r="D164" i="20"/>
  <c r="D163" i="20"/>
  <c r="D162" i="20"/>
  <c r="D161" i="20"/>
  <c r="D159" i="20"/>
  <c r="D158" i="20"/>
  <c r="D157" i="20"/>
  <c r="D156" i="20"/>
  <c r="D155" i="20"/>
  <c r="D154" i="20"/>
  <c r="D152" i="20"/>
  <c r="D151" i="20"/>
  <c r="D150" i="20"/>
  <c r="D149" i="20"/>
  <c r="D148" i="20"/>
  <c r="D147" i="20"/>
  <c r="D145" i="20"/>
  <c r="D144" i="20"/>
  <c r="D143" i="20"/>
  <c r="D142" i="20"/>
  <c r="D141" i="20"/>
  <c r="D140" i="20"/>
  <c r="D138" i="20"/>
  <c r="D137" i="20"/>
  <c r="D136" i="20"/>
  <c r="D135" i="20"/>
  <c r="D134" i="20"/>
  <c r="D132" i="20"/>
  <c r="D131" i="20"/>
  <c r="D130" i="20"/>
  <c r="D129" i="20"/>
  <c r="D128" i="20"/>
  <c r="D127" i="20"/>
  <c r="D126" i="20"/>
  <c r="D125" i="20"/>
  <c r="D124" i="20"/>
  <c r="D122" i="20"/>
  <c r="D121" i="20"/>
  <c r="D120" i="20"/>
  <c r="D119" i="20"/>
  <c r="D118" i="20"/>
  <c r="D117" i="20"/>
  <c r="D115" i="20"/>
  <c r="D114" i="20"/>
  <c r="D113" i="20"/>
  <c r="D112" i="20"/>
  <c r="D110" i="20"/>
  <c r="D109" i="20"/>
  <c r="D108" i="20"/>
  <c r="D107" i="20"/>
  <c r="D106" i="20"/>
  <c r="D105" i="20"/>
  <c r="D103" i="20"/>
  <c r="D102" i="20"/>
  <c r="D101" i="20"/>
  <c r="D100" i="20"/>
  <c r="D98" i="20"/>
  <c r="D97" i="20"/>
  <c r="D96" i="20"/>
  <c r="D95" i="20"/>
  <c r="D94" i="20"/>
  <c r="D92" i="20"/>
  <c r="D91" i="20"/>
  <c r="D90" i="20"/>
  <c r="D89" i="20"/>
  <c r="D88" i="20"/>
  <c r="D87" i="20"/>
  <c r="D85" i="20"/>
  <c r="D84" i="20"/>
  <c r="D83" i="20"/>
  <c r="D81" i="20"/>
  <c r="D80" i="20"/>
  <c r="D79" i="20"/>
  <c r="D78" i="20"/>
  <c r="D77" i="20"/>
  <c r="D75" i="20"/>
  <c r="D74" i="20"/>
  <c r="D73" i="20"/>
  <c r="D72" i="20"/>
  <c r="D70" i="20"/>
  <c r="D69" i="20"/>
  <c r="D68" i="20"/>
  <c r="D67" i="20"/>
  <c r="D66" i="20"/>
  <c r="D64" i="20"/>
  <c r="D63" i="20"/>
  <c r="D62" i="20"/>
  <c r="D61" i="20"/>
  <c r="D60" i="20"/>
  <c r="D59" i="20"/>
  <c r="D58" i="20"/>
  <c r="D57" i="20"/>
  <c r="D55" i="20"/>
  <c r="D54" i="20"/>
  <c r="D53" i="20"/>
  <c r="D51" i="20"/>
  <c r="D49" i="20"/>
  <c r="D48" i="20"/>
  <c r="D47" i="20"/>
  <c r="D46" i="20"/>
  <c r="D45" i="20"/>
  <c r="D43" i="20"/>
  <c r="D42" i="20"/>
  <c r="D41" i="20"/>
  <c r="D40" i="20"/>
  <c r="D38" i="20"/>
  <c r="D37" i="20"/>
  <c r="D36" i="20"/>
  <c r="D35" i="20"/>
  <c r="D33" i="20"/>
  <c r="D32" i="20"/>
  <c r="D31" i="20"/>
  <c r="D30" i="20"/>
  <c r="D29" i="20"/>
  <c r="F85" i="4" l="1"/>
  <c r="F86" i="4" s="1"/>
  <c r="F67" i="4"/>
  <c r="F68" i="4" s="1"/>
  <c r="F49" i="4"/>
  <c r="F50" i="4" s="1"/>
  <c r="F31" i="4"/>
  <c r="F32" i="4" s="1"/>
  <c r="F17" i="4"/>
  <c r="F18" i="4" s="1"/>
  <c r="D216" i="48" l="1"/>
  <c r="D215" i="48"/>
  <c r="D214" i="48"/>
  <c r="D213" i="48"/>
  <c r="D211" i="48"/>
  <c r="D210" i="48"/>
  <c r="D128" i="48"/>
  <c r="D127" i="48"/>
  <c r="D126" i="48"/>
  <c r="D125" i="48"/>
  <c r="D124" i="48"/>
  <c r="D123" i="48"/>
  <c r="D121" i="48"/>
  <c r="D120" i="48"/>
  <c r="D119" i="48"/>
  <c r="D118" i="48"/>
  <c r="D117" i="48"/>
  <c r="D116" i="48"/>
  <c r="D114" i="48"/>
  <c r="D113" i="48"/>
  <c r="D112" i="48"/>
  <c r="D111" i="48"/>
  <c r="D110" i="48"/>
  <c r="D109" i="48"/>
  <c r="D107" i="48"/>
  <c r="D106" i="48"/>
  <c r="D105" i="48"/>
  <c r="D103" i="48"/>
  <c r="D102" i="48"/>
  <c r="D101" i="48"/>
  <c r="D100" i="48"/>
  <c r="D98" i="48"/>
  <c r="D97" i="48"/>
  <c r="D96" i="48"/>
  <c r="D95" i="48"/>
  <c r="D94" i="48"/>
  <c r="D92" i="48"/>
  <c r="D91" i="48"/>
  <c r="D90" i="48"/>
  <c r="D89" i="48"/>
  <c r="D87" i="48"/>
  <c r="D86" i="48"/>
  <c r="D84" i="48"/>
  <c r="D82" i="48"/>
  <c r="D81" i="48"/>
  <c r="D80" i="48"/>
  <c r="D79" i="48"/>
  <c r="D78" i="48"/>
  <c r="D76" i="48"/>
  <c r="D75" i="48"/>
  <c r="D74" i="48"/>
  <c r="D73" i="48"/>
  <c r="D72" i="48"/>
  <c r="D71" i="48"/>
  <c r="D70" i="48"/>
  <c r="D68" i="48"/>
  <c r="D67" i="48"/>
  <c r="D66" i="48"/>
  <c r="D65" i="48"/>
  <c r="D64" i="48"/>
  <c r="D63" i="48"/>
  <c r="D61" i="48"/>
  <c r="D60" i="48"/>
  <c r="D59" i="48"/>
  <c r="D58" i="48"/>
  <c r="D57" i="48"/>
  <c r="D55" i="48"/>
  <c r="D54" i="48"/>
  <c r="D53" i="48"/>
  <c r="D52" i="48"/>
  <c r="D51" i="48"/>
  <c r="D49" i="48"/>
  <c r="D48" i="48"/>
  <c r="D47" i="48"/>
  <c r="D46" i="48"/>
  <c r="D45" i="48"/>
  <c r="D43" i="48"/>
  <c r="D42" i="48"/>
  <c r="D41" i="48"/>
  <c r="D39" i="48"/>
  <c r="D38" i="48"/>
  <c r="D37" i="48"/>
  <c r="D35" i="48"/>
  <c r="D34" i="48"/>
  <c r="D33" i="48"/>
  <c r="D31" i="48"/>
  <c r="D30" i="48"/>
  <c r="D29" i="48"/>
  <c r="D28" i="48"/>
  <c r="D26" i="48"/>
  <c r="D25" i="48"/>
  <c r="D23" i="48"/>
  <c r="D22" i="48"/>
  <c r="D21" i="48"/>
  <c r="D19" i="48"/>
  <c r="D18" i="48"/>
  <c r="D17" i="48"/>
  <c r="D15" i="48"/>
  <c r="D14" i="48"/>
  <c r="D13" i="48"/>
  <c r="D12" i="48"/>
  <c r="D11" i="48"/>
  <c r="D10" i="48"/>
  <c r="D8" i="48"/>
  <c r="D7" i="48"/>
  <c r="D6" i="48"/>
  <c r="D5" i="48"/>
  <c r="D4" i="48"/>
  <c r="D113" i="24"/>
  <c r="D112" i="24"/>
  <c r="D111" i="24"/>
  <c r="D110" i="24"/>
  <c r="D108" i="24"/>
  <c r="D107" i="24"/>
  <c r="D106" i="24"/>
  <c r="D105" i="24"/>
  <c r="D104" i="24"/>
  <c r="D103" i="24"/>
  <c r="D101" i="24"/>
  <c r="D100" i="24"/>
  <c r="D99" i="24"/>
  <c r="D97" i="24"/>
  <c r="D96" i="24"/>
  <c r="D95" i="24"/>
  <c r="D94" i="24"/>
  <c r="D92" i="24"/>
  <c r="D91" i="24"/>
  <c r="D90" i="24"/>
  <c r="D89" i="24"/>
  <c r="D88" i="24"/>
  <c r="D87" i="24"/>
  <c r="D85" i="24"/>
  <c r="D84" i="24"/>
  <c r="D83" i="24"/>
  <c r="D82" i="24"/>
  <c r="D81" i="24"/>
  <c r="D80" i="24"/>
  <c r="D78" i="24"/>
  <c r="D77" i="24"/>
  <c r="D76" i="24"/>
  <c r="D74" i="24"/>
  <c r="D73" i="24"/>
  <c r="D72" i="24"/>
  <c r="D70" i="24"/>
  <c r="D69" i="24"/>
  <c r="D68" i="24"/>
  <c r="D67" i="24"/>
  <c r="D66" i="24"/>
  <c r="D64" i="24"/>
  <c r="D63" i="24"/>
  <c r="D62" i="24"/>
  <c r="D60" i="24"/>
  <c r="D59" i="24"/>
  <c r="D58" i="24"/>
  <c r="D56" i="24"/>
  <c r="D55" i="24"/>
  <c r="D54" i="24"/>
  <c r="D52" i="24"/>
  <c r="D51" i="24"/>
  <c r="D50" i="24"/>
  <c r="D49" i="24"/>
  <c r="D48" i="24"/>
  <c r="D46" i="24"/>
  <c r="D45" i="24"/>
  <c r="D44" i="24"/>
  <c r="D43" i="24"/>
  <c r="D41" i="24"/>
  <c r="D40" i="24"/>
  <c r="D39" i="24"/>
  <c r="D38" i="24"/>
  <c r="D36" i="24"/>
  <c r="D35" i="24"/>
  <c r="D34" i="24"/>
  <c r="D33" i="24"/>
  <c r="D32" i="24"/>
  <c r="D30" i="24"/>
  <c r="D29" i="24"/>
  <c r="D28" i="24"/>
  <c r="D27" i="24"/>
  <c r="D26" i="24"/>
  <c r="D24" i="24"/>
  <c r="D23" i="24"/>
  <c r="D22" i="24"/>
  <c r="D21" i="24"/>
  <c r="D20" i="24"/>
  <c r="D19" i="24"/>
  <c r="D18" i="24"/>
  <c r="D16" i="24"/>
  <c r="D15" i="24"/>
  <c r="D14" i="24"/>
  <c r="D13" i="24"/>
  <c r="D12" i="24"/>
  <c r="D11" i="24"/>
  <c r="D9" i="24"/>
  <c r="D8" i="24"/>
  <c r="D7" i="24"/>
  <c r="D6" i="24"/>
  <c r="D5" i="24"/>
  <c r="D4" i="24"/>
  <c r="D55" i="26"/>
  <c r="D54" i="26"/>
  <c r="D53" i="26"/>
  <c r="D52" i="26"/>
  <c r="D51" i="26"/>
  <c r="D50" i="26"/>
  <c r="D49" i="26"/>
  <c r="D47" i="26"/>
  <c r="D46" i="26"/>
  <c r="D45" i="26"/>
  <c r="D43" i="26"/>
  <c r="D42" i="26"/>
  <c r="D41" i="26"/>
  <c r="D40" i="26"/>
  <c r="D39" i="26"/>
  <c r="D37" i="26"/>
  <c r="D36" i="26"/>
  <c r="D35" i="26"/>
  <c r="D34" i="26"/>
  <c r="D33" i="26"/>
  <c r="D31" i="26"/>
  <c r="D30" i="26"/>
  <c r="D29" i="26"/>
  <c r="D28" i="26"/>
  <c r="D26" i="26"/>
  <c r="D25" i="26"/>
  <c r="D23" i="26"/>
  <c r="D22" i="26"/>
  <c r="D21" i="26"/>
  <c r="D20" i="26"/>
  <c r="D19" i="26"/>
  <c r="D18" i="26"/>
  <c r="D16" i="26"/>
  <c r="D15" i="26"/>
  <c r="D14" i="26"/>
  <c r="D13" i="26"/>
  <c r="D12" i="26"/>
  <c r="D10" i="26"/>
  <c r="D9" i="26"/>
  <c r="D8" i="26"/>
  <c r="D7" i="26"/>
  <c r="D6" i="26"/>
  <c r="D5" i="26"/>
  <c r="D4" i="26"/>
  <c r="D194" i="25"/>
  <c r="D193" i="25"/>
  <c r="D192" i="25"/>
  <c r="D191" i="25"/>
  <c r="D190" i="25"/>
  <c r="D189" i="25"/>
  <c r="D188" i="25"/>
  <c r="D187" i="25"/>
  <c r="D186" i="25"/>
  <c r="D185" i="25"/>
  <c r="D184" i="25"/>
  <c r="D182" i="25"/>
  <c r="D181" i="25"/>
  <c r="D180" i="25"/>
  <c r="D179" i="25"/>
  <c r="D178" i="25"/>
  <c r="D177" i="25"/>
  <c r="D175" i="25"/>
  <c r="D174" i="25"/>
  <c r="D173" i="25"/>
  <c r="D172" i="25"/>
  <c r="D170" i="25"/>
  <c r="D169" i="25"/>
  <c r="D168" i="25"/>
  <c r="D167" i="25"/>
  <c r="D166" i="25"/>
  <c r="D164" i="25"/>
  <c r="D163" i="25"/>
  <c r="D162" i="25"/>
  <c r="D161" i="25"/>
  <c r="D160" i="25"/>
  <c r="D159" i="25"/>
  <c r="D157" i="25"/>
  <c r="D156" i="25"/>
  <c r="D155" i="25"/>
  <c r="D154" i="25"/>
  <c r="D153" i="25"/>
  <c r="D152" i="25"/>
  <c r="D150" i="25"/>
  <c r="D149" i="25"/>
  <c r="D148" i="25"/>
  <c r="D147" i="25"/>
  <c r="D146" i="25"/>
  <c r="D144" i="25"/>
  <c r="D143" i="25"/>
  <c r="D142" i="25"/>
  <c r="D141" i="25"/>
  <c r="D140" i="25"/>
  <c r="D139" i="25"/>
  <c r="D138" i="25"/>
  <c r="D137" i="25"/>
  <c r="D135" i="25"/>
  <c r="D134" i="25"/>
  <c r="D133" i="25"/>
  <c r="D132" i="25"/>
  <c r="D131" i="25"/>
  <c r="D130" i="25"/>
  <c r="D128" i="25"/>
  <c r="D127" i="25"/>
  <c r="D126" i="25"/>
  <c r="D125" i="25"/>
  <c r="D124" i="25"/>
  <c r="D122" i="25"/>
  <c r="D121" i="25"/>
  <c r="D119" i="25"/>
  <c r="D118" i="25"/>
  <c r="D117" i="25"/>
  <c r="D115" i="25"/>
  <c r="D114" i="25"/>
  <c r="D113" i="25"/>
  <c r="D112" i="25"/>
  <c r="D110" i="25"/>
  <c r="D109" i="25"/>
  <c r="D108" i="25"/>
  <c r="D107" i="25"/>
  <c r="D106" i="25"/>
  <c r="D104" i="25"/>
  <c r="D103" i="25"/>
  <c r="D102" i="25"/>
  <c r="D101" i="25"/>
  <c r="D100" i="25"/>
  <c r="D98" i="25"/>
  <c r="D97" i="25"/>
  <c r="D96" i="25"/>
  <c r="D95" i="25"/>
  <c r="D94" i="25"/>
  <c r="D93" i="25"/>
  <c r="D91" i="25"/>
  <c r="D90" i="25"/>
  <c r="D89" i="25"/>
  <c r="D88" i="25"/>
  <c r="D87" i="25"/>
  <c r="D86" i="25"/>
  <c r="D84" i="25"/>
  <c r="D83" i="25"/>
  <c r="D82" i="25"/>
  <c r="D81" i="25"/>
  <c r="D80" i="25"/>
  <c r="D78" i="25"/>
  <c r="D77" i="25"/>
  <c r="D76" i="25"/>
  <c r="D75" i="25"/>
  <c r="D74" i="25"/>
  <c r="D73" i="25"/>
  <c r="D72" i="25"/>
  <c r="D70" i="25"/>
  <c r="D69" i="25"/>
  <c r="D68" i="25"/>
  <c r="D66" i="25"/>
  <c r="D65" i="25"/>
  <c r="D64" i="25"/>
  <c r="D62" i="25"/>
  <c r="D61" i="25"/>
  <c r="D60" i="25"/>
  <c r="D58" i="25"/>
  <c r="D57" i="25"/>
  <c r="D56" i="25"/>
  <c r="D55" i="25"/>
  <c r="D54" i="25"/>
  <c r="D53" i="25"/>
  <c r="D51" i="25"/>
  <c r="D50" i="25"/>
  <c r="D49" i="25"/>
  <c r="D48" i="25"/>
  <c r="D47" i="25"/>
  <c r="D45" i="25"/>
  <c r="D44" i="25"/>
  <c r="D43" i="25"/>
  <c r="D42" i="25"/>
  <c r="D40" i="25"/>
  <c r="D39" i="25"/>
  <c r="D38" i="25"/>
  <c r="D37" i="25"/>
  <c r="D35" i="25"/>
  <c r="D34" i="25"/>
  <c r="D33" i="25"/>
  <c r="D32" i="25"/>
  <c r="D31" i="25"/>
  <c r="D29" i="25"/>
  <c r="D28" i="25"/>
  <c r="D27" i="25"/>
  <c r="D26" i="25"/>
  <c r="D24" i="25"/>
  <c r="D23" i="25"/>
  <c r="D22" i="25"/>
  <c r="D21" i="25"/>
  <c r="D20" i="25"/>
  <c r="D19" i="25"/>
  <c r="D18" i="25"/>
  <c r="D16" i="25"/>
  <c r="D15" i="25"/>
  <c r="D14" i="25"/>
  <c r="D13" i="25"/>
  <c r="D12" i="25"/>
  <c r="D11" i="25"/>
  <c r="D9" i="25"/>
  <c r="D8" i="25"/>
  <c r="D7" i="25"/>
  <c r="D6" i="25"/>
  <c r="D5" i="25"/>
  <c r="D4" i="25"/>
  <c r="D202" i="25"/>
  <c r="D201" i="25"/>
  <c r="D200" i="25"/>
  <c r="D199" i="25"/>
  <c r="D198" i="25"/>
  <c r="D197" i="25"/>
  <c r="D196" i="25"/>
  <c r="D60" i="27"/>
  <c r="D59" i="27"/>
  <c r="D58" i="27"/>
  <c r="D57" i="27"/>
  <c r="D56" i="27"/>
  <c r="D55" i="27"/>
  <c r="D53" i="27"/>
  <c r="D52" i="27"/>
  <c r="D51" i="27"/>
  <c r="D50" i="27"/>
  <c r="D48" i="27"/>
  <c r="D47" i="27"/>
  <c r="D46" i="27"/>
  <c r="D45" i="27"/>
  <c r="D44" i="27"/>
  <c r="D43" i="27"/>
  <c r="D41" i="27"/>
  <c r="D40" i="27"/>
  <c r="D39" i="27"/>
  <c r="D38" i="27"/>
  <c r="D36" i="27"/>
  <c r="D35" i="27"/>
  <c r="D34" i="27"/>
  <c r="D32" i="27"/>
  <c r="D31" i="27"/>
  <c r="D30" i="27"/>
  <c r="D29" i="27"/>
  <c r="D28" i="27"/>
  <c r="D27" i="27"/>
  <c r="D26" i="27"/>
  <c r="D24" i="27"/>
  <c r="D23" i="27"/>
  <c r="D22" i="27"/>
  <c r="D21" i="27"/>
  <c r="D20" i="27"/>
  <c r="D19" i="27"/>
  <c r="D18" i="27"/>
  <c r="D17" i="27"/>
  <c r="D16" i="27"/>
  <c r="D14" i="27"/>
  <c r="D13" i="27"/>
  <c r="D12" i="27"/>
  <c r="D11" i="27"/>
  <c r="D9" i="27"/>
  <c r="D8" i="27"/>
  <c r="D7" i="27"/>
  <c r="D6" i="27"/>
  <c r="D5" i="27"/>
  <c r="D4" i="27"/>
  <c r="D111" i="13"/>
  <c r="D110" i="13"/>
  <c r="D109" i="13"/>
  <c r="D108" i="13"/>
  <c r="D107" i="13"/>
  <c r="D106" i="13"/>
  <c r="D104" i="13"/>
  <c r="D103" i="13"/>
  <c r="D102" i="13"/>
  <c r="D101" i="13"/>
  <c r="D99" i="13"/>
  <c r="D98" i="13"/>
  <c r="D97" i="13"/>
  <c r="D96" i="13"/>
  <c r="D95" i="13"/>
  <c r="D93" i="13"/>
  <c r="D92" i="13"/>
  <c r="D91" i="13"/>
  <c r="D90" i="13"/>
  <c r="D89" i="13"/>
  <c r="D88" i="13"/>
  <c r="D87" i="13"/>
  <c r="D86" i="13"/>
  <c r="D84" i="13"/>
  <c r="D83" i="13"/>
  <c r="D82" i="13"/>
  <c r="D81" i="13"/>
  <c r="D80" i="13"/>
  <c r="D78" i="13"/>
  <c r="D77" i="13"/>
  <c r="D76" i="13"/>
  <c r="D75" i="13"/>
  <c r="D74" i="13"/>
  <c r="D72" i="13"/>
  <c r="D71" i="13"/>
  <c r="D70" i="13"/>
  <c r="D69" i="13"/>
  <c r="D67" i="13"/>
  <c r="D66" i="13"/>
  <c r="D65" i="13"/>
  <c r="D63" i="13"/>
  <c r="D62" i="13"/>
  <c r="D61" i="13"/>
  <c r="D60" i="13"/>
  <c r="D58" i="13"/>
  <c r="D57" i="13"/>
  <c r="D56" i="13"/>
  <c r="D55" i="13"/>
  <c r="D53" i="13"/>
  <c r="D52" i="13"/>
  <c r="D51" i="13"/>
  <c r="D50" i="13"/>
  <c r="D49" i="13"/>
  <c r="D47" i="13"/>
  <c r="D46" i="13"/>
  <c r="D45" i="13"/>
  <c r="D44" i="13"/>
  <c r="D43" i="13"/>
  <c r="D41" i="13"/>
  <c r="D40" i="13"/>
  <c r="D39" i="13"/>
  <c r="D38" i="13"/>
  <c r="D37" i="13"/>
  <c r="D36" i="13"/>
  <c r="D34" i="13"/>
  <c r="D33" i="13"/>
  <c r="D32" i="13"/>
  <c r="D31" i="13"/>
  <c r="D30" i="13"/>
  <c r="D29" i="13"/>
  <c r="D27" i="13"/>
  <c r="D26" i="13"/>
  <c r="D25" i="13"/>
  <c r="D24" i="13"/>
  <c r="D23" i="13"/>
  <c r="D21" i="13"/>
  <c r="D20" i="13"/>
  <c r="D19" i="13"/>
  <c r="D18" i="13"/>
  <c r="D17" i="13"/>
  <c r="D15" i="13"/>
  <c r="D14" i="13"/>
  <c r="D13" i="13"/>
  <c r="D12" i="13"/>
  <c r="D10" i="13"/>
  <c r="D9" i="13"/>
  <c r="D8" i="13"/>
  <c r="D7" i="13"/>
  <c r="D6" i="13"/>
  <c r="D5" i="13"/>
  <c r="D4" i="13"/>
  <c r="D123" i="14"/>
  <c r="D122" i="14"/>
  <c r="D121" i="14"/>
  <c r="D120" i="14"/>
  <c r="D119" i="14"/>
  <c r="D118" i="14"/>
  <c r="D116" i="14"/>
  <c r="D115" i="14"/>
  <c r="D114" i="14"/>
  <c r="D113" i="14"/>
  <c r="D111" i="14"/>
  <c r="D110" i="14"/>
  <c r="D109" i="14"/>
  <c r="D108" i="14"/>
  <c r="D107" i="14"/>
  <c r="D105" i="14"/>
  <c r="D104" i="14"/>
  <c r="D103" i="14"/>
  <c r="D102" i="14"/>
  <c r="D101" i="14"/>
  <c r="D99" i="14"/>
  <c r="D98" i="14"/>
  <c r="D97" i="14"/>
  <c r="D96" i="14"/>
  <c r="D95" i="14"/>
  <c r="D93" i="14"/>
  <c r="D92" i="14"/>
  <c r="D91" i="14"/>
  <c r="D90" i="14"/>
  <c r="D88" i="14"/>
  <c r="D87" i="14"/>
  <c r="D86" i="14"/>
  <c r="D85" i="14"/>
  <c r="D84" i="14"/>
  <c r="D82" i="14"/>
  <c r="D81" i="14"/>
  <c r="D80" i="14"/>
  <c r="D78" i="14"/>
  <c r="D77" i="14"/>
  <c r="D76" i="14"/>
  <c r="D75" i="14"/>
  <c r="D73" i="14"/>
  <c r="D72" i="14"/>
  <c r="D71" i="14"/>
  <c r="D70" i="14"/>
  <c r="D69" i="14"/>
  <c r="D67" i="14"/>
  <c r="D66" i="14"/>
  <c r="D65" i="14"/>
  <c r="D64" i="14"/>
  <c r="D63" i="14"/>
  <c r="D61" i="14"/>
  <c r="D60" i="14"/>
  <c r="D59" i="14"/>
  <c r="D58" i="14"/>
  <c r="D57" i="14"/>
  <c r="D56" i="14"/>
  <c r="D54" i="14"/>
  <c r="D53" i="14"/>
  <c r="D52" i="14"/>
  <c r="D51" i="14"/>
  <c r="D50" i="14"/>
  <c r="D49" i="14"/>
  <c r="D47" i="14"/>
  <c r="D46" i="14"/>
  <c r="D45" i="14"/>
  <c r="D44" i="14"/>
  <c r="D43" i="14"/>
  <c r="D42" i="14"/>
  <c r="D40" i="14"/>
  <c r="D39" i="14"/>
  <c r="D38" i="14"/>
  <c r="D37" i="14"/>
  <c r="D36" i="14"/>
  <c r="D34" i="14"/>
  <c r="D33" i="14"/>
  <c r="D32" i="14"/>
  <c r="D31" i="14"/>
  <c r="D30" i="14"/>
  <c r="D29" i="14"/>
  <c r="D27" i="14"/>
  <c r="D26" i="14"/>
  <c r="D25" i="14"/>
  <c r="D24" i="14"/>
  <c r="D23" i="14"/>
  <c r="D21" i="14"/>
  <c r="D20" i="14"/>
  <c r="D19" i="14"/>
  <c r="D18" i="14"/>
  <c r="D17" i="14"/>
  <c r="D16" i="14"/>
  <c r="D15" i="14"/>
  <c r="D13" i="14"/>
  <c r="D12" i="14"/>
  <c r="D11" i="14"/>
  <c r="D9" i="14"/>
  <c r="D8" i="14"/>
  <c r="D7" i="14"/>
  <c r="D6" i="14"/>
  <c r="D5" i="14"/>
  <c r="D4" i="14"/>
  <c r="D123" i="12"/>
  <c r="D122" i="12"/>
  <c r="D121" i="12"/>
  <c r="D120" i="12"/>
  <c r="D119" i="12"/>
  <c r="D118" i="12"/>
  <c r="D116" i="12"/>
  <c r="D115" i="12"/>
  <c r="D114" i="12"/>
  <c r="D113" i="12"/>
  <c r="D112" i="12"/>
  <c r="D111" i="12"/>
  <c r="D109" i="12"/>
  <c r="D108" i="12"/>
  <c r="D107" i="12"/>
  <c r="D106" i="12"/>
  <c r="D104" i="12"/>
  <c r="D103" i="12"/>
  <c r="D102" i="12"/>
  <c r="D101" i="12"/>
  <c r="D100" i="12"/>
  <c r="D99" i="12"/>
  <c r="D98" i="12"/>
  <c r="D96" i="12"/>
  <c r="D95" i="12"/>
  <c r="D94" i="12"/>
  <c r="D93" i="12"/>
  <c r="D91" i="12"/>
  <c r="D90" i="12"/>
  <c r="D89" i="12"/>
  <c r="D87" i="12"/>
  <c r="D86" i="12"/>
  <c r="D85" i="12"/>
  <c r="D84" i="12"/>
  <c r="D82" i="12"/>
  <c r="D81" i="12"/>
  <c r="D80" i="12"/>
  <c r="D78" i="12"/>
  <c r="D77" i="12"/>
  <c r="D76" i="12"/>
  <c r="D75" i="12"/>
  <c r="D73" i="12"/>
  <c r="D72" i="12"/>
  <c r="D71" i="12"/>
  <c r="D69" i="12"/>
  <c r="D68" i="12"/>
  <c r="D67" i="12"/>
  <c r="D65" i="12"/>
  <c r="D63" i="12"/>
  <c r="D62" i="12"/>
  <c r="D59" i="12"/>
  <c r="D58" i="12"/>
  <c r="D57" i="12"/>
  <c r="D56" i="12"/>
  <c r="D55" i="12"/>
  <c r="D53" i="12"/>
  <c r="D52" i="12"/>
  <c r="D51" i="12"/>
  <c r="D50" i="12"/>
  <c r="D49" i="12"/>
  <c r="D48" i="12"/>
  <c r="D46" i="12"/>
  <c r="D45" i="12"/>
  <c r="D44" i="12"/>
  <c r="D43" i="12"/>
  <c r="D41" i="12"/>
  <c r="D40" i="12"/>
  <c r="D39" i="12"/>
  <c r="D38" i="12"/>
  <c r="D37" i="12"/>
  <c r="D36" i="12"/>
  <c r="D34" i="12"/>
  <c r="D33" i="12"/>
  <c r="D32" i="12"/>
  <c r="D31" i="12"/>
  <c r="D30" i="12"/>
  <c r="D29" i="12"/>
  <c r="D27" i="12"/>
  <c r="D26" i="12"/>
  <c r="D25" i="12"/>
  <c r="D24" i="12"/>
  <c r="D23" i="12"/>
  <c r="D22" i="12"/>
  <c r="D20" i="12"/>
  <c r="D19" i="12"/>
  <c r="D18" i="12"/>
  <c r="D17" i="12"/>
  <c r="D16" i="12"/>
  <c r="D14" i="12"/>
  <c r="D13" i="12"/>
  <c r="D12" i="12"/>
  <c r="D11" i="12"/>
  <c r="D10" i="12"/>
  <c r="D8" i="12"/>
  <c r="D7" i="12"/>
  <c r="D6" i="12"/>
  <c r="D5" i="12"/>
  <c r="D4" i="12"/>
  <c r="D305" i="21"/>
  <c r="D304" i="21"/>
  <c r="D303" i="21"/>
  <c r="D301" i="21"/>
  <c r="D300" i="21"/>
  <c r="D299" i="21"/>
  <c r="D298" i="21"/>
  <c r="D296" i="21"/>
  <c r="D295" i="21"/>
  <c r="D294" i="21"/>
  <c r="D293" i="21"/>
  <c r="D292" i="21"/>
  <c r="D291" i="21"/>
  <c r="D289" i="21"/>
  <c r="D288" i="21"/>
  <c r="D287" i="21"/>
  <c r="D286" i="21"/>
  <c r="D284" i="21"/>
  <c r="D283" i="21"/>
  <c r="D282" i="21"/>
  <c r="D281" i="21"/>
  <c r="D200" i="21"/>
  <c r="D199" i="21"/>
  <c r="D198" i="21"/>
  <c r="D197" i="21"/>
  <c r="D195" i="21"/>
  <c r="D194" i="21"/>
  <c r="D193" i="21"/>
  <c r="D192" i="21"/>
  <c r="D191" i="21"/>
  <c r="D190" i="21"/>
  <c r="D188" i="21"/>
  <c r="D187" i="21"/>
  <c r="D186" i="21"/>
  <c r="D185" i="21"/>
  <c r="D183" i="21"/>
  <c r="D182" i="21"/>
  <c r="D181" i="21"/>
  <c r="D180" i="21"/>
  <c r="D179" i="21"/>
  <c r="D177" i="21"/>
  <c r="D176" i="21"/>
  <c r="D175" i="21"/>
  <c r="D174" i="21"/>
  <c r="D173" i="21"/>
  <c r="D172" i="21"/>
  <c r="D170" i="21"/>
  <c r="D169" i="21"/>
  <c r="D168" i="21"/>
  <c r="D167" i="21"/>
  <c r="D166" i="21"/>
  <c r="D165" i="21"/>
  <c r="D163" i="21"/>
  <c r="D162" i="21"/>
  <c r="D161" i="21"/>
  <c r="D160" i="21"/>
  <c r="D159" i="21"/>
  <c r="D158" i="21"/>
  <c r="D156" i="21"/>
  <c r="D155" i="21"/>
  <c r="D154" i="21"/>
  <c r="D153" i="21"/>
  <c r="D152" i="21"/>
  <c r="D150" i="21"/>
  <c r="D149" i="21"/>
  <c r="D147" i="21"/>
  <c r="D146" i="21"/>
  <c r="D144" i="21"/>
  <c r="D143" i="21"/>
  <c r="D142" i="21"/>
  <c r="D141" i="21"/>
  <c r="D140" i="21"/>
  <c r="D139" i="21"/>
  <c r="D138" i="21"/>
  <c r="D137" i="21"/>
  <c r="D135" i="21"/>
  <c r="D134" i="21"/>
  <c r="D133" i="21"/>
  <c r="D132" i="21"/>
  <c r="D131" i="21"/>
  <c r="D129" i="21"/>
  <c r="D128" i="21"/>
  <c r="D127" i="21"/>
  <c r="D126" i="21"/>
  <c r="D125" i="21"/>
  <c r="D123" i="21"/>
  <c r="D122" i="21"/>
  <c r="D120" i="21"/>
  <c r="D119" i="21"/>
  <c r="D118" i="21"/>
  <c r="D117" i="21"/>
  <c r="D116" i="21"/>
  <c r="D114" i="21"/>
  <c r="D113" i="21"/>
  <c r="D112" i="21"/>
  <c r="D111" i="21"/>
  <c r="D110" i="21"/>
  <c r="D108" i="21"/>
  <c r="D107" i="21"/>
  <c r="D106" i="21"/>
  <c r="D105" i="21"/>
  <c r="D104" i="21"/>
  <c r="D103" i="21"/>
  <c r="D101" i="21"/>
  <c r="D100" i="21"/>
  <c r="D99" i="21"/>
  <c r="D98" i="21"/>
  <c r="D96" i="21"/>
  <c r="D95" i="21"/>
  <c r="D94" i="21"/>
  <c r="D93" i="21"/>
  <c r="D92" i="21"/>
  <c r="D91" i="21"/>
  <c r="D89" i="21"/>
  <c r="D88" i="21"/>
  <c r="D87" i="21"/>
  <c r="D86" i="21"/>
  <c r="D84" i="21"/>
  <c r="D83" i="21"/>
  <c r="D82" i="21"/>
  <c r="D81" i="21"/>
  <c r="D80" i="21"/>
  <c r="D78" i="21"/>
  <c r="D77" i="21"/>
  <c r="D76" i="21"/>
  <c r="D75" i="21"/>
  <c r="D74" i="21"/>
  <c r="D73" i="21"/>
  <c r="D71" i="21"/>
  <c r="D70" i="21"/>
  <c r="D69" i="21"/>
  <c r="D68" i="21"/>
  <c r="D67" i="21"/>
  <c r="D66" i="21"/>
  <c r="D65" i="21"/>
  <c r="D63" i="21"/>
  <c r="D62" i="21"/>
  <c r="D61" i="21"/>
  <c r="D59" i="21"/>
  <c r="D58" i="21"/>
  <c r="D57" i="21"/>
  <c r="D56" i="21"/>
  <c r="D55" i="21"/>
  <c r="D53" i="21"/>
  <c r="D52" i="21"/>
  <c r="D51" i="21"/>
  <c r="D50" i="21"/>
  <c r="D48" i="21"/>
  <c r="D47" i="21"/>
  <c r="D46" i="21"/>
  <c r="D45" i="21"/>
  <c r="D43" i="21"/>
  <c r="D42" i="21"/>
  <c r="D41" i="21"/>
  <c r="D40" i="21"/>
  <c r="D39" i="21"/>
  <c r="D37" i="21"/>
  <c r="D36" i="21"/>
  <c r="D35" i="21"/>
  <c r="D34" i="21"/>
  <c r="D33" i="21"/>
  <c r="D31" i="21"/>
  <c r="D30" i="21"/>
  <c r="D29" i="21"/>
  <c r="D28" i="21"/>
  <c r="D27" i="21"/>
  <c r="D26" i="21"/>
  <c r="D25" i="21"/>
  <c r="D23" i="21"/>
  <c r="D22" i="21"/>
  <c r="D21" i="21"/>
  <c r="D20" i="21"/>
  <c r="D19" i="21"/>
  <c r="D18" i="21"/>
  <c r="D16" i="21"/>
  <c r="D15" i="21"/>
  <c r="D14" i="21"/>
  <c r="D13" i="21"/>
  <c r="D12" i="21"/>
  <c r="D11" i="21"/>
  <c r="D9" i="21"/>
  <c r="D8" i="21"/>
  <c r="D7" i="21"/>
  <c r="D6" i="21"/>
  <c r="D5" i="21"/>
  <c r="D4" i="21"/>
  <c r="D148" i="22"/>
  <c r="D147" i="22"/>
  <c r="D146" i="22"/>
  <c r="D145" i="22"/>
  <c r="D144" i="22"/>
  <c r="D143" i="22"/>
  <c r="D141" i="22"/>
  <c r="D140" i="22"/>
  <c r="D139" i="22"/>
  <c r="D138" i="22"/>
  <c r="D136" i="22"/>
  <c r="D135" i="22"/>
  <c r="D134" i="22"/>
  <c r="D133" i="22"/>
  <c r="D131" i="22"/>
  <c r="D130" i="22"/>
  <c r="D129" i="22"/>
  <c r="D128" i="22"/>
  <c r="D96" i="22"/>
  <c r="D95" i="22"/>
  <c r="D94" i="22"/>
  <c r="D93" i="22"/>
  <c r="D91" i="22"/>
  <c r="D90" i="22"/>
  <c r="D89" i="22"/>
  <c r="D88" i="22"/>
  <c r="D87" i="22"/>
  <c r="D85" i="22"/>
  <c r="D84" i="22"/>
  <c r="D83" i="22"/>
  <c r="D82" i="22"/>
  <c r="D81" i="22"/>
  <c r="D80" i="22"/>
  <c r="D78" i="22"/>
  <c r="D77" i="22"/>
  <c r="D76" i="22"/>
  <c r="D75" i="22"/>
  <c r="D74" i="22"/>
  <c r="D73" i="22"/>
  <c r="D71" i="22"/>
  <c r="D70" i="22"/>
  <c r="D68" i="22"/>
  <c r="D67" i="22"/>
  <c r="D65" i="22"/>
  <c r="D64" i="22"/>
  <c r="D63" i="22"/>
  <c r="D62" i="22"/>
  <c r="D61" i="22"/>
  <c r="D60" i="22"/>
  <c r="D59" i="22"/>
  <c r="D58" i="22"/>
  <c r="D56" i="22"/>
  <c r="D55" i="22"/>
  <c r="D54" i="22"/>
  <c r="D53" i="22"/>
  <c r="D51" i="22"/>
  <c r="D50" i="22"/>
  <c r="D48" i="22"/>
  <c r="D47" i="22"/>
  <c r="D46" i="22"/>
  <c r="D45" i="22"/>
  <c r="D44" i="22"/>
  <c r="D42" i="22"/>
  <c r="D41" i="22"/>
  <c r="D40" i="22"/>
  <c r="D39" i="22"/>
  <c r="D38" i="22"/>
  <c r="D36" i="22"/>
  <c r="D35" i="22"/>
  <c r="D34" i="22"/>
  <c r="D33" i="22"/>
  <c r="D32" i="22"/>
  <c r="D30" i="22"/>
  <c r="D29" i="22"/>
  <c r="D28" i="22"/>
  <c r="D27" i="22"/>
  <c r="D26" i="22"/>
  <c r="D24" i="22"/>
  <c r="D23" i="22"/>
  <c r="D22" i="22"/>
  <c r="D21" i="22"/>
  <c r="D20" i="22"/>
  <c r="D19" i="22"/>
  <c r="D18" i="22"/>
  <c r="D16" i="22"/>
  <c r="D15" i="22"/>
  <c r="D14" i="22"/>
  <c r="D13" i="22"/>
  <c r="D12" i="22"/>
  <c r="D11" i="22"/>
  <c r="D9" i="22"/>
  <c r="D8" i="22"/>
  <c r="D7" i="22"/>
  <c r="D6" i="22"/>
  <c r="D5" i="22"/>
  <c r="D4" i="22"/>
  <c r="D311" i="23"/>
  <c r="D310" i="23"/>
  <c r="D309" i="23"/>
  <c r="D308" i="23"/>
  <c r="D307" i="23"/>
  <c r="D306" i="23"/>
  <c r="D305" i="23"/>
  <c r="D304" i="23"/>
  <c r="D303" i="23"/>
  <c r="D302" i="23"/>
  <c r="D301" i="23"/>
  <c r="D300" i="23"/>
  <c r="D298" i="23"/>
  <c r="D297" i="23"/>
  <c r="D296" i="23"/>
  <c r="D295" i="23"/>
  <c r="D293" i="23"/>
  <c r="D292" i="23"/>
  <c r="D291" i="23"/>
  <c r="D290" i="23"/>
  <c r="D288" i="23"/>
  <c r="D287" i="23"/>
  <c r="D286" i="23"/>
  <c r="D285" i="23"/>
  <c r="D283" i="23"/>
  <c r="D282" i="23"/>
  <c r="D281" i="23"/>
  <c r="D280" i="23"/>
  <c r="D279" i="23"/>
  <c r="D278" i="23"/>
  <c r="D173" i="23"/>
  <c r="D172" i="23"/>
  <c r="D171" i="23"/>
  <c r="D170" i="23"/>
  <c r="D168" i="23"/>
  <c r="D167" i="23"/>
  <c r="D166" i="23"/>
  <c r="D165" i="23"/>
  <c r="D164" i="23"/>
  <c r="D163" i="23"/>
  <c r="D161" i="23"/>
  <c r="D160" i="23"/>
  <c r="D159" i="23"/>
  <c r="D158" i="23"/>
  <c r="D157" i="23"/>
  <c r="D156" i="23"/>
  <c r="D154" i="23"/>
  <c r="D153" i="23"/>
  <c r="D152" i="23"/>
  <c r="D151" i="23"/>
  <c r="D149" i="23"/>
  <c r="D148" i="23"/>
  <c r="D147" i="23"/>
  <c r="D145" i="23"/>
  <c r="D144" i="23"/>
  <c r="D143" i="23"/>
  <c r="D142" i="23"/>
  <c r="D140" i="23"/>
  <c r="D139" i="23"/>
  <c r="D138" i="23"/>
  <c r="D137" i="23"/>
  <c r="D136" i="23"/>
  <c r="D135" i="23"/>
  <c r="D133" i="23"/>
  <c r="D132" i="23"/>
  <c r="D131" i="23"/>
  <c r="D130" i="23"/>
  <c r="D129" i="23"/>
  <c r="D128" i="23"/>
  <c r="D126" i="23"/>
  <c r="D125" i="23"/>
  <c r="D124" i="23"/>
  <c r="D123" i="23"/>
  <c r="D122" i="23"/>
  <c r="D120" i="23"/>
  <c r="D119" i="23"/>
  <c r="D118" i="23"/>
  <c r="D117" i="23"/>
  <c r="D116" i="23"/>
  <c r="D114" i="23"/>
  <c r="D113" i="23"/>
  <c r="D112" i="23"/>
  <c r="D111" i="23"/>
  <c r="D109" i="23"/>
  <c r="D108" i="23"/>
  <c r="D107" i="23"/>
  <c r="D106" i="23"/>
  <c r="D104" i="23"/>
  <c r="D103" i="23"/>
  <c r="D101" i="23"/>
  <c r="D100" i="23"/>
  <c r="D99" i="23"/>
  <c r="D98" i="23"/>
  <c r="D96" i="23"/>
  <c r="D95" i="23"/>
  <c r="D94" i="23"/>
  <c r="D93" i="23"/>
  <c r="D92" i="23"/>
  <c r="D90" i="23"/>
  <c r="D89" i="23"/>
  <c r="D88" i="23"/>
  <c r="D87" i="23"/>
  <c r="D86" i="23"/>
  <c r="D85" i="23"/>
  <c r="D83" i="23"/>
  <c r="D82" i="23"/>
  <c r="D81" i="23"/>
  <c r="D80" i="23"/>
  <c r="D79" i="23"/>
  <c r="D77" i="23"/>
  <c r="D76" i="23"/>
  <c r="D75" i="23"/>
  <c r="D74" i="23"/>
  <c r="D73" i="23"/>
  <c r="D71" i="23"/>
  <c r="D70" i="23"/>
  <c r="D69" i="23"/>
  <c r="D68" i="23"/>
  <c r="D67" i="23"/>
  <c r="D66" i="23"/>
  <c r="D64" i="23"/>
  <c r="D63" i="23"/>
  <c r="D62" i="23"/>
  <c r="D61" i="23"/>
  <c r="D59" i="23"/>
  <c r="D58" i="23"/>
  <c r="D57" i="23"/>
  <c r="D56" i="23"/>
  <c r="D55" i="23"/>
  <c r="D53" i="23"/>
  <c r="D52" i="23"/>
  <c r="D51" i="23"/>
  <c r="D50" i="23"/>
  <c r="D49" i="23"/>
  <c r="D48" i="23"/>
  <c r="D46" i="23"/>
  <c r="D45" i="23"/>
  <c r="D44" i="23"/>
  <c r="D42" i="23"/>
  <c r="D41" i="23"/>
  <c r="D40" i="23"/>
  <c r="D39" i="23"/>
  <c r="D38" i="23"/>
  <c r="D36" i="23"/>
  <c r="D35" i="23"/>
  <c r="D34" i="23"/>
  <c r="D33" i="23"/>
  <c r="D31" i="23"/>
  <c r="D30" i="23"/>
  <c r="D29" i="23"/>
  <c r="D28" i="23"/>
  <c r="D27" i="23"/>
  <c r="D26" i="23"/>
  <c r="D25" i="23"/>
  <c r="D23" i="23"/>
  <c r="D22" i="23"/>
  <c r="D21" i="23"/>
  <c r="D20" i="23"/>
  <c r="D19" i="23"/>
  <c r="D18" i="23"/>
  <c r="D16" i="23"/>
  <c r="D15" i="23"/>
  <c r="D14" i="23"/>
  <c r="D13" i="23"/>
  <c r="D12" i="23"/>
  <c r="D11" i="23"/>
  <c r="D9" i="23"/>
  <c r="D8" i="23"/>
  <c r="D7" i="23"/>
  <c r="D6" i="23"/>
  <c r="D5" i="23"/>
  <c r="D4" i="23"/>
  <c r="D203" i="15"/>
  <c r="D202" i="15"/>
  <c r="D201" i="15"/>
  <c r="D200" i="15"/>
  <c r="D198" i="15"/>
  <c r="D197" i="15"/>
  <c r="D196" i="15"/>
  <c r="D194" i="15"/>
  <c r="D192" i="15"/>
  <c r="D191" i="15"/>
  <c r="D190" i="15"/>
  <c r="D189" i="15"/>
  <c r="D119" i="15"/>
  <c r="D118" i="15"/>
  <c r="D117" i="15"/>
  <c r="D115" i="15"/>
  <c r="D114" i="15"/>
  <c r="D113" i="15"/>
  <c r="D112" i="15"/>
  <c r="D111" i="15"/>
  <c r="D109" i="15"/>
  <c r="D108" i="15"/>
  <c r="D107" i="15"/>
  <c r="D106" i="15"/>
  <c r="D105" i="15"/>
  <c r="D104" i="15"/>
  <c r="D102" i="15"/>
  <c r="D101" i="15"/>
  <c r="D100" i="15"/>
  <c r="D99" i="15"/>
  <c r="D98" i="15"/>
  <c r="D97" i="15"/>
  <c r="D95" i="15"/>
  <c r="D94" i="15"/>
  <c r="D93" i="15"/>
  <c r="D92" i="15"/>
  <c r="D91" i="15"/>
  <c r="D89" i="15"/>
  <c r="D88" i="15"/>
  <c r="D86" i="15"/>
  <c r="D85" i="15"/>
  <c r="D83" i="15"/>
  <c r="D82" i="15"/>
  <c r="D81" i="15"/>
  <c r="D80" i="15"/>
  <c r="D78" i="15"/>
  <c r="D77" i="15"/>
  <c r="D76" i="15"/>
  <c r="D75" i="15"/>
  <c r="D74" i="15"/>
  <c r="D72" i="15"/>
  <c r="D71" i="15"/>
  <c r="D70" i="15"/>
  <c r="D69" i="15"/>
  <c r="D68" i="15"/>
  <c r="D66" i="15"/>
  <c r="D65" i="15"/>
  <c r="D64" i="15"/>
  <c r="D63" i="15"/>
  <c r="D62" i="15"/>
  <c r="D60" i="15"/>
  <c r="D59" i="15"/>
  <c r="D58" i="15"/>
  <c r="D57" i="15"/>
  <c r="D56" i="15"/>
  <c r="D55" i="15"/>
  <c r="D53" i="15"/>
  <c r="D52" i="15"/>
  <c r="D51" i="15"/>
  <c r="D50" i="15"/>
  <c r="D48" i="15"/>
  <c r="D47" i="15"/>
  <c r="D46" i="15"/>
  <c r="D45" i="15"/>
  <c r="D44" i="15"/>
  <c r="D43" i="15"/>
  <c r="D41" i="15"/>
  <c r="D40" i="15"/>
  <c r="D39" i="15"/>
  <c r="D38" i="15"/>
  <c r="D37" i="15"/>
  <c r="D35" i="15"/>
  <c r="D34" i="15"/>
  <c r="D33" i="15"/>
  <c r="D32" i="15"/>
  <c r="D31" i="15"/>
  <c r="D30" i="15"/>
  <c r="D28" i="15"/>
  <c r="D27" i="15"/>
  <c r="D26" i="15"/>
  <c r="D24" i="15"/>
  <c r="D23" i="15"/>
  <c r="D22" i="15"/>
  <c r="D21" i="15"/>
  <c r="D20" i="15"/>
  <c r="D18" i="15"/>
  <c r="D17" i="15"/>
  <c r="D16" i="15"/>
  <c r="D15" i="15"/>
  <c r="D13" i="15"/>
  <c r="D12" i="15"/>
  <c r="D11" i="15"/>
  <c r="D9" i="15"/>
  <c r="D8" i="15"/>
  <c r="D7" i="15"/>
  <c r="D5" i="15"/>
  <c r="D4" i="15"/>
  <c r="D260" i="49"/>
  <c r="D258" i="49"/>
  <c r="D257" i="49"/>
  <c r="D256" i="49"/>
  <c r="D254" i="49"/>
  <c r="D253" i="49"/>
  <c r="D252" i="49"/>
  <c r="D251" i="49"/>
  <c r="D249" i="49"/>
  <c r="D248" i="49"/>
  <c r="D247" i="49"/>
  <c r="D245" i="49"/>
  <c r="D244" i="49"/>
  <c r="D174" i="49"/>
  <c r="D173" i="49"/>
  <c r="D172" i="49"/>
  <c r="D171" i="49"/>
  <c r="D169" i="49"/>
  <c r="D168" i="49"/>
  <c r="D167" i="49"/>
  <c r="D166" i="49"/>
  <c r="D165" i="49"/>
  <c r="D164" i="49"/>
  <c r="D162" i="49"/>
  <c r="D161" i="49"/>
  <c r="D160" i="49"/>
  <c r="D159" i="49"/>
  <c r="D158" i="49"/>
  <c r="D157" i="49"/>
  <c r="D155" i="49"/>
  <c r="D154" i="49"/>
  <c r="D153" i="49"/>
  <c r="D152" i="49"/>
  <c r="D151" i="49"/>
  <c r="D150" i="49"/>
  <c r="D148" i="49"/>
  <c r="D147" i="49"/>
  <c r="D146" i="49"/>
  <c r="D145" i="49"/>
  <c r="D144" i="49"/>
  <c r="D142" i="49"/>
  <c r="D141" i="49"/>
  <c r="D139" i="49"/>
  <c r="D138" i="49"/>
  <c r="D137" i="49"/>
  <c r="D136" i="49"/>
  <c r="D135" i="49"/>
  <c r="D133" i="49"/>
  <c r="D132" i="49"/>
  <c r="D131" i="49"/>
  <c r="D130" i="49"/>
  <c r="D128" i="49"/>
  <c r="D127" i="49"/>
  <c r="D126" i="49"/>
  <c r="D125" i="49"/>
  <c r="D123" i="49"/>
  <c r="D122" i="49"/>
  <c r="D121" i="49"/>
  <c r="D120" i="49"/>
  <c r="D119" i="49"/>
  <c r="D118" i="49"/>
  <c r="D116" i="49"/>
  <c r="D115" i="49"/>
  <c r="D114" i="49"/>
  <c r="D113" i="49"/>
  <c r="D112" i="49"/>
  <c r="D111" i="49"/>
  <c r="D110" i="49"/>
  <c r="D109" i="49"/>
  <c r="D107" i="49"/>
  <c r="D106" i="49"/>
  <c r="D105" i="49"/>
  <c r="D104" i="49"/>
  <c r="D103" i="49"/>
  <c r="D102" i="49"/>
  <c r="D101" i="49"/>
  <c r="D99" i="49"/>
  <c r="D98" i="49"/>
  <c r="D97" i="49"/>
  <c r="D96" i="49"/>
  <c r="D94" i="49"/>
  <c r="D93" i="49"/>
  <c r="D92" i="49"/>
  <c r="D91" i="49"/>
  <c r="D90" i="49"/>
  <c r="D89" i="49"/>
  <c r="D88" i="49"/>
  <c r="D87" i="49"/>
  <c r="D86" i="49"/>
  <c r="D84" i="49"/>
  <c r="D83" i="49"/>
  <c r="D82" i="49"/>
  <c r="D81" i="49"/>
  <c r="D80" i="49"/>
  <c r="D79" i="49"/>
  <c r="D77" i="49"/>
  <c r="D76" i="49"/>
  <c r="D75" i="49"/>
  <c r="D74" i="49"/>
  <c r="D73" i="49"/>
  <c r="D71" i="49"/>
  <c r="D70" i="49"/>
  <c r="D69" i="49"/>
  <c r="D68" i="49"/>
  <c r="D67" i="49"/>
  <c r="D66" i="49"/>
  <c r="D64" i="49"/>
  <c r="D63" i="49"/>
  <c r="D62" i="49"/>
  <c r="D60" i="49"/>
  <c r="D59" i="49"/>
  <c r="D58" i="49"/>
  <c r="D57" i="49"/>
  <c r="D56" i="49"/>
  <c r="D54" i="49"/>
  <c r="D53" i="49"/>
  <c r="D52" i="49"/>
  <c r="D51" i="49"/>
  <c r="D49" i="49"/>
  <c r="D48" i="49"/>
  <c r="D47" i="49"/>
  <c r="D46" i="49"/>
  <c r="D45" i="49"/>
  <c r="D43" i="49"/>
  <c r="D42" i="49"/>
  <c r="D41" i="49"/>
  <c r="D40" i="49"/>
  <c r="D38" i="49"/>
  <c r="D36" i="49"/>
  <c r="D35" i="49"/>
  <c r="D34" i="49"/>
  <c r="D33" i="49"/>
  <c r="D32" i="49"/>
  <c r="D30" i="49"/>
  <c r="D29" i="49"/>
  <c r="D28" i="49"/>
  <c r="D27" i="49"/>
  <c r="D26" i="49"/>
  <c r="D24" i="49"/>
  <c r="D23" i="49"/>
  <c r="D22" i="49"/>
  <c r="D21" i="49"/>
  <c r="D20" i="49"/>
  <c r="D19" i="49"/>
  <c r="D17" i="49"/>
  <c r="D16" i="49"/>
  <c r="D15" i="49"/>
  <c r="D13" i="49"/>
  <c r="D12" i="49"/>
  <c r="D11" i="49"/>
  <c r="D10" i="49"/>
  <c r="D9" i="49"/>
  <c r="D8" i="49"/>
  <c r="D6" i="49"/>
  <c r="D5" i="49"/>
  <c r="D4" i="49"/>
  <c r="D249" i="20"/>
  <c r="D248" i="20"/>
  <c r="D247" i="20"/>
  <c r="D245" i="20"/>
  <c r="D244" i="20"/>
  <c r="D243" i="20"/>
  <c r="D242" i="20"/>
  <c r="D240" i="20"/>
  <c r="D239" i="20"/>
  <c r="D238" i="20"/>
  <c r="D237" i="20"/>
  <c r="D236" i="20"/>
  <c r="D235" i="20"/>
  <c r="D233" i="20"/>
  <c r="D232" i="20"/>
  <c r="D231" i="20"/>
  <c r="D230" i="20"/>
  <c r="D228" i="20"/>
  <c r="D227" i="20"/>
  <c r="D225"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 r="C204" i="20"/>
  <c r="C205" i="20"/>
  <c r="C206" i="20"/>
  <c r="C207" i="20"/>
  <c r="C208" i="20"/>
  <c r="C209" i="20"/>
  <c r="C210" i="20"/>
  <c r="C211" i="20"/>
  <c r="C212" i="20"/>
  <c r="C213" i="20"/>
  <c r="C214" i="20"/>
  <c r="C215" i="20"/>
  <c r="C216" i="20"/>
  <c r="C217" i="20"/>
  <c r="C218" i="20"/>
  <c r="C219" i="20"/>
  <c r="C220" i="20"/>
  <c r="C221" i="20"/>
  <c r="C222" i="20"/>
  <c r="C224" i="20"/>
  <c r="C225" i="20"/>
  <c r="C226" i="20"/>
  <c r="C227" i="20"/>
  <c r="C228" i="20"/>
  <c r="C229" i="20"/>
  <c r="C230" i="20"/>
  <c r="C231" i="20"/>
  <c r="C232" i="20"/>
  <c r="C233" i="20"/>
  <c r="C234" i="20"/>
  <c r="C235" i="20"/>
  <c r="C236" i="20"/>
  <c r="C237" i="20"/>
  <c r="C238" i="20"/>
  <c r="C239" i="20"/>
  <c r="C240" i="20"/>
  <c r="C241" i="20"/>
  <c r="C242" i="20"/>
  <c r="C243" i="20"/>
  <c r="C244" i="20"/>
  <c r="C245" i="20"/>
  <c r="C246" i="20"/>
  <c r="C247" i="20"/>
  <c r="C248" i="20"/>
  <c r="C249" i="20"/>
  <c r="D278" i="18"/>
  <c r="D277" i="18"/>
  <c r="D276" i="18"/>
  <c r="D275" i="18"/>
  <c r="D273" i="18"/>
  <c r="D272" i="18"/>
  <c r="D271" i="18"/>
  <c r="D270" i="18"/>
  <c r="D269" i="18"/>
  <c r="D268" i="18"/>
  <c r="D266" i="18"/>
  <c r="D265" i="18"/>
  <c r="D264" i="18"/>
  <c r="D263" i="18"/>
  <c r="D261" i="18"/>
  <c r="D259" i="18"/>
  <c r="D258" i="18"/>
  <c r="D257" i="18"/>
  <c r="D256" i="18"/>
  <c r="D195" i="18"/>
  <c r="D194" i="18"/>
  <c r="D193" i="18"/>
  <c r="D192" i="18"/>
  <c r="D190" i="18"/>
  <c r="D189" i="18"/>
  <c r="D188" i="18"/>
  <c r="D187" i="18"/>
  <c r="D186" i="18"/>
  <c r="D185" i="18"/>
  <c r="D183" i="18"/>
  <c r="D182" i="18"/>
  <c r="D181" i="18"/>
  <c r="D179" i="18"/>
  <c r="D178" i="18"/>
  <c r="D177" i="18"/>
  <c r="D176" i="18"/>
  <c r="D175" i="18"/>
  <c r="D173" i="18"/>
  <c r="D172" i="18"/>
  <c r="D171" i="18"/>
  <c r="D170" i="18"/>
  <c r="D169" i="18"/>
  <c r="D168" i="18"/>
  <c r="D166" i="18"/>
  <c r="D165" i="18"/>
  <c r="D164" i="18"/>
  <c r="D163" i="18"/>
  <c r="D162" i="18"/>
  <c r="D161" i="18"/>
  <c r="D159" i="18"/>
  <c r="D158" i="18"/>
  <c r="D156" i="18"/>
  <c r="D155" i="18"/>
  <c r="D154" i="18"/>
  <c r="D152" i="18"/>
  <c r="D151" i="18"/>
  <c r="D150" i="18"/>
  <c r="D149" i="18"/>
  <c r="D148" i="18"/>
  <c r="D146" i="18"/>
  <c r="D145" i="18"/>
  <c r="D144" i="18"/>
  <c r="D143" i="18"/>
  <c r="D141" i="18"/>
  <c r="D140" i="18"/>
  <c r="D139" i="18"/>
  <c r="D137" i="18"/>
  <c r="D136" i="18"/>
  <c r="D135" i="18"/>
  <c r="D134" i="18"/>
  <c r="D133" i="18"/>
  <c r="D131" i="18"/>
  <c r="D130" i="18"/>
  <c r="D129" i="18"/>
  <c r="D128" i="18"/>
  <c r="D127" i="18"/>
  <c r="D125" i="18"/>
  <c r="D124" i="18"/>
  <c r="D123" i="18"/>
  <c r="D122" i="18"/>
  <c r="D121" i="18"/>
  <c r="D119" i="18"/>
  <c r="D118" i="18"/>
  <c r="D117" i="18"/>
  <c r="D116" i="18"/>
  <c r="D115" i="18"/>
  <c r="D114" i="18"/>
  <c r="D112" i="18"/>
  <c r="D111" i="18"/>
  <c r="D110" i="18"/>
  <c r="D109" i="18"/>
  <c r="D107" i="18"/>
  <c r="D106" i="18"/>
  <c r="D105" i="18"/>
  <c r="D104" i="18"/>
  <c r="D103" i="18"/>
  <c r="D102" i="18"/>
  <c r="D100" i="18"/>
  <c r="D99" i="18"/>
  <c r="D98" i="18"/>
  <c r="D97" i="18"/>
  <c r="D96" i="18"/>
  <c r="D95" i="18"/>
  <c r="D93" i="18"/>
  <c r="D92" i="18"/>
  <c r="D91" i="18"/>
  <c r="D90" i="18"/>
  <c r="D88" i="18"/>
  <c r="D87" i="18"/>
  <c r="D86" i="18"/>
  <c r="D85" i="18"/>
  <c r="D84" i="18"/>
  <c r="D83" i="18"/>
  <c r="D81" i="18"/>
  <c r="D80" i="18"/>
  <c r="D79" i="18"/>
  <c r="D78" i="18"/>
  <c r="D77" i="18"/>
  <c r="D75" i="18"/>
  <c r="D74" i="18"/>
  <c r="D73" i="18"/>
  <c r="D72" i="18"/>
  <c r="D70" i="18"/>
  <c r="D69" i="18"/>
  <c r="D68" i="18"/>
  <c r="D67" i="18"/>
  <c r="D66" i="18"/>
  <c r="D65" i="18"/>
  <c r="D64" i="18"/>
  <c r="D63" i="18"/>
  <c r="D61" i="18"/>
  <c r="D60" i="18"/>
  <c r="D59" i="18"/>
  <c r="D57" i="18"/>
  <c r="D56" i="18"/>
  <c r="D55" i="18"/>
  <c r="D53" i="18"/>
  <c r="D52" i="18"/>
  <c r="D51" i="18"/>
  <c r="D50" i="18"/>
  <c r="D49" i="18"/>
  <c r="D48" i="18"/>
  <c r="D46" i="18"/>
  <c r="D45" i="18"/>
  <c r="D44" i="18"/>
  <c r="D43" i="18"/>
  <c r="D42" i="18"/>
  <c r="D40" i="18"/>
  <c r="D39" i="18"/>
  <c r="D38" i="18"/>
  <c r="D37" i="18"/>
  <c r="D35" i="18"/>
  <c r="D34" i="18"/>
  <c r="D33" i="18"/>
  <c r="D32" i="18"/>
  <c r="D31" i="18"/>
  <c r="D29" i="18"/>
  <c r="D28" i="18"/>
  <c r="D27" i="18"/>
  <c r="D26" i="18"/>
  <c r="D25" i="18"/>
  <c r="D23" i="18"/>
  <c r="D22" i="18"/>
  <c r="D21" i="18"/>
  <c r="D20" i="18"/>
  <c r="D19" i="18"/>
  <c r="D18" i="18"/>
  <c r="D16" i="18"/>
  <c r="D15" i="18"/>
  <c r="D14" i="18"/>
  <c r="D13" i="18"/>
  <c r="D12" i="18"/>
  <c r="D11" i="18"/>
  <c r="D9" i="18"/>
  <c r="D8" i="18"/>
  <c r="D7" i="18"/>
  <c r="D6" i="18"/>
  <c r="D5" i="18"/>
  <c r="D4" i="18"/>
  <c r="D107" i="17"/>
  <c r="D106" i="17"/>
  <c r="D105" i="17"/>
  <c r="D104" i="17"/>
  <c r="D103" i="17"/>
  <c r="D101" i="17"/>
  <c r="D100" i="17"/>
  <c r="D99" i="17"/>
  <c r="D98" i="17"/>
  <c r="D92" i="17"/>
  <c r="D91" i="17"/>
  <c r="D90" i="17"/>
  <c r="D88" i="17"/>
  <c r="D87" i="17"/>
  <c r="D86" i="17"/>
  <c r="D85" i="17"/>
  <c r="D83" i="17"/>
  <c r="D82" i="17"/>
  <c r="D81" i="17"/>
  <c r="D80" i="17"/>
  <c r="D79" i="17"/>
  <c r="D77" i="17"/>
  <c r="D76" i="17"/>
  <c r="D75" i="17"/>
  <c r="D74" i="17"/>
  <c r="D72" i="17"/>
  <c r="D71" i="17"/>
  <c r="D69" i="17"/>
  <c r="D68" i="17"/>
  <c r="D67" i="17"/>
  <c r="D66" i="17"/>
  <c r="D65" i="17"/>
  <c r="D64" i="17"/>
  <c r="D63" i="17"/>
  <c r="D61" i="17"/>
  <c r="D60" i="17"/>
  <c r="D59" i="17"/>
  <c r="D58" i="17"/>
  <c r="D57" i="17"/>
  <c r="D56" i="17"/>
  <c r="D54" i="17"/>
  <c r="D53" i="17"/>
  <c r="D52" i="17"/>
  <c r="D51" i="17"/>
  <c r="D50" i="17"/>
  <c r="D48" i="17"/>
  <c r="D47" i="17"/>
  <c r="D46" i="17"/>
  <c r="D45" i="17"/>
  <c r="D44" i="17"/>
  <c r="D43" i="17"/>
  <c r="D41" i="17"/>
  <c r="D40" i="17"/>
  <c r="D39" i="17"/>
  <c r="D37" i="17"/>
  <c r="D36" i="17"/>
  <c r="D35" i="17"/>
  <c r="D34" i="17"/>
  <c r="D33" i="17"/>
  <c r="D31" i="17"/>
  <c r="D30" i="17"/>
  <c r="D29" i="17"/>
  <c r="D28" i="17"/>
  <c r="D26" i="17"/>
  <c r="D25" i="17"/>
  <c r="D24" i="17"/>
  <c r="D23" i="17"/>
  <c r="D22" i="17"/>
  <c r="D20" i="17"/>
  <c r="D19" i="17"/>
  <c r="D18" i="17"/>
  <c r="D17" i="17"/>
  <c r="D16" i="17"/>
  <c r="D15" i="17"/>
  <c r="D14" i="17"/>
  <c r="D12" i="17"/>
  <c r="D11" i="17"/>
  <c r="D10" i="17"/>
  <c r="D8" i="17"/>
  <c r="D7" i="17"/>
  <c r="D6" i="17"/>
  <c r="D4" i="17"/>
  <c r="D159" i="11"/>
  <c r="D158" i="11"/>
  <c r="D157" i="11"/>
  <c r="D155" i="11"/>
  <c r="D154" i="11"/>
  <c r="D153" i="11"/>
  <c r="D152" i="11"/>
  <c r="D151" i="11"/>
  <c r="D149" i="11"/>
  <c r="D148" i="11"/>
  <c r="D147" i="11"/>
  <c r="D145" i="11"/>
  <c r="D144" i="11"/>
  <c r="D143" i="11"/>
  <c r="D108" i="11"/>
  <c r="D107" i="11"/>
  <c r="D106" i="11"/>
  <c r="D105" i="11"/>
  <c r="D104" i="11"/>
  <c r="D103" i="11"/>
  <c r="D101" i="11"/>
  <c r="D100" i="11"/>
  <c r="D99" i="11"/>
  <c r="D98" i="11"/>
  <c r="D96" i="11"/>
  <c r="D95" i="11"/>
  <c r="D94" i="11"/>
  <c r="D92" i="11"/>
  <c r="D91" i="11"/>
  <c r="D90" i="11"/>
  <c r="D89" i="11"/>
  <c r="D88" i="11"/>
  <c r="D86" i="11"/>
  <c r="D85" i="11"/>
  <c r="D84" i="11"/>
  <c r="D83" i="11"/>
  <c r="D82" i="11"/>
  <c r="D80" i="11"/>
  <c r="D79" i="11"/>
  <c r="D78" i="11"/>
  <c r="D77" i="11"/>
  <c r="D76" i="11"/>
  <c r="D74" i="11"/>
  <c r="D73" i="11"/>
  <c r="D72" i="11"/>
  <c r="D71" i="11"/>
  <c r="D69" i="11"/>
  <c r="D68" i="11"/>
  <c r="D67" i="11"/>
  <c r="D66" i="11"/>
  <c r="D65" i="11"/>
  <c r="D63" i="11"/>
  <c r="D62" i="11"/>
  <c r="D61" i="11"/>
  <c r="D59" i="11"/>
  <c r="D58" i="11"/>
  <c r="D57" i="11"/>
  <c r="D56" i="11"/>
  <c r="D54" i="11"/>
  <c r="D53" i="11"/>
  <c r="D52" i="11"/>
  <c r="D51" i="11"/>
  <c r="D50" i="11"/>
  <c r="D48" i="11"/>
  <c r="D47" i="11"/>
  <c r="D46" i="11"/>
  <c r="D45" i="11"/>
  <c r="D44" i="11"/>
  <c r="D42" i="11"/>
  <c r="D41" i="11"/>
  <c r="D40" i="11"/>
  <c r="D39" i="11"/>
  <c r="D37" i="11"/>
  <c r="D36" i="11"/>
  <c r="D35" i="11"/>
  <c r="D34" i="11"/>
  <c r="D33" i="11"/>
  <c r="D32" i="11"/>
  <c r="D30" i="11"/>
  <c r="D29" i="11"/>
  <c r="D28" i="11"/>
  <c r="D27" i="11"/>
  <c r="D25" i="11"/>
  <c r="D24" i="11"/>
  <c r="D23" i="11"/>
  <c r="D22" i="11"/>
  <c r="D21" i="11"/>
  <c r="D19" i="11"/>
  <c r="D18" i="11"/>
  <c r="D17" i="11"/>
  <c r="D16" i="11"/>
  <c r="D14" i="11"/>
  <c r="D13" i="11"/>
  <c r="D12" i="11"/>
  <c r="D11" i="11"/>
  <c r="D10" i="11"/>
  <c r="D9" i="11"/>
  <c r="D8" i="11"/>
  <c r="D6" i="11"/>
  <c r="D5" i="11"/>
  <c r="D4" i="11"/>
  <c r="D202" i="9" l="1"/>
  <c r="D201" i="9"/>
  <c r="D200" i="9"/>
  <c r="D199" i="9"/>
  <c r="D198" i="9"/>
  <c r="D197" i="9"/>
  <c r="D195" i="9"/>
  <c r="D194" i="9"/>
  <c r="D193" i="9"/>
  <c r="D192" i="9"/>
  <c r="D191" i="9"/>
  <c r="D190" i="9"/>
  <c r="D188" i="9"/>
  <c r="D187" i="9"/>
  <c r="D186" i="9"/>
  <c r="D185" i="9"/>
  <c r="D183" i="9"/>
  <c r="D182" i="9"/>
  <c r="D181" i="9"/>
  <c r="D180" i="9"/>
  <c r="D179" i="9"/>
  <c r="D177" i="9"/>
  <c r="D176" i="9"/>
  <c r="D175" i="9"/>
  <c r="D173" i="9"/>
  <c r="D172" i="9"/>
  <c r="D171" i="9"/>
  <c r="D170" i="9"/>
  <c r="D169" i="9"/>
  <c r="D167" i="9"/>
  <c r="D166" i="9"/>
  <c r="D165" i="9"/>
  <c r="D164" i="9"/>
  <c r="D163" i="9"/>
  <c r="D161" i="9"/>
  <c r="D160" i="9"/>
  <c r="D159" i="9"/>
  <c r="D157" i="9"/>
  <c r="D156" i="9"/>
  <c r="D155" i="9"/>
  <c r="D153" i="9"/>
  <c r="D152" i="9"/>
  <c r="D151" i="9"/>
  <c r="D150" i="9"/>
  <c r="D148" i="9"/>
  <c r="D147" i="9"/>
  <c r="D146" i="9"/>
  <c r="D144" i="9"/>
  <c r="D143" i="9"/>
  <c r="D142" i="9"/>
  <c r="D141" i="9"/>
  <c r="D139" i="9"/>
  <c r="D138" i="9"/>
  <c r="D136" i="9"/>
  <c r="D135" i="9"/>
  <c r="D134" i="9"/>
  <c r="D132" i="9"/>
  <c r="D131" i="9"/>
  <c r="D129" i="9"/>
  <c r="D86" i="9"/>
  <c r="D85" i="9"/>
  <c r="D84" i="9"/>
  <c r="D82" i="9"/>
  <c r="D81" i="9"/>
  <c r="D80" i="9"/>
  <c r="D79" i="9"/>
  <c r="D78" i="9"/>
  <c r="D76" i="9"/>
  <c r="D75" i="9"/>
  <c r="D74" i="9"/>
  <c r="D73" i="9"/>
  <c r="D72" i="9"/>
  <c r="D70" i="9"/>
  <c r="D69" i="9"/>
  <c r="D68" i="9"/>
  <c r="D67" i="9"/>
  <c r="D65" i="9"/>
  <c r="D64" i="9"/>
  <c r="D63" i="9"/>
  <c r="D62" i="9"/>
  <c r="D61" i="9"/>
  <c r="D59" i="9"/>
  <c r="D58" i="9"/>
  <c r="D57" i="9"/>
  <c r="D55" i="9"/>
  <c r="D54" i="9"/>
  <c r="D53" i="9"/>
  <c r="D52" i="9"/>
  <c r="D50" i="9"/>
  <c r="D49" i="9"/>
  <c r="D48" i="9"/>
  <c r="D47" i="9"/>
  <c r="D46" i="9"/>
  <c r="D44" i="9"/>
  <c r="D43" i="9"/>
  <c r="D42" i="9"/>
  <c r="D41" i="9"/>
  <c r="D40" i="9"/>
  <c r="D38" i="9"/>
  <c r="D37" i="9"/>
  <c r="D36" i="9"/>
  <c r="D35" i="9"/>
  <c r="D34" i="9"/>
  <c r="D33" i="9"/>
  <c r="D31" i="9"/>
  <c r="D30" i="9"/>
  <c r="D29" i="9"/>
  <c r="D28" i="9"/>
  <c r="D27" i="9"/>
  <c r="D25" i="9"/>
  <c r="D24" i="9"/>
  <c r="D23" i="9"/>
  <c r="D22" i="9"/>
  <c r="D21" i="9"/>
  <c r="D20" i="9"/>
  <c r="D18" i="9"/>
  <c r="D17" i="9"/>
  <c r="D16" i="9"/>
  <c r="D15" i="9"/>
  <c r="D14" i="9"/>
  <c r="D12" i="9"/>
  <c r="D11" i="9"/>
  <c r="D10" i="9"/>
  <c r="D9" i="9"/>
  <c r="D7" i="9"/>
  <c r="D6" i="9"/>
  <c r="D5" i="9"/>
  <c r="D4" i="9"/>
  <c r="D230" i="10"/>
  <c r="D229" i="10"/>
  <c r="D228" i="10"/>
  <c r="D227" i="10"/>
  <c r="D226" i="10"/>
  <c r="D225" i="10"/>
  <c r="D223" i="10"/>
  <c r="D222" i="10"/>
  <c r="D221" i="10"/>
  <c r="D220" i="10"/>
  <c r="D219" i="10"/>
  <c r="D218" i="10"/>
  <c r="D216" i="10"/>
  <c r="D215" i="10"/>
  <c r="D214" i="10"/>
  <c r="D213" i="10"/>
  <c r="D211" i="10"/>
  <c r="D210" i="10"/>
  <c r="D209" i="10"/>
  <c r="D208" i="10"/>
  <c r="D207" i="10"/>
  <c r="D205" i="10"/>
  <c r="D204" i="10"/>
  <c r="D203" i="10"/>
  <c r="D201" i="10"/>
  <c r="D200" i="10"/>
  <c r="D199" i="10"/>
  <c r="D198" i="10"/>
  <c r="D197" i="10"/>
  <c r="D195" i="10"/>
  <c r="D194" i="10"/>
  <c r="D193" i="10"/>
  <c r="D192" i="10"/>
  <c r="D191" i="10"/>
  <c r="D189" i="10"/>
  <c r="D188" i="10"/>
  <c r="D187" i="10"/>
  <c r="D185" i="10"/>
  <c r="D184" i="10"/>
  <c r="D183" i="10"/>
  <c r="D181" i="10"/>
  <c r="D180" i="10"/>
  <c r="D179" i="10"/>
  <c r="D178" i="10"/>
  <c r="D176" i="10"/>
  <c r="D175" i="10"/>
  <c r="D174" i="10"/>
  <c r="D172" i="10"/>
  <c r="D171" i="10"/>
  <c r="D170" i="10"/>
  <c r="D169" i="10"/>
  <c r="D167" i="10"/>
  <c r="D166" i="10"/>
  <c r="D164" i="10"/>
  <c r="D163" i="10"/>
  <c r="D162" i="10"/>
  <c r="D160" i="10"/>
  <c r="D159" i="10"/>
  <c r="D157" i="10"/>
  <c r="D105" i="10"/>
  <c r="D104" i="10"/>
  <c r="D103" i="10"/>
  <c r="D102" i="10"/>
  <c r="D101" i="10"/>
  <c r="D100" i="10"/>
  <c r="D98" i="10"/>
  <c r="D97" i="10"/>
  <c r="D96" i="10"/>
  <c r="D95" i="10"/>
  <c r="D93" i="10"/>
  <c r="D92" i="10"/>
  <c r="D91" i="10"/>
  <c r="D89" i="10"/>
  <c r="D88" i="10"/>
  <c r="D87" i="10"/>
  <c r="D86" i="10"/>
  <c r="D85" i="10"/>
  <c r="D83" i="10"/>
  <c r="D82" i="10"/>
  <c r="D81" i="10"/>
  <c r="D80" i="10"/>
  <c r="D78" i="10"/>
  <c r="D77" i="10"/>
  <c r="D76" i="10"/>
  <c r="D75" i="10"/>
  <c r="D74" i="10"/>
  <c r="D72" i="10"/>
  <c r="D71" i="10"/>
  <c r="D70" i="10"/>
  <c r="D68" i="10"/>
  <c r="D67" i="10"/>
  <c r="D66" i="10"/>
  <c r="D65" i="10"/>
  <c r="D63" i="10"/>
  <c r="D62" i="10"/>
  <c r="D61" i="10"/>
  <c r="D60" i="10"/>
  <c r="D58" i="10"/>
  <c r="D57" i="10"/>
  <c r="D56" i="10"/>
  <c r="D55" i="10"/>
  <c r="D54" i="10"/>
  <c r="D52" i="10"/>
  <c r="D51" i="10"/>
  <c r="D50" i="10"/>
  <c r="D49" i="10"/>
  <c r="D48" i="10"/>
  <c r="D47" i="10"/>
  <c r="D46" i="10"/>
  <c r="D44" i="10"/>
  <c r="D43" i="10"/>
  <c r="D42" i="10"/>
  <c r="D41" i="10"/>
  <c r="D40" i="10"/>
  <c r="D39" i="10"/>
  <c r="D38" i="10"/>
  <c r="D36" i="10"/>
  <c r="D35" i="10"/>
  <c r="D34" i="10"/>
  <c r="D33" i="10"/>
  <c r="D32" i="10"/>
  <c r="D30" i="10"/>
  <c r="D29" i="10"/>
  <c r="D28" i="10"/>
  <c r="D27" i="10"/>
  <c r="D26" i="10"/>
  <c r="D25" i="10"/>
  <c r="D23" i="10"/>
  <c r="D22" i="10"/>
  <c r="D21" i="10"/>
  <c r="D20" i="10"/>
  <c r="D19" i="10"/>
  <c r="D17" i="10"/>
  <c r="D16" i="10"/>
  <c r="D15" i="10"/>
  <c r="D14" i="10"/>
  <c r="D12" i="10"/>
  <c r="D11" i="10"/>
  <c r="D10" i="10"/>
  <c r="D9" i="10"/>
  <c r="D7" i="10"/>
  <c r="D6" i="10"/>
  <c r="D5" i="10"/>
  <c r="D4" i="10"/>
  <c r="D106" i="10"/>
  <c r="D128" i="8"/>
  <c r="D127" i="8"/>
  <c r="D126" i="8"/>
  <c r="D125" i="8"/>
  <c r="D124" i="8"/>
  <c r="D123" i="8"/>
  <c r="D121" i="8"/>
  <c r="D120" i="8"/>
  <c r="D119" i="8"/>
  <c r="D118" i="8"/>
  <c r="D116" i="8"/>
  <c r="D115" i="8"/>
  <c r="D114" i="8"/>
  <c r="D112" i="8"/>
  <c r="D111" i="8"/>
  <c r="D110" i="8"/>
  <c r="D108" i="8"/>
  <c r="D107" i="8"/>
  <c r="D106" i="8"/>
  <c r="D105" i="8"/>
  <c r="D103" i="8"/>
  <c r="D102" i="8"/>
  <c r="D101" i="8"/>
  <c r="D99" i="8"/>
  <c r="D98" i="8"/>
  <c r="D96" i="8"/>
  <c r="D95" i="8"/>
  <c r="D94" i="8"/>
  <c r="D93" i="8"/>
  <c r="D91" i="8"/>
  <c r="D90" i="8"/>
  <c r="D87" i="8"/>
  <c r="D86" i="8"/>
  <c r="D85" i="8"/>
  <c r="D84" i="8"/>
  <c r="D82" i="8"/>
  <c r="D81" i="8"/>
  <c r="D80" i="8"/>
  <c r="D78" i="8"/>
  <c r="D77" i="8"/>
  <c r="D76" i="8"/>
  <c r="D75" i="8"/>
  <c r="D74" i="8"/>
  <c r="D72" i="8"/>
  <c r="D71" i="8"/>
  <c r="D70" i="8"/>
  <c r="D69" i="8"/>
  <c r="D67" i="8"/>
  <c r="D66" i="8"/>
  <c r="D65" i="8"/>
  <c r="D64" i="8"/>
  <c r="D62" i="8"/>
  <c r="D61" i="8"/>
  <c r="D60" i="8"/>
  <c r="D59" i="8"/>
  <c r="D58" i="8"/>
  <c r="D56" i="8"/>
  <c r="D55" i="8"/>
  <c r="D54" i="8"/>
  <c r="D52" i="8"/>
  <c r="D51" i="8"/>
  <c r="D50" i="8"/>
  <c r="D49" i="8"/>
  <c r="D47" i="8"/>
  <c r="D46" i="8"/>
  <c r="D45" i="8"/>
  <c r="D44" i="8"/>
  <c r="D43" i="8"/>
  <c r="D41" i="8"/>
  <c r="D40" i="8"/>
  <c r="D39" i="8"/>
  <c r="D38" i="8"/>
  <c r="D37" i="8"/>
  <c r="D36" i="8"/>
  <c r="D35" i="8"/>
  <c r="D34" i="8"/>
  <c r="D33" i="8"/>
  <c r="D31" i="8"/>
  <c r="D30" i="8"/>
  <c r="D29" i="8"/>
  <c r="D28" i="8"/>
  <c r="D27" i="8"/>
  <c r="D26" i="8"/>
  <c r="D24" i="8"/>
  <c r="D23" i="8"/>
  <c r="D22" i="8"/>
  <c r="D21" i="8"/>
  <c r="D19" i="8"/>
  <c r="D18" i="8"/>
  <c r="D17" i="8"/>
  <c r="D16" i="8"/>
  <c r="D15" i="8"/>
  <c r="D13" i="8"/>
  <c r="D12" i="8"/>
  <c r="D11" i="8"/>
  <c r="D10" i="8"/>
  <c r="D9" i="8"/>
  <c r="D7" i="8"/>
  <c r="D6" i="8"/>
  <c r="D5" i="8"/>
  <c r="D4" i="8"/>
  <c r="D239" i="25" l="1"/>
  <c r="G239" i="25" s="1"/>
  <c r="C239" i="25"/>
  <c r="A239" i="25"/>
  <c r="B239" i="25"/>
  <c r="G120" i="15" l="1"/>
  <c r="A294" i="23" l="1"/>
  <c r="B294" i="23"/>
  <c r="C294" i="23"/>
  <c r="C295" i="23"/>
  <c r="C296" i="23"/>
  <c r="C297" i="23"/>
  <c r="C298" i="23"/>
  <c r="G294" i="23"/>
  <c r="C211" i="48"/>
  <c r="D142" i="15"/>
  <c r="F142" i="15" s="1"/>
  <c r="D180" i="14"/>
  <c r="F180" i="14" s="1"/>
  <c r="B211" i="48" l="1"/>
  <c r="C142" i="15"/>
  <c r="C180" i="14"/>
  <c r="G260" i="18"/>
  <c r="F58" i="8"/>
  <c r="C58" i="8"/>
  <c r="A235" i="10" l="1"/>
  <c r="B235" i="10"/>
  <c r="C235" i="10"/>
  <c r="A231" i="10"/>
  <c r="B231" i="10"/>
  <c r="A53" i="10"/>
  <c r="B53" i="10"/>
  <c r="C53" i="10"/>
  <c r="B57" i="8"/>
  <c r="A57" i="8"/>
  <c r="C57" i="8"/>
  <c r="B48" i="13"/>
  <c r="A48" i="13"/>
  <c r="A70" i="11"/>
  <c r="A64" i="11"/>
  <c r="B64" i="11"/>
  <c r="F68" i="11"/>
  <c r="F67" i="11"/>
  <c r="F66" i="11"/>
  <c r="F65" i="11"/>
  <c r="C64" i="11"/>
  <c r="F49" i="26" l="1"/>
  <c r="D67" i="26" l="1"/>
  <c r="D66" i="26"/>
  <c r="D65" i="26"/>
  <c r="D64" i="26"/>
  <c r="D63" i="26"/>
  <c r="D61" i="26"/>
  <c r="D60" i="26"/>
  <c r="D59" i="26"/>
  <c r="D58" i="26"/>
  <c r="D161" i="14" l="1"/>
  <c r="F161" i="14" s="1"/>
  <c r="D160" i="14"/>
  <c r="F160" i="14" s="1"/>
  <c r="D159" i="14"/>
  <c r="F159" i="14" s="1"/>
  <c r="D158" i="14"/>
  <c r="F158" i="14" s="1"/>
  <c r="B157" i="14"/>
  <c r="A157" i="14"/>
  <c r="C161" i="14"/>
  <c r="C160" i="14"/>
  <c r="C159" i="14"/>
  <c r="C158" i="14"/>
  <c r="C157" i="14"/>
  <c r="G157" i="14" l="1"/>
  <c r="B136" i="24" l="1"/>
  <c r="B135" i="24"/>
  <c r="B134" i="24"/>
  <c r="B133" i="24"/>
  <c r="B132" i="24"/>
  <c r="B125" i="24"/>
  <c r="B118" i="24"/>
  <c r="B109" i="24"/>
  <c r="B102" i="24"/>
  <c r="B98" i="24"/>
  <c r="B93" i="24"/>
  <c r="B86" i="24"/>
  <c r="B79" i="24"/>
  <c r="B75" i="24"/>
  <c r="B71" i="24"/>
  <c r="B61" i="24"/>
  <c r="B65" i="24"/>
  <c r="B57" i="24"/>
  <c r="B53" i="24"/>
  <c r="B47" i="24"/>
  <c r="B42" i="24"/>
  <c r="B37" i="24"/>
  <c r="B31" i="24"/>
  <c r="B25" i="24"/>
  <c r="B17" i="24"/>
  <c r="B10" i="24"/>
  <c r="B3" i="24"/>
  <c r="F88" i="18"/>
  <c r="F87" i="18"/>
  <c r="F86" i="18"/>
  <c r="F85" i="18"/>
  <c r="F84" i="18"/>
  <c r="F83" i="18"/>
  <c r="C88" i="18"/>
  <c r="C87" i="18"/>
  <c r="C86" i="18"/>
  <c r="C85" i="18"/>
  <c r="C84" i="18"/>
  <c r="G82" i="18" l="1"/>
  <c r="F49" i="49" l="1"/>
  <c r="F48" i="49"/>
  <c r="F47" i="49"/>
  <c r="F46" i="49"/>
  <c r="F45" i="49"/>
  <c r="C49" i="49"/>
  <c r="C48" i="49"/>
  <c r="C47" i="49"/>
  <c r="C46" i="49"/>
  <c r="C45" i="49"/>
  <c r="B44" i="49"/>
  <c r="A44" i="49"/>
  <c r="C44" i="49"/>
  <c r="F70" i="20"/>
  <c r="F69" i="20"/>
  <c r="F68" i="20"/>
  <c r="F67" i="20"/>
  <c r="F66" i="20"/>
  <c r="B65" i="20"/>
  <c r="A65" i="20"/>
  <c r="G65" i="20" l="1"/>
  <c r="G44" i="49"/>
  <c r="A136" i="21" l="1"/>
  <c r="B136" i="21"/>
  <c r="C136" i="21"/>
  <c r="C137" i="21"/>
  <c r="F137" i="21"/>
  <c r="C138" i="21"/>
  <c r="F138" i="21"/>
  <c r="C139" i="21"/>
  <c r="F139" i="21"/>
  <c r="C140" i="21"/>
  <c r="F140" i="21"/>
  <c r="C141" i="21"/>
  <c r="F141" i="21"/>
  <c r="C142" i="21"/>
  <c r="F142" i="21"/>
  <c r="C143" i="21"/>
  <c r="F143" i="21"/>
  <c r="C144" i="21"/>
  <c r="F144" i="21"/>
  <c r="A145" i="21"/>
  <c r="B145" i="21"/>
  <c r="C145" i="21"/>
  <c r="C146" i="21"/>
  <c r="F146" i="21"/>
  <c r="C147" i="21"/>
  <c r="F147" i="21"/>
  <c r="A148" i="21"/>
  <c r="B148" i="21"/>
  <c r="C148" i="21"/>
  <c r="C149" i="21"/>
  <c r="F149" i="21"/>
  <c r="C150" i="21"/>
  <c r="A151" i="21"/>
  <c r="B151" i="21"/>
  <c r="C151" i="21"/>
  <c r="C152" i="21"/>
  <c r="F152" i="21"/>
  <c r="C153" i="21"/>
  <c r="F153" i="21"/>
  <c r="C154" i="21"/>
  <c r="F154" i="21"/>
  <c r="C155" i="21"/>
  <c r="F155" i="21"/>
  <c r="C156" i="21"/>
  <c r="F156" i="21"/>
  <c r="A90" i="21"/>
  <c r="B90" i="21"/>
  <c r="C90" i="21"/>
  <c r="C91" i="21"/>
  <c r="F91" i="21"/>
  <c r="C92" i="21"/>
  <c r="F92" i="21"/>
  <c r="C93" i="21"/>
  <c r="F93" i="21"/>
  <c r="C94" i="21"/>
  <c r="F94" i="21"/>
  <c r="C95" i="21"/>
  <c r="F95" i="21"/>
  <c r="C96" i="21"/>
  <c r="F96" i="21"/>
  <c r="G90" i="21" l="1"/>
  <c r="F150" i="21"/>
  <c r="G148" i="21"/>
  <c r="G151" i="21"/>
  <c r="G145" i="21"/>
  <c r="G136" i="21"/>
  <c r="G89" i="8" l="1"/>
  <c r="G123" i="15"/>
  <c r="G122" i="15"/>
  <c r="G121" i="15"/>
  <c r="F20" i="12" l="1"/>
  <c r="C20" i="12"/>
  <c r="F53" i="12"/>
  <c r="F52" i="12"/>
  <c r="F51" i="12"/>
  <c r="F50" i="12"/>
  <c r="F49" i="12"/>
  <c r="F48" i="12"/>
  <c r="C53" i="12"/>
  <c r="C52" i="12"/>
  <c r="C51" i="12"/>
  <c r="C50" i="12"/>
  <c r="C49" i="12"/>
  <c r="C48" i="12"/>
  <c r="C47" i="12"/>
  <c r="A47" i="12"/>
  <c r="B47" i="12"/>
  <c r="B105" i="12"/>
  <c r="A105" i="12"/>
  <c r="C105" i="12"/>
  <c r="C106" i="12"/>
  <c r="C107" i="12"/>
  <c r="C108" i="12"/>
  <c r="C109" i="12"/>
  <c r="G47" i="12" l="1"/>
  <c r="A73" i="10"/>
  <c r="B73" i="10"/>
  <c r="C73" i="10"/>
  <c r="C74" i="10"/>
  <c r="F74" i="10"/>
  <c r="C75" i="10"/>
  <c r="F75" i="10"/>
  <c r="C76" i="10"/>
  <c r="F76" i="10"/>
  <c r="C77" i="10"/>
  <c r="F77" i="10"/>
  <c r="C78" i="10"/>
  <c r="F78" i="10"/>
  <c r="D131" i="48"/>
  <c r="G131" i="48" s="1"/>
  <c r="D130" i="48"/>
  <c r="G130" i="48" s="1"/>
  <c r="D129" i="48"/>
  <c r="G129" i="48" s="1"/>
  <c r="G73" i="10" l="1"/>
  <c r="C24" i="8"/>
  <c r="C23" i="8"/>
  <c r="C22" i="8"/>
  <c r="C21" i="8"/>
  <c r="C20" i="8"/>
  <c r="A20" i="8"/>
  <c r="B20" i="8"/>
  <c r="D278" i="21"/>
  <c r="G278" i="21" s="1"/>
  <c r="B278" i="21"/>
  <c r="A278" i="21"/>
  <c r="C278" i="21"/>
  <c r="C289" i="23" l="1"/>
  <c r="D131" i="24" l="1"/>
  <c r="F131" i="24" s="1"/>
  <c r="D130" i="24"/>
  <c r="F130" i="24" s="1"/>
  <c r="D129" i="24"/>
  <c r="F129" i="24" s="1"/>
  <c r="D128" i="24"/>
  <c r="F128" i="24" s="1"/>
  <c r="D127" i="24"/>
  <c r="F127" i="24" s="1"/>
  <c r="D126" i="24"/>
  <c r="F126" i="24" s="1"/>
  <c r="D124" i="24"/>
  <c r="F124" i="24" s="1"/>
  <c r="D123" i="24"/>
  <c r="F123" i="24" s="1"/>
  <c r="D122" i="24"/>
  <c r="F122" i="24" s="1"/>
  <c r="D121" i="24"/>
  <c r="F121" i="24" s="1"/>
  <c r="D120" i="24"/>
  <c r="F120" i="24" s="1"/>
  <c r="D119" i="24"/>
  <c r="F119" i="24" s="1"/>
  <c r="A125" i="24"/>
  <c r="C131" i="24"/>
  <c r="C130" i="24"/>
  <c r="C129" i="24"/>
  <c r="C128" i="24"/>
  <c r="C127" i="24"/>
  <c r="C126" i="24"/>
  <c r="C125" i="24"/>
  <c r="C124" i="24"/>
  <c r="C123" i="24"/>
  <c r="C122" i="24"/>
  <c r="C121" i="24"/>
  <c r="C120" i="24"/>
  <c r="C119" i="24"/>
  <c r="C118" i="24"/>
  <c r="A118" i="24"/>
  <c r="D117" i="24"/>
  <c r="F117" i="24" s="1"/>
  <c r="C117" i="24"/>
  <c r="D116" i="24"/>
  <c r="F116" i="24" s="1"/>
  <c r="C116" i="24"/>
  <c r="D115" i="24"/>
  <c r="F115" i="24" s="1"/>
  <c r="C115" i="24"/>
  <c r="C114" i="24"/>
  <c r="A114" i="24"/>
  <c r="B114" i="24"/>
  <c r="C20" i="17"/>
  <c r="C19" i="17"/>
  <c r="C18" i="17"/>
  <c r="C17" i="17"/>
  <c r="C16" i="17"/>
  <c r="C15" i="17"/>
  <c r="C104" i="12"/>
  <c r="C103" i="12"/>
  <c r="C102" i="12"/>
  <c r="C101" i="12"/>
  <c r="C100" i="12"/>
  <c r="C99" i="12"/>
  <c r="C78" i="25"/>
  <c r="C77" i="25"/>
  <c r="C76" i="25"/>
  <c r="C75" i="25"/>
  <c r="C74" i="25"/>
  <c r="C73" i="25"/>
  <c r="C71" i="21"/>
  <c r="C70" i="21"/>
  <c r="C69" i="21"/>
  <c r="C68" i="21"/>
  <c r="C67" i="21"/>
  <c r="C66" i="21"/>
  <c r="C69" i="18"/>
  <c r="C68" i="18"/>
  <c r="C67" i="18"/>
  <c r="C66" i="18"/>
  <c r="C65" i="18"/>
  <c r="C64" i="18"/>
  <c r="C21" i="14"/>
  <c r="C20" i="14"/>
  <c r="C19" i="14"/>
  <c r="C18" i="14"/>
  <c r="C17" i="14"/>
  <c r="C16" i="14"/>
  <c r="C10" i="13"/>
  <c r="C9" i="13"/>
  <c r="C8" i="13"/>
  <c r="C7" i="13"/>
  <c r="C6" i="13"/>
  <c r="C5" i="13"/>
  <c r="C14" i="11"/>
  <c r="C13" i="11"/>
  <c r="C12" i="11"/>
  <c r="C11" i="11"/>
  <c r="C10" i="11"/>
  <c r="C9" i="11"/>
  <c r="C182" i="25"/>
  <c r="C181" i="25"/>
  <c r="C180" i="25"/>
  <c r="C179" i="25"/>
  <c r="C178" i="25"/>
  <c r="C177" i="25"/>
  <c r="C176" i="25"/>
  <c r="A176" i="25"/>
  <c r="B176" i="25"/>
  <c r="F148" i="22"/>
  <c r="F147" i="22"/>
  <c r="F146" i="22"/>
  <c r="F145" i="22"/>
  <c r="F144" i="22"/>
  <c r="F143" i="22"/>
  <c r="C148" i="22"/>
  <c r="C147" i="22"/>
  <c r="C146" i="22"/>
  <c r="C145" i="22"/>
  <c r="C144" i="22"/>
  <c r="C143" i="22"/>
  <c r="C142" i="22"/>
  <c r="A142" i="22"/>
  <c r="B142" i="22"/>
  <c r="C161" i="23"/>
  <c r="C160" i="23"/>
  <c r="C159" i="23"/>
  <c r="C158" i="23"/>
  <c r="C157" i="23"/>
  <c r="C156" i="23"/>
  <c r="C155" i="23"/>
  <c r="A155" i="23"/>
  <c r="B155" i="23"/>
  <c r="C123" i="14"/>
  <c r="C122" i="14"/>
  <c r="C121" i="14"/>
  <c r="C120" i="14"/>
  <c r="C119" i="14"/>
  <c r="C118" i="14"/>
  <c r="C117" i="14"/>
  <c r="A117" i="14"/>
  <c r="B117" i="14"/>
  <c r="C111" i="13"/>
  <c r="C110" i="13"/>
  <c r="C109" i="13"/>
  <c r="C108" i="13"/>
  <c r="C107" i="13"/>
  <c r="C106" i="13"/>
  <c r="C105" i="13"/>
  <c r="A105" i="13"/>
  <c r="B105" i="13"/>
  <c r="F107" i="11"/>
  <c r="F106" i="11"/>
  <c r="F105" i="11"/>
  <c r="F104" i="11"/>
  <c r="F103" i="11"/>
  <c r="C108" i="11"/>
  <c r="C107" i="11"/>
  <c r="C106" i="11"/>
  <c r="C105" i="11"/>
  <c r="C104" i="11"/>
  <c r="C103" i="11"/>
  <c r="C102" i="11"/>
  <c r="B102" i="11"/>
  <c r="A102" i="11"/>
  <c r="G125" i="24" l="1"/>
  <c r="G118" i="24"/>
  <c r="G114" i="24"/>
  <c r="G142" i="22"/>
  <c r="G102" i="11"/>
  <c r="D87" i="9"/>
  <c r="G87" i="9" s="1"/>
  <c r="D241" i="10"/>
  <c r="G241" i="10" s="1"/>
  <c r="G106" i="10"/>
  <c r="D136" i="24"/>
  <c r="D135" i="24"/>
  <c r="D134" i="24"/>
  <c r="D133" i="24"/>
  <c r="D132" i="24"/>
  <c r="D238" i="25"/>
  <c r="D237" i="25"/>
  <c r="D236" i="25"/>
  <c r="D235" i="25"/>
  <c r="D233" i="25"/>
  <c r="D232" i="25"/>
  <c r="D231" i="25"/>
  <c r="D230" i="25"/>
  <c r="D229" i="25"/>
  <c r="D227" i="25"/>
  <c r="D226" i="25"/>
  <c r="D225" i="25"/>
  <c r="D224" i="25"/>
  <c r="D222" i="25"/>
  <c r="D221" i="25"/>
  <c r="D220" i="25"/>
  <c r="D219" i="25"/>
  <c r="D218" i="25"/>
  <c r="D216" i="25"/>
  <c r="D215" i="25"/>
  <c r="D214" i="25"/>
  <c r="D213" i="25"/>
  <c r="D212" i="25"/>
  <c r="D210" i="25"/>
  <c r="D209" i="25"/>
  <c r="D208" i="25"/>
  <c r="D207" i="25"/>
  <c r="D206" i="25"/>
  <c r="D205" i="25"/>
  <c r="D91" i="27"/>
  <c r="D90" i="27"/>
  <c r="D89" i="27"/>
  <c r="D88" i="27"/>
  <c r="D87" i="27"/>
  <c r="D86" i="27"/>
  <c r="D85" i="27"/>
  <c r="D83" i="27"/>
  <c r="D82" i="27"/>
  <c r="D81" i="27"/>
  <c r="D80" i="27"/>
  <c r="D78" i="27"/>
  <c r="D77" i="27"/>
  <c r="D76" i="27"/>
  <c r="D75" i="27"/>
  <c r="D73" i="27"/>
  <c r="D72" i="27"/>
  <c r="D71" i="27"/>
  <c r="D70" i="27"/>
  <c r="D69" i="27"/>
  <c r="D68" i="27"/>
  <c r="D66" i="27"/>
  <c r="D65" i="27"/>
  <c r="D64" i="27"/>
  <c r="D63" i="27"/>
  <c r="D125" i="22"/>
  <c r="D124" i="22"/>
  <c r="D123" i="22"/>
  <c r="D122" i="22"/>
  <c r="D121" i="22"/>
  <c r="D120" i="22"/>
  <c r="D118" i="22"/>
  <c r="D117" i="22"/>
  <c r="D116" i="22"/>
  <c r="D115" i="22"/>
  <c r="D114" i="22"/>
  <c r="D112" i="22"/>
  <c r="D111" i="22"/>
  <c r="D110" i="22"/>
  <c r="D109" i="22"/>
  <c r="D108" i="22"/>
  <c r="D107" i="22"/>
  <c r="D105" i="22"/>
  <c r="D104" i="22"/>
  <c r="D103" i="22"/>
  <c r="D102" i="22"/>
  <c r="D101" i="22"/>
  <c r="D100" i="22"/>
  <c r="D99" i="22"/>
  <c r="D175" i="23"/>
  <c r="D174" i="23"/>
  <c r="D275" i="23"/>
  <c r="D274" i="23"/>
  <c r="D273" i="23"/>
  <c r="D272" i="23"/>
  <c r="D271" i="23"/>
  <c r="D269" i="23"/>
  <c r="D268" i="23"/>
  <c r="D267" i="23"/>
  <c r="D266" i="23"/>
  <c r="D265" i="23"/>
  <c r="D264" i="23"/>
  <c r="D262" i="23"/>
  <c r="D261" i="23"/>
  <c r="D260" i="23"/>
  <c r="D259" i="23"/>
  <c r="D257" i="23"/>
  <c r="D256" i="23"/>
  <c r="D255" i="23"/>
  <c r="D253" i="23"/>
  <c r="D252" i="23"/>
  <c r="D251" i="23"/>
  <c r="D250" i="23"/>
  <c r="D249" i="23"/>
  <c r="D247" i="23"/>
  <c r="D246" i="23"/>
  <c r="D245" i="23"/>
  <c r="D244" i="23"/>
  <c r="D243" i="23"/>
  <c r="D242" i="23"/>
  <c r="D240" i="23"/>
  <c r="D239" i="23"/>
  <c r="D238" i="23"/>
  <c r="D237" i="23"/>
  <c r="D236" i="23"/>
  <c r="D235" i="23"/>
  <c r="D233" i="23"/>
  <c r="D232" i="23"/>
  <c r="D231" i="23"/>
  <c r="D230" i="23"/>
  <c r="D228" i="23"/>
  <c r="D227" i="23"/>
  <c r="D226" i="23"/>
  <c r="D225" i="23"/>
  <c r="D224" i="23"/>
  <c r="D223" i="23"/>
  <c r="D222" i="23"/>
  <c r="D221" i="23"/>
  <c r="D220" i="23"/>
  <c r="D219" i="23"/>
  <c r="D217" i="23"/>
  <c r="D216" i="23"/>
  <c r="D215" i="23"/>
  <c r="D214" i="23"/>
  <c r="D213" i="23"/>
  <c r="D211" i="23"/>
  <c r="D210" i="23"/>
  <c r="D209" i="23"/>
  <c r="D207" i="23"/>
  <c r="D206" i="23"/>
  <c r="D205" i="23"/>
  <c r="D204" i="23"/>
  <c r="D203" i="23"/>
  <c r="D201" i="23"/>
  <c r="D200" i="23"/>
  <c r="D199" i="23"/>
  <c r="D198" i="23"/>
  <c r="D197" i="23"/>
  <c r="D196" i="23"/>
  <c r="D194" i="23"/>
  <c r="D193" i="23"/>
  <c r="D192" i="23"/>
  <c r="D191" i="23"/>
  <c r="D190" i="23"/>
  <c r="D189" i="23"/>
  <c r="D188" i="23"/>
  <c r="D186" i="23"/>
  <c r="D185" i="23"/>
  <c r="D184" i="23"/>
  <c r="D183" i="23"/>
  <c r="D182" i="23"/>
  <c r="D180" i="23"/>
  <c r="D179" i="23"/>
  <c r="D178" i="23"/>
  <c r="D277" i="21"/>
  <c r="D276" i="21"/>
  <c r="D275" i="21"/>
  <c r="D274" i="21"/>
  <c r="D273" i="21"/>
  <c r="D272" i="21"/>
  <c r="D270" i="21"/>
  <c r="D269" i="21"/>
  <c r="D268" i="21"/>
  <c r="D267" i="21"/>
  <c r="D266" i="21"/>
  <c r="D265" i="21"/>
  <c r="D263" i="21"/>
  <c r="D262" i="21"/>
  <c r="D261" i="21"/>
  <c r="D260" i="21"/>
  <c r="D259" i="21"/>
  <c r="D258" i="21"/>
  <c r="D256" i="21"/>
  <c r="D255" i="21"/>
  <c r="D254" i="21"/>
  <c r="D252" i="21"/>
  <c r="D251" i="21"/>
  <c r="D250" i="21"/>
  <c r="D249" i="21"/>
  <c r="D248" i="21"/>
  <c r="D247" i="21"/>
  <c r="D246" i="21"/>
  <c r="D245" i="21"/>
  <c r="D244" i="21"/>
  <c r="D243" i="21"/>
  <c r="D241" i="21"/>
  <c r="D240" i="21"/>
  <c r="D239" i="21"/>
  <c r="D238" i="21"/>
  <c r="D237" i="21"/>
  <c r="D235" i="21"/>
  <c r="D234" i="21"/>
  <c r="D233" i="21"/>
  <c r="D232" i="21"/>
  <c r="D231" i="21"/>
  <c r="D229" i="21"/>
  <c r="D228" i="21"/>
  <c r="D227" i="21"/>
  <c r="D226" i="21"/>
  <c r="D225" i="21"/>
  <c r="D224" i="21"/>
  <c r="D222" i="21"/>
  <c r="D221" i="21"/>
  <c r="D220" i="21"/>
  <c r="D219" i="21"/>
  <c r="D218" i="21"/>
  <c r="D217" i="21"/>
  <c r="D215" i="21"/>
  <c r="D214" i="21"/>
  <c r="D213" i="21"/>
  <c r="D212" i="21"/>
  <c r="D211" i="21"/>
  <c r="D210" i="21"/>
  <c r="D209" i="21"/>
  <c r="D207" i="21"/>
  <c r="D206" i="21"/>
  <c r="D205" i="21"/>
  <c r="D204" i="21"/>
  <c r="D203" i="21"/>
  <c r="D241" i="49"/>
  <c r="D240" i="49"/>
  <c r="D239" i="49"/>
  <c r="D238" i="49"/>
  <c r="D236" i="49"/>
  <c r="D235" i="49"/>
  <c r="D234" i="49"/>
  <c r="D233" i="49"/>
  <c r="D232" i="49"/>
  <c r="D231" i="49"/>
  <c r="D229" i="49"/>
  <c r="D228" i="49"/>
  <c r="D227" i="49"/>
  <c r="D225" i="49"/>
  <c r="D224" i="49"/>
  <c r="D223" i="49"/>
  <c r="D222" i="49"/>
  <c r="D221" i="49"/>
  <c r="D220" i="49"/>
  <c r="D219" i="49"/>
  <c r="D218" i="49"/>
  <c r="D217" i="49"/>
  <c r="D216" i="49"/>
  <c r="D214" i="49"/>
  <c r="D213" i="49"/>
  <c r="D212" i="49"/>
  <c r="D211" i="49"/>
  <c r="D210" i="49"/>
  <c r="D208" i="49"/>
  <c r="D207" i="49"/>
  <c r="D206" i="49"/>
  <c r="D205" i="49"/>
  <c r="D203" i="49"/>
  <c r="D202" i="49"/>
  <c r="D201" i="49"/>
  <c r="D200" i="49"/>
  <c r="D199" i="49"/>
  <c r="D198" i="49"/>
  <c r="D196" i="49"/>
  <c r="D195" i="49"/>
  <c r="D194" i="49"/>
  <c r="D193" i="49"/>
  <c r="D192" i="49"/>
  <c r="D190" i="49"/>
  <c r="D189" i="49"/>
  <c r="D188" i="49"/>
  <c r="D187" i="49"/>
  <c r="D186" i="49"/>
  <c r="D185" i="49"/>
  <c r="D183" i="49"/>
  <c r="D182" i="49"/>
  <c r="D181" i="49"/>
  <c r="D180" i="49"/>
  <c r="D179" i="49"/>
  <c r="D178" i="49"/>
  <c r="D177" i="49"/>
  <c r="G37" i="49"/>
  <c r="G227" i="20"/>
  <c r="G50" i="20"/>
  <c r="D27" i="20"/>
  <c r="D26" i="20"/>
  <c r="D25" i="20"/>
  <c r="D24" i="20"/>
  <c r="D23" i="20"/>
  <c r="D22" i="20"/>
  <c r="D20" i="20"/>
  <c r="D19" i="20"/>
  <c r="D18" i="20"/>
  <c r="D16" i="20"/>
  <c r="D15" i="20"/>
  <c r="D14" i="20"/>
  <c r="D13" i="20"/>
  <c r="F13" i="20" s="1"/>
  <c r="D12" i="20"/>
  <c r="D11" i="20"/>
  <c r="D9" i="20"/>
  <c r="D8" i="20"/>
  <c r="D7" i="20"/>
  <c r="D6" i="20"/>
  <c r="D5" i="20"/>
  <c r="D4" i="20"/>
  <c r="G255" i="18"/>
  <c r="D95" i="17"/>
  <c r="D94" i="17"/>
  <c r="D93" i="17"/>
  <c r="G93" i="17" s="1"/>
  <c r="G3" i="17"/>
  <c r="G211" i="48"/>
  <c r="G210" i="48"/>
  <c r="D207" i="48"/>
  <c r="D206" i="48"/>
  <c r="D205" i="48"/>
  <c r="D204" i="48"/>
  <c r="D202" i="48"/>
  <c r="D201" i="48"/>
  <c r="D200" i="48"/>
  <c r="D199" i="48"/>
  <c r="D198" i="48"/>
  <c r="D197" i="48"/>
  <c r="D195" i="48"/>
  <c r="D194" i="48"/>
  <c r="D193" i="48"/>
  <c r="D192" i="48"/>
  <c r="D191" i="48"/>
  <c r="D190" i="48"/>
  <c r="D188" i="48"/>
  <c r="D187" i="48"/>
  <c r="D186" i="48"/>
  <c r="D184" i="48"/>
  <c r="D183" i="48"/>
  <c r="D182" i="48"/>
  <c r="D181" i="48"/>
  <c r="D180" i="48"/>
  <c r="D178" i="48"/>
  <c r="D177" i="48"/>
  <c r="D176" i="48"/>
  <c r="D175" i="48"/>
  <c r="D174" i="48"/>
  <c r="D172" i="48"/>
  <c r="D171" i="48"/>
  <c r="D170" i="48"/>
  <c r="D169" i="48"/>
  <c r="D168" i="48"/>
  <c r="D167" i="48"/>
  <c r="D165" i="48"/>
  <c r="D164" i="48"/>
  <c r="D163" i="48"/>
  <c r="D162" i="48"/>
  <c r="D161" i="48"/>
  <c r="D159" i="48"/>
  <c r="D158" i="48"/>
  <c r="D157" i="48"/>
  <c r="D156" i="48"/>
  <c r="D154" i="48"/>
  <c r="D153" i="48"/>
  <c r="D152" i="48"/>
  <c r="D151" i="48"/>
  <c r="D150" i="48"/>
  <c r="D149" i="48"/>
  <c r="D147" i="48"/>
  <c r="D146" i="48"/>
  <c r="D145" i="48"/>
  <c r="D144" i="48"/>
  <c r="D143" i="48"/>
  <c r="D142" i="48"/>
  <c r="D140" i="48"/>
  <c r="D139" i="48"/>
  <c r="D138" i="48"/>
  <c r="D137" i="48"/>
  <c r="D136" i="48"/>
  <c r="D135" i="48"/>
  <c r="D134" i="48"/>
  <c r="G194" i="15"/>
  <c r="D186" i="15"/>
  <c r="D185" i="15"/>
  <c r="D184" i="15"/>
  <c r="D183" i="15"/>
  <c r="D181" i="15"/>
  <c r="D180" i="15"/>
  <c r="D179" i="15"/>
  <c r="D178" i="15"/>
  <c r="D177" i="15"/>
  <c r="D175" i="15"/>
  <c r="D174" i="15"/>
  <c r="D173" i="15"/>
  <c r="D171" i="15"/>
  <c r="D170" i="15"/>
  <c r="D169" i="15"/>
  <c r="D167" i="15"/>
  <c r="D166" i="15"/>
  <c r="D165" i="15"/>
  <c r="D164" i="15"/>
  <c r="D163" i="15"/>
  <c r="D161" i="15"/>
  <c r="D160" i="15"/>
  <c r="D159" i="15"/>
  <c r="D157" i="15"/>
  <c r="D156" i="15"/>
  <c r="D155" i="15"/>
  <c r="D154" i="15"/>
  <c r="D153" i="15"/>
  <c r="D151" i="15"/>
  <c r="D150" i="15"/>
  <c r="D149" i="15"/>
  <c r="D148" i="15"/>
  <c r="D147" i="15"/>
  <c r="D145" i="15"/>
  <c r="D144" i="15"/>
  <c r="D143" i="15"/>
  <c r="D141" i="15"/>
  <c r="D140" i="15"/>
  <c r="D138" i="15"/>
  <c r="D137" i="15"/>
  <c r="D136" i="15"/>
  <c r="D135" i="15"/>
  <c r="D134" i="15"/>
  <c r="D132" i="15"/>
  <c r="D131" i="15"/>
  <c r="D130" i="15"/>
  <c r="D129" i="15"/>
  <c r="D128" i="15"/>
  <c r="D127" i="15"/>
  <c r="D126" i="15"/>
  <c r="D222" i="14"/>
  <c r="D221" i="14"/>
  <c r="D220" i="14"/>
  <c r="D219" i="14"/>
  <c r="D218" i="14"/>
  <c r="D216" i="14"/>
  <c r="D215" i="14"/>
  <c r="D214" i="14"/>
  <c r="D213" i="14"/>
  <c r="D212" i="14"/>
  <c r="D210" i="14"/>
  <c r="D209" i="14"/>
  <c r="D208" i="14"/>
  <c r="D207" i="14"/>
  <c r="D206" i="14"/>
  <c r="D204" i="14"/>
  <c r="D203" i="14"/>
  <c r="D202" i="14"/>
  <c r="D201" i="14"/>
  <c r="D200" i="14"/>
  <c r="D198" i="14"/>
  <c r="D197" i="14"/>
  <c r="D196" i="14"/>
  <c r="D195" i="14"/>
  <c r="D194" i="14"/>
  <c r="D192" i="14"/>
  <c r="D191" i="14"/>
  <c r="D190" i="14"/>
  <c r="D188" i="14"/>
  <c r="D187" i="14"/>
  <c r="D186" i="14"/>
  <c r="D185" i="14"/>
  <c r="D183" i="14"/>
  <c r="D182" i="14"/>
  <c r="D181" i="14"/>
  <c r="D179" i="14"/>
  <c r="D178" i="14"/>
  <c r="D176" i="14"/>
  <c r="D175" i="14"/>
  <c r="D174" i="14"/>
  <c r="D173" i="14"/>
  <c r="D172" i="14"/>
  <c r="D170" i="14"/>
  <c r="D169" i="14"/>
  <c r="D168" i="14"/>
  <c r="D166" i="14"/>
  <c r="D165" i="14"/>
  <c r="D164" i="14"/>
  <c r="D163" i="14"/>
  <c r="D156" i="14"/>
  <c r="D155" i="14"/>
  <c r="D154" i="14"/>
  <c r="D153" i="14"/>
  <c r="D152" i="14"/>
  <c r="D151" i="14"/>
  <c r="D149" i="14"/>
  <c r="D148" i="14"/>
  <c r="D147" i="14"/>
  <c r="D146" i="14"/>
  <c r="D145" i="14"/>
  <c r="D144" i="14"/>
  <c r="D142" i="14"/>
  <c r="D141" i="14"/>
  <c r="D140" i="14"/>
  <c r="D139" i="14"/>
  <c r="D138" i="14"/>
  <c r="D137" i="14"/>
  <c r="D136" i="14"/>
  <c r="D134" i="14"/>
  <c r="D133" i="14"/>
  <c r="D132" i="14"/>
  <c r="D131" i="14"/>
  <c r="D130" i="14"/>
  <c r="D128" i="14"/>
  <c r="D127" i="14"/>
  <c r="D126" i="14"/>
  <c r="D112" i="13"/>
  <c r="D109" i="11"/>
  <c r="G109" i="11" s="1"/>
  <c r="D163" i="11"/>
  <c r="D162" i="11"/>
  <c r="D161" i="11"/>
  <c r="D140" i="11"/>
  <c r="D139" i="11"/>
  <c r="D138" i="11"/>
  <c r="D137" i="11"/>
  <c r="D136" i="11"/>
  <c r="D134" i="11"/>
  <c r="D133" i="11"/>
  <c r="D132" i="11"/>
  <c r="D131" i="11"/>
  <c r="D130" i="11"/>
  <c r="D129" i="11"/>
  <c r="D127" i="11"/>
  <c r="D126" i="11"/>
  <c r="D125" i="11"/>
  <c r="D124" i="11"/>
  <c r="D123" i="11"/>
  <c r="D122" i="11"/>
  <c r="D120" i="11"/>
  <c r="D119" i="11"/>
  <c r="D118" i="11"/>
  <c r="D117" i="11"/>
  <c r="D116" i="11"/>
  <c r="D114" i="11"/>
  <c r="D113" i="11"/>
  <c r="D112" i="11"/>
  <c r="D234" i="10"/>
  <c r="D233" i="10"/>
  <c r="D232" i="10"/>
  <c r="D240" i="10"/>
  <c r="D239" i="10"/>
  <c r="D238" i="10"/>
  <c r="D237" i="10"/>
  <c r="D236" i="10"/>
  <c r="F201" i="10"/>
  <c r="G157" i="10"/>
  <c r="D154" i="10"/>
  <c r="D153" i="10"/>
  <c r="D152" i="10"/>
  <c r="D151" i="10"/>
  <c r="D149" i="10"/>
  <c r="D148" i="10"/>
  <c r="D147" i="10"/>
  <c r="D146" i="10"/>
  <c r="D145" i="10"/>
  <c r="D143" i="10"/>
  <c r="D142" i="10"/>
  <c r="D141" i="10"/>
  <c r="D139" i="10"/>
  <c r="D138" i="10"/>
  <c r="D137" i="10"/>
  <c r="D136" i="10"/>
  <c r="D135" i="10"/>
  <c r="D134" i="10"/>
  <c r="D132" i="10"/>
  <c r="D131" i="10"/>
  <c r="D130" i="10"/>
  <c r="D129" i="10"/>
  <c r="D128" i="10"/>
  <c r="D127" i="10"/>
  <c r="D125" i="10"/>
  <c r="D124" i="10"/>
  <c r="D123" i="10"/>
  <c r="D122" i="10"/>
  <c r="D121" i="10"/>
  <c r="D120" i="10"/>
  <c r="D119" i="10"/>
  <c r="D117" i="10"/>
  <c r="D116" i="10"/>
  <c r="D115" i="10"/>
  <c r="D114" i="10"/>
  <c r="D113" i="10"/>
  <c r="D111" i="10"/>
  <c r="D110" i="10"/>
  <c r="D109" i="10"/>
  <c r="D213" i="9"/>
  <c r="G213" i="9" s="1"/>
  <c r="D212" i="9"/>
  <c r="D211" i="9"/>
  <c r="D210" i="9"/>
  <c r="D209" i="9"/>
  <c r="D208" i="9"/>
  <c r="D206" i="9"/>
  <c r="D205" i="9"/>
  <c r="D204" i="9"/>
  <c r="G129" i="9"/>
  <c r="D126" i="9"/>
  <c r="D125" i="9"/>
  <c r="D124" i="9"/>
  <c r="D123" i="9"/>
  <c r="D122" i="9"/>
  <c r="D120" i="9"/>
  <c r="D119" i="9"/>
  <c r="D118" i="9"/>
  <c r="D116" i="9"/>
  <c r="D115" i="9"/>
  <c r="D114" i="9"/>
  <c r="D113" i="9"/>
  <c r="D112" i="9"/>
  <c r="D111" i="9"/>
  <c r="D109" i="9"/>
  <c r="D108" i="9"/>
  <c r="D107" i="9"/>
  <c r="D106" i="9"/>
  <c r="D105" i="9"/>
  <c r="D104" i="9"/>
  <c r="D102" i="9"/>
  <c r="D101" i="9"/>
  <c r="D100" i="9"/>
  <c r="D99" i="9"/>
  <c r="D98" i="9"/>
  <c r="D97" i="9"/>
  <c r="D96" i="9"/>
  <c r="D94" i="9"/>
  <c r="D93" i="9"/>
  <c r="D92" i="9"/>
  <c r="D91" i="9"/>
  <c r="D90" i="9"/>
  <c r="G64" i="12"/>
  <c r="G63" i="12"/>
  <c r="G62" i="12"/>
  <c r="D175" i="13"/>
  <c r="D174" i="13"/>
  <c r="D173" i="13"/>
  <c r="D172" i="13"/>
  <c r="D171" i="13"/>
  <c r="D170" i="13"/>
  <c r="D168" i="13"/>
  <c r="D167" i="13"/>
  <c r="D166" i="13"/>
  <c r="D165" i="13"/>
  <c r="D157" i="13"/>
  <c r="D156" i="13"/>
  <c r="D155" i="13"/>
  <c r="D154" i="13"/>
  <c r="D153" i="13"/>
  <c r="D151" i="13"/>
  <c r="D150" i="13"/>
  <c r="D149" i="13"/>
  <c r="D148" i="13"/>
  <c r="D147" i="13"/>
  <c r="D145" i="13"/>
  <c r="D144" i="13"/>
  <c r="D143" i="13"/>
  <c r="D142" i="13"/>
  <c r="D141" i="13"/>
  <c r="D140" i="13"/>
  <c r="D138" i="13"/>
  <c r="D137" i="13"/>
  <c r="D136" i="13"/>
  <c r="D135" i="13"/>
  <c r="D134" i="13"/>
  <c r="D133" i="13"/>
  <c r="D131" i="13"/>
  <c r="D130" i="13"/>
  <c r="D129" i="13"/>
  <c r="D128" i="13"/>
  <c r="D127" i="13"/>
  <c r="D126" i="13"/>
  <c r="D125" i="13"/>
  <c r="D123" i="13"/>
  <c r="D122" i="13"/>
  <c r="D121" i="13"/>
  <c r="D120" i="13"/>
  <c r="D119" i="13"/>
  <c r="D117" i="13"/>
  <c r="D116" i="13"/>
  <c r="D115" i="13"/>
  <c r="A106" i="10"/>
  <c r="B106" i="10"/>
  <c r="A87" i="9"/>
  <c r="B87" i="9"/>
  <c r="F8" i="12"/>
  <c r="F7" i="12"/>
  <c r="F6" i="12"/>
  <c r="F5" i="12"/>
  <c r="F4" i="12"/>
  <c r="C8" i="12"/>
  <c r="C7" i="12"/>
  <c r="C6" i="12"/>
  <c r="C5" i="12"/>
  <c r="C4" i="12"/>
  <c r="C3" i="12"/>
  <c r="B3" i="12"/>
  <c r="A3" i="12"/>
  <c r="G165" i="10" l="1"/>
  <c r="G16" i="48"/>
  <c r="G47" i="24"/>
  <c r="G3" i="15"/>
  <c r="G24" i="48"/>
  <c r="G54" i="18"/>
  <c r="G158" i="10"/>
  <c r="G137" i="9"/>
  <c r="G130" i="9"/>
  <c r="F173" i="9"/>
  <c r="G3" i="12"/>
  <c r="C13" i="8"/>
  <c r="C8" i="8"/>
  <c r="C9" i="8"/>
  <c r="F9" i="8"/>
  <c r="C10" i="8"/>
  <c r="F10" i="8"/>
  <c r="C11" i="8"/>
  <c r="F11" i="8"/>
  <c r="C12" i="8"/>
  <c r="F12" i="8"/>
  <c r="G8" i="8" l="1"/>
  <c r="F102" i="25"/>
  <c r="C104" i="25"/>
  <c r="C103" i="25"/>
  <c r="C102" i="25"/>
  <c r="C101" i="25"/>
  <c r="F9" i="14" l="1"/>
  <c r="C9" i="14"/>
  <c r="F8" i="14"/>
  <c r="C8" i="14"/>
  <c r="F7" i="14"/>
  <c r="C7" i="14"/>
  <c r="F6" i="14"/>
  <c r="C6" i="14"/>
  <c r="F5" i="14"/>
  <c r="C5" i="14"/>
  <c r="F4" i="14"/>
  <c r="C4" i="14"/>
  <c r="C3" i="14"/>
  <c r="A3" i="14"/>
  <c r="B3" i="14"/>
  <c r="C194" i="25"/>
  <c r="C193" i="25"/>
  <c r="C192" i="25"/>
  <c r="C191" i="25"/>
  <c r="C190" i="25"/>
  <c r="C189" i="25"/>
  <c r="C188" i="25"/>
  <c r="C187" i="25"/>
  <c r="C186" i="25"/>
  <c r="C185" i="25"/>
  <c r="C184" i="25"/>
  <c r="C183" i="25"/>
  <c r="B183" i="25"/>
  <c r="A45" i="10"/>
  <c r="C51" i="10"/>
  <c r="F50" i="10"/>
  <c r="C50" i="10"/>
  <c r="F49" i="10"/>
  <c r="C49" i="10"/>
  <c r="F48" i="10"/>
  <c r="C48" i="10"/>
  <c r="F47" i="10"/>
  <c r="C47" i="10"/>
  <c r="F46" i="10"/>
  <c r="C46" i="10"/>
  <c r="C45" i="10"/>
  <c r="B45" i="10"/>
  <c r="C80" i="48"/>
  <c r="B107" i="17"/>
  <c r="B97" i="17"/>
  <c r="F72" i="17"/>
  <c r="C72" i="17"/>
  <c r="C71" i="17"/>
  <c r="C70" i="17"/>
  <c r="A70" i="17"/>
  <c r="B70" i="17"/>
  <c r="B95" i="17"/>
  <c r="B94" i="17"/>
  <c r="B93" i="17"/>
  <c r="B89" i="17"/>
  <c r="B84" i="17"/>
  <c r="B78" i="17"/>
  <c r="B73" i="17"/>
  <c r="B69" i="17"/>
  <c r="B68" i="17"/>
  <c r="B62" i="17"/>
  <c r="B55" i="17"/>
  <c r="B49" i="17"/>
  <c r="B42" i="17"/>
  <c r="B38" i="17"/>
  <c r="B32" i="17"/>
  <c r="B27" i="17"/>
  <c r="B21" i="17"/>
  <c r="B9" i="17"/>
  <c r="B5" i="17"/>
  <c r="B3" i="17"/>
  <c r="A13" i="17"/>
  <c r="F20" i="17"/>
  <c r="F19" i="17"/>
  <c r="F18" i="17"/>
  <c r="F17" i="17"/>
  <c r="F16" i="17"/>
  <c r="F15" i="17"/>
  <c r="F14" i="17"/>
  <c r="C14" i="17"/>
  <c r="C13" i="17"/>
  <c r="B13" i="17"/>
  <c r="C3" i="13"/>
  <c r="B275" i="23"/>
  <c r="A275" i="23"/>
  <c r="F253" i="23"/>
  <c r="C253" i="23"/>
  <c r="F252" i="23"/>
  <c r="C252" i="23"/>
  <c r="F251" i="23"/>
  <c r="C251" i="23"/>
  <c r="F250" i="23"/>
  <c r="C250" i="23"/>
  <c r="F249" i="23"/>
  <c r="C249" i="23"/>
  <c r="C248" i="23"/>
  <c r="A248" i="23"/>
  <c r="B248" i="23"/>
  <c r="C144" i="49"/>
  <c r="F147" i="49"/>
  <c r="F146" i="49"/>
  <c r="F145" i="49"/>
  <c r="F144" i="49"/>
  <c r="C147" i="49"/>
  <c r="C146" i="49"/>
  <c r="C145" i="49"/>
  <c r="C143" i="49"/>
  <c r="A143" i="49"/>
  <c r="B143" i="49"/>
  <c r="A150" i="11"/>
  <c r="F155" i="11"/>
  <c r="F154" i="11"/>
  <c r="F153" i="11"/>
  <c r="F152" i="11"/>
  <c r="F151" i="11"/>
  <c r="C155" i="11"/>
  <c r="C154" i="11"/>
  <c r="C153" i="11"/>
  <c r="C152" i="11"/>
  <c r="C151" i="11"/>
  <c r="C150" i="11"/>
  <c r="B150" i="11"/>
  <c r="F163" i="11"/>
  <c r="F162" i="11"/>
  <c r="F161" i="11"/>
  <c r="C163" i="11"/>
  <c r="C162" i="11"/>
  <c r="C161" i="11"/>
  <c r="C160" i="11"/>
  <c r="A160" i="11"/>
  <c r="B160" i="11"/>
  <c r="F234" i="10"/>
  <c r="F233" i="10"/>
  <c r="F232" i="10"/>
  <c r="C234" i="10"/>
  <c r="C233" i="10"/>
  <c r="C232" i="10"/>
  <c r="C231" i="10"/>
  <c r="G44" i="10"/>
  <c r="C44" i="10"/>
  <c r="A44" i="10"/>
  <c r="B44" i="10"/>
  <c r="G90" i="23"/>
  <c r="C90" i="23"/>
  <c r="A90" i="23"/>
  <c r="B90" i="23"/>
  <c r="A85" i="21"/>
  <c r="F89" i="21"/>
  <c r="F88" i="21"/>
  <c r="F87" i="21"/>
  <c r="F86" i="21"/>
  <c r="C89" i="21"/>
  <c r="C88" i="21"/>
  <c r="C87" i="21"/>
  <c r="C86" i="21"/>
  <c r="C85" i="21"/>
  <c r="B85" i="21"/>
  <c r="F103" i="20"/>
  <c r="F102" i="20"/>
  <c r="F101" i="20"/>
  <c r="F100" i="20"/>
  <c r="A99" i="20"/>
  <c r="B99" i="20"/>
  <c r="A267" i="18"/>
  <c r="C108" i="17"/>
  <c r="F54" i="17"/>
  <c r="F53" i="17"/>
  <c r="F52" i="17"/>
  <c r="F51" i="17"/>
  <c r="F50" i="17"/>
  <c r="C54" i="17"/>
  <c r="C53" i="17"/>
  <c r="C52" i="17"/>
  <c r="C51" i="17"/>
  <c r="C50" i="17"/>
  <c r="F48" i="17"/>
  <c r="C48" i="17"/>
  <c r="F47" i="17"/>
  <c r="C47" i="17"/>
  <c r="A91" i="23"/>
  <c r="B91" i="23"/>
  <c r="C91" i="23"/>
  <c r="F35" i="15"/>
  <c r="C35" i="15"/>
  <c r="F34" i="15"/>
  <c r="C34" i="15"/>
  <c r="F34" i="14"/>
  <c r="C34" i="14"/>
  <c r="F33" i="14"/>
  <c r="C33" i="14"/>
  <c r="F30" i="10"/>
  <c r="C30" i="10"/>
  <c r="F29" i="10"/>
  <c r="C29" i="10"/>
  <c r="F25" i="9"/>
  <c r="F24" i="9"/>
  <c r="C25" i="9"/>
  <c r="C24" i="9"/>
  <c r="C23" i="9"/>
  <c r="C22" i="9"/>
  <c r="C21" i="9"/>
  <c r="C20" i="9"/>
  <c r="G311" i="23"/>
  <c r="C311" i="23"/>
  <c r="A311" i="23"/>
  <c r="B311" i="23"/>
  <c r="F240" i="10"/>
  <c r="F239" i="10"/>
  <c r="F238" i="10"/>
  <c r="F237" i="10"/>
  <c r="F236" i="10"/>
  <c r="C240" i="10"/>
  <c r="C239" i="10"/>
  <c r="C238" i="10"/>
  <c r="C237" i="10"/>
  <c r="C236" i="10"/>
  <c r="F212" i="9"/>
  <c r="F211" i="9"/>
  <c r="F210" i="9"/>
  <c r="F209" i="9"/>
  <c r="F208" i="9"/>
  <c r="C212" i="9"/>
  <c r="C211" i="9"/>
  <c r="C210" i="9"/>
  <c r="C209" i="9"/>
  <c r="C208" i="9"/>
  <c r="C207" i="9"/>
  <c r="A207" i="9"/>
  <c r="B207" i="9"/>
  <c r="A3" i="9"/>
  <c r="A8" i="9"/>
  <c r="A60" i="9"/>
  <c r="A45" i="9"/>
  <c r="A39" i="9"/>
  <c r="A13" i="9"/>
  <c r="A32" i="9"/>
  <c r="A51" i="9"/>
  <c r="A56" i="9"/>
  <c r="A26" i="9"/>
  <c r="A19" i="9"/>
  <c r="A71" i="9"/>
  <c r="A66" i="9"/>
  <c r="A77" i="9"/>
  <c r="A83" i="9"/>
  <c r="A42" i="24"/>
  <c r="C42" i="24"/>
  <c r="C43" i="24"/>
  <c r="F43" i="24"/>
  <c r="C44" i="24"/>
  <c r="F44" i="24"/>
  <c r="C45" i="24"/>
  <c r="F45" i="24"/>
  <c r="C46" i="24"/>
  <c r="F46" i="24"/>
  <c r="C119" i="18"/>
  <c r="F118" i="18"/>
  <c r="C118" i="18"/>
  <c r="C60" i="15"/>
  <c r="F59" i="15"/>
  <c r="C59" i="15"/>
  <c r="F135" i="25"/>
  <c r="C135" i="25"/>
  <c r="F134" i="25"/>
  <c r="C134" i="25"/>
  <c r="C133" i="25"/>
  <c r="C132" i="25"/>
  <c r="C131" i="25"/>
  <c r="C130" i="25"/>
  <c r="C136" i="22"/>
  <c r="F135" i="22"/>
  <c r="C135" i="22"/>
  <c r="C293" i="23"/>
  <c r="F292" i="23"/>
  <c r="C292" i="23"/>
  <c r="F233" i="20"/>
  <c r="F232" i="20"/>
  <c r="F266" i="18"/>
  <c r="C266" i="18"/>
  <c r="F265" i="18"/>
  <c r="C265" i="18"/>
  <c r="F101" i="17"/>
  <c r="C101" i="17"/>
  <c r="F100" i="17"/>
  <c r="C100" i="17"/>
  <c r="G68" i="17"/>
  <c r="F213" i="14"/>
  <c r="C213" i="14"/>
  <c r="G99" i="14"/>
  <c r="F133" i="23"/>
  <c r="F132" i="23"/>
  <c r="F131" i="23"/>
  <c r="F130" i="23"/>
  <c r="F129" i="23"/>
  <c r="F128" i="23"/>
  <c r="C133" i="23"/>
  <c r="C132" i="23"/>
  <c r="C131" i="23"/>
  <c r="C130" i="23"/>
  <c r="C129" i="23"/>
  <c r="C128" i="23"/>
  <c r="C127" i="23"/>
  <c r="A127" i="23"/>
  <c r="B127" i="23"/>
  <c r="C63" i="10"/>
  <c r="F62" i="10"/>
  <c r="C62" i="10"/>
  <c r="C136" i="18"/>
  <c r="F135" i="18"/>
  <c r="C135" i="18"/>
  <c r="G123" i="49"/>
  <c r="C24" i="48"/>
  <c r="F154" i="10"/>
  <c r="F153" i="10"/>
  <c r="F152" i="10"/>
  <c r="F151" i="10"/>
  <c r="C154" i="10"/>
  <c r="C153" i="10"/>
  <c r="C152" i="10"/>
  <c r="C151" i="10"/>
  <c r="C150" i="10"/>
  <c r="A150" i="10"/>
  <c r="B150" i="10"/>
  <c r="A48" i="8"/>
  <c r="B48" i="8"/>
  <c r="C48" i="8"/>
  <c r="C49" i="8"/>
  <c r="F49" i="8"/>
  <c r="C50" i="8"/>
  <c r="F50" i="8"/>
  <c r="C51" i="8"/>
  <c r="F51" i="8"/>
  <c r="C52" i="8"/>
  <c r="F52" i="8"/>
  <c r="G52" i="10"/>
  <c r="C200" i="25"/>
  <c r="C163" i="13"/>
  <c r="F162" i="13"/>
  <c r="C162" i="13"/>
  <c r="C216" i="14"/>
  <c r="F216" i="14"/>
  <c r="F241" i="21"/>
  <c r="F240" i="21"/>
  <c r="F239" i="21"/>
  <c r="F238" i="21"/>
  <c r="F237" i="21"/>
  <c r="C241" i="21"/>
  <c r="C240" i="21"/>
  <c r="C239" i="21"/>
  <c r="C238" i="21"/>
  <c r="C237" i="21"/>
  <c r="B236" i="21"/>
  <c r="A236" i="21"/>
  <c r="C236" i="21"/>
  <c r="F235" i="21"/>
  <c r="F234" i="21"/>
  <c r="F233" i="21"/>
  <c r="F232" i="21"/>
  <c r="F231" i="21"/>
  <c r="C235" i="21"/>
  <c r="C234" i="21"/>
  <c r="C233" i="21"/>
  <c r="C232" i="21"/>
  <c r="C231" i="21"/>
  <c r="C230" i="21"/>
  <c r="B230" i="21"/>
  <c r="A230" i="21"/>
  <c r="B226" i="20"/>
  <c r="A226" i="20"/>
  <c r="C261" i="18"/>
  <c r="C260" i="18"/>
  <c r="B260" i="18"/>
  <c r="A260" i="18"/>
  <c r="C210" i="48"/>
  <c r="C209" i="48"/>
  <c r="B209" i="48"/>
  <c r="A209" i="48"/>
  <c r="C194" i="15"/>
  <c r="C193" i="15"/>
  <c r="B193" i="15"/>
  <c r="A193" i="15"/>
  <c r="C157" i="10"/>
  <c r="C156" i="10"/>
  <c r="A156" i="10"/>
  <c r="B156" i="10"/>
  <c r="C129" i="9"/>
  <c r="C128" i="9"/>
  <c r="B128" i="9"/>
  <c r="A128" i="9"/>
  <c r="C62" i="12"/>
  <c r="C61" i="12"/>
  <c r="B61" i="12"/>
  <c r="A61" i="12"/>
  <c r="C90" i="8"/>
  <c r="A89" i="8"/>
  <c r="C89" i="8"/>
  <c r="B89" i="8"/>
  <c r="B169" i="13"/>
  <c r="F12" i="9"/>
  <c r="F11" i="9"/>
  <c r="F10" i="9"/>
  <c r="F9" i="9"/>
  <c r="C12" i="9"/>
  <c r="C11" i="9"/>
  <c r="C10" i="9"/>
  <c r="C9" i="9"/>
  <c r="C8" i="9"/>
  <c r="B8" i="9"/>
  <c r="C170" i="25"/>
  <c r="C169" i="25"/>
  <c r="C91" i="22"/>
  <c r="F90" i="22"/>
  <c r="C90" i="22"/>
  <c r="C183" i="21"/>
  <c r="F182" i="21"/>
  <c r="C182" i="21"/>
  <c r="C115" i="15"/>
  <c r="F114" i="15"/>
  <c r="C114" i="15"/>
  <c r="C111" i="14"/>
  <c r="F110" i="14"/>
  <c r="C110" i="14"/>
  <c r="C99" i="13"/>
  <c r="F98" i="13"/>
  <c r="C98" i="13"/>
  <c r="C92" i="11"/>
  <c r="F91" i="11"/>
  <c r="C91" i="11"/>
  <c r="C89" i="10"/>
  <c r="F88" i="10"/>
  <c r="C88" i="10"/>
  <c r="C82" i="9"/>
  <c r="F81" i="9"/>
  <c r="C81" i="9"/>
  <c r="F151" i="15"/>
  <c r="F150" i="15"/>
  <c r="F149" i="15"/>
  <c r="F148" i="15"/>
  <c r="F147" i="15"/>
  <c r="C151" i="15"/>
  <c r="C150" i="15"/>
  <c r="C149" i="15"/>
  <c r="C148" i="15"/>
  <c r="C147" i="15"/>
  <c r="F56" i="24"/>
  <c r="C56" i="24"/>
  <c r="F55" i="24"/>
  <c r="C55" i="24"/>
  <c r="F55" i="20"/>
  <c r="F54" i="20"/>
  <c r="F42" i="49"/>
  <c r="C42" i="49"/>
  <c r="F41" i="49"/>
  <c r="C41" i="49"/>
  <c r="F61" i="18"/>
  <c r="C61" i="18"/>
  <c r="F60" i="18"/>
  <c r="C60" i="18"/>
  <c r="F8" i="17"/>
  <c r="C8" i="17"/>
  <c r="F7" i="17"/>
  <c r="C7" i="17"/>
  <c r="F31" i="48"/>
  <c r="C31" i="48"/>
  <c r="C30" i="48"/>
  <c r="F23" i="48"/>
  <c r="C23" i="48"/>
  <c r="F22" i="48"/>
  <c r="C22" i="48"/>
  <c r="F9" i="15"/>
  <c r="C9" i="15"/>
  <c r="F8" i="15"/>
  <c r="C8" i="15"/>
  <c r="F172" i="10"/>
  <c r="F171" i="10"/>
  <c r="F170" i="10"/>
  <c r="F169" i="10"/>
  <c r="C172" i="10"/>
  <c r="C171" i="10"/>
  <c r="C170" i="10"/>
  <c r="C169" i="10"/>
  <c r="B168" i="10"/>
  <c r="A168" i="10"/>
  <c r="C168" i="10"/>
  <c r="F164" i="10"/>
  <c r="C164" i="10"/>
  <c r="F163" i="10"/>
  <c r="C163" i="10"/>
  <c r="F144" i="9"/>
  <c r="F143" i="9"/>
  <c r="F142" i="9"/>
  <c r="F141" i="9"/>
  <c r="C144" i="9"/>
  <c r="C143" i="9"/>
  <c r="C142" i="9"/>
  <c r="C141" i="9"/>
  <c r="B140" i="9"/>
  <c r="A140" i="9"/>
  <c r="C140" i="9"/>
  <c r="C139" i="9"/>
  <c r="F136" i="9"/>
  <c r="C136" i="9"/>
  <c r="F135" i="9"/>
  <c r="C135" i="9"/>
  <c r="F134" i="9"/>
  <c r="C91" i="8"/>
  <c r="G91" i="8"/>
  <c r="B91" i="8"/>
  <c r="A91" i="8"/>
  <c r="C93" i="8"/>
  <c r="C94" i="8"/>
  <c r="C95" i="8"/>
  <c r="C96" i="8"/>
  <c r="F93" i="8"/>
  <c r="F94" i="8"/>
  <c r="F95" i="8"/>
  <c r="F96" i="8"/>
  <c r="C41" i="27"/>
  <c r="C40" i="27"/>
  <c r="B62" i="27"/>
  <c r="A62" i="27"/>
  <c r="C66" i="27"/>
  <c r="C65" i="27"/>
  <c r="C64" i="27"/>
  <c r="C63" i="27"/>
  <c r="C62" i="27"/>
  <c r="F60" i="27"/>
  <c r="F59" i="27"/>
  <c r="F58" i="27"/>
  <c r="F57" i="27"/>
  <c r="F56" i="27"/>
  <c r="F55" i="27"/>
  <c r="C60" i="27"/>
  <c r="C59" i="27"/>
  <c r="C58" i="27"/>
  <c r="C57" i="27"/>
  <c r="C56" i="27"/>
  <c r="C55" i="27"/>
  <c r="B54" i="27"/>
  <c r="A54" i="27"/>
  <c r="C54" i="27"/>
  <c r="G91" i="27"/>
  <c r="G90" i="27"/>
  <c r="G89" i="27"/>
  <c r="G88" i="27"/>
  <c r="F87" i="27"/>
  <c r="F86" i="27"/>
  <c r="F85" i="27"/>
  <c r="F83" i="27"/>
  <c r="F82" i="27"/>
  <c r="F81" i="27"/>
  <c r="F80" i="27"/>
  <c r="F78" i="27"/>
  <c r="F77" i="27"/>
  <c r="F76" i="27"/>
  <c r="F75" i="27"/>
  <c r="F73" i="27"/>
  <c r="F72" i="27"/>
  <c r="F71" i="27"/>
  <c r="F70" i="27"/>
  <c r="F69" i="27"/>
  <c r="F68" i="27"/>
  <c r="B90" i="27"/>
  <c r="A90" i="27"/>
  <c r="B89" i="27"/>
  <c r="A89" i="27"/>
  <c r="B91" i="27"/>
  <c r="A91" i="27"/>
  <c r="B88" i="27"/>
  <c r="A88" i="27"/>
  <c r="B84" i="27"/>
  <c r="A84" i="27"/>
  <c r="B79" i="27"/>
  <c r="A79" i="27"/>
  <c r="B74" i="27"/>
  <c r="A74" i="27"/>
  <c r="C91" i="27"/>
  <c r="C90" i="27"/>
  <c r="C89" i="27"/>
  <c r="C88" i="27"/>
  <c r="C87" i="27"/>
  <c r="C86" i="27"/>
  <c r="C85" i="27"/>
  <c r="C84" i="27"/>
  <c r="C83" i="27"/>
  <c r="C82" i="27"/>
  <c r="C81" i="27"/>
  <c r="C80" i="27"/>
  <c r="C79" i="27"/>
  <c r="C78" i="27"/>
  <c r="C77" i="27"/>
  <c r="C76" i="27"/>
  <c r="C75" i="27"/>
  <c r="C74" i="27"/>
  <c r="C73" i="27"/>
  <c r="C72" i="27"/>
  <c r="C71" i="27"/>
  <c r="C70" i="27"/>
  <c r="C69" i="27"/>
  <c r="C68" i="27"/>
  <c r="C67" i="27"/>
  <c r="A67" i="27"/>
  <c r="B67" i="27"/>
  <c r="G32" i="27"/>
  <c r="G31" i="27"/>
  <c r="G30" i="27"/>
  <c r="G29" i="27"/>
  <c r="B29" i="27"/>
  <c r="A29" i="27"/>
  <c r="C29" i="27"/>
  <c r="C10" i="26"/>
  <c r="F156" i="18"/>
  <c r="C156" i="18"/>
  <c r="F155" i="18"/>
  <c r="C155" i="18"/>
  <c r="C158" i="18"/>
  <c r="C159" i="18"/>
  <c r="F159" i="18"/>
  <c r="F92" i="17"/>
  <c r="C92" i="17"/>
  <c r="F91" i="17"/>
  <c r="C91" i="17"/>
  <c r="F107" i="48"/>
  <c r="C107" i="48"/>
  <c r="F106" i="48"/>
  <c r="C106" i="48"/>
  <c r="F90" i="17"/>
  <c r="C90" i="17"/>
  <c r="C89" i="17"/>
  <c r="A89" i="17"/>
  <c r="F42" i="22"/>
  <c r="F41" i="22"/>
  <c r="F40" i="22"/>
  <c r="F39" i="22"/>
  <c r="F38" i="22"/>
  <c r="C42" i="22"/>
  <c r="C41" i="22"/>
  <c r="C40" i="22"/>
  <c r="C39" i="22"/>
  <c r="C38" i="22"/>
  <c r="C37" i="22"/>
  <c r="A37" i="22"/>
  <c r="B37" i="22"/>
  <c r="F120" i="21"/>
  <c r="F119" i="21"/>
  <c r="F118" i="21"/>
  <c r="F117" i="21"/>
  <c r="F116" i="21"/>
  <c r="C120" i="21"/>
  <c r="C119" i="21"/>
  <c r="C118" i="21"/>
  <c r="C117" i="21"/>
  <c r="C116" i="21"/>
  <c r="C115" i="21"/>
  <c r="A115" i="21"/>
  <c r="B115" i="21"/>
  <c r="C58" i="26"/>
  <c r="F53" i="23"/>
  <c r="C53" i="23"/>
  <c r="F52" i="23"/>
  <c r="C52" i="23"/>
  <c r="F155" i="49"/>
  <c r="F154" i="49"/>
  <c r="F153" i="49"/>
  <c r="F152" i="49"/>
  <c r="F151" i="49"/>
  <c r="F150" i="49"/>
  <c r="C155" i="49"/>
  <c r="C154" i="49"/>
  <c r="C153" i="49"/>
  <c r="C152" i="49"/>
  <c r="C151" i="49"/>
  <c r="C150" i="49"/>
  <c r="C149" i="49"/>
  <c r="A149" i="49"/>
  <c r="B149" i="49"/>
  <c r="A10" i="27"/>
  <c r="B10" i="27"/>
  <c r="C10" i="27"/>
  <c r="C11" i="27"/>
  <c r="F11" i="27"/>
  <c r="C12" i="27"/>
  <c r="F12" i="27"/>
  <c r="C13" i="27"/>
  <c r="F13" i="27"/>
  <c r="C14" i="27"/>
  <c r="A137" i="22"/>
  <c r="B137" i="22"/>
  <c r="C137" i="22"/>
  <c r="C138" i="22"/>
  <c r="F138" i="22"/>
  <c r="C139" i="22"/>
  <c r="F139" i="22"/>
  <c r="C140" i="22"/>
  <c r="F140" i="22"/>
  <c r="C141" i="22"/>
  <c r="A297" i="21"/>
  <c r="B297" i="21"/>
  <c r="C297" i="21"/>
  <c r="C298" i="21"/>
  <c r="F298" i="21"/>
  <c r="C299" i="21"/>
  <c r="F299" i="21"/>
  <c r="C300" i="21"/>
  <c r="F300" i="21"/>
  <c r="C301" i="21"/>
  <c r="A241" i="20"/>
  <c r="B241" i="20"/>
  <c r="F242" i="20"/>
  <c r="F243" i="20"/>
  <c r="F244" i="20"/>
  <c r="A250" i="49"/>
  <c r="B250" i="49"/>
  <c r="C250" i="49"/>
  <c r="C251" i="49"/>
  <c r="F251" i="49"/>
  <c r="C252" i="49"/>
  <c r="F252" i="49"/>
  <c r="C253" i="49"/>
  <c r="F253" i="49"/>
  <c r="C254" i="49"/>
  <c r="A274" i="18"/>
  <c r="B274" i="18"/>
  <c r="C274" i="18"/>
  <c r="C275" i="18"/>
  <c r="F275" i="18"/>
  <c r="C276" i="18"/>
  <c r="F276" i="18"/>
  <c r="C277" i="18"/>
  <c r="F277" i="18"/>
  <c r="C278" i="18"/>
  <c r="F105" i="17"/>
  <c r="F104" i="17"/>
  <c r="F103" i="17"/>
  <c r="C106" i="17"/>
  <c r="C105" i="17"/>
  <c r="C104" i="17"/>
  <c r="C103" i="17"/>
  <c r="C102" i="17"/>
  <c r="A102" i="17"/>
  <c r="B102" i="17"/>
  <c r="F215" i="48"/>
  <c r="F214" i="48"/>
  <c r="F213" i="48"/>
  <c r="C216" i="48"/>
  <c r="C215" i="48"/>
  <c r="C214" i="48"/>
  <c r="C213" i="48"/>
  <c r="C212" i="48"/>
  <c r="A212" i="48"/>
  <c r="B212" i="48"/>
  <c r="F202" i="15"/>
  <c r="F201" i="15"/>
  <c r="F200" i="15"/>
  <c r="C203" i="15"/>
  <c r="C202" i="15"/>
  <c r="C201" i="15"/>
  <c r="C200" i="15"/>
  <c r="C199" i="15"/>
  <c r="A199" i="15"/>
  <c r="B199" i="15"/>
  <c r="G137" i="18"/>
  <c r="G107" i="17"/>
  <c r="C107" i="17"/>
  <c r="B122" i="8"/>
  <c r="B117" i="8"/>
  <c r="B113" i="8"/>
  <c r="B109" i="8"/>
  <c r="B104" i="8"/>
  <c r="B100" i="8"/>
  <c r="B97" i="8"/>
  <c r="B92" i="8"/>
  <c r="B83" i="8"/>
  <c r="B79" i="8"/>
  <c r="B73" i="8"/>
  <c r="B68" i="8"/>
  <c r="B63" i="8"/>
  <c r="B53" i="8"/>
  <c r="B42" i="8"/>
  <c r="B32" i="8"/>
  <c r="B25" i="8"/>
  <c r="B14" i="8"/>
  <c r="B8" i="8"/>
  <c r="B3" i="8"/>
  <c r="B62" i="26"/>
  <c r="B57" i="26"/>
  <c r="B44" i="26"/>
  <c r="B38" i="26"/>
  <c r="B24" i="26"/>
  <c r="B27" i="26"/>
  <c r="B32" i="26"/>
  <c r="B17" i="26"/>
  <c r="B11" i="26"/>
  <c r="B3" i="26"/>
  <c r="B10" i="26"/>
  <c r="B234" i="25"/>
  <c r="B228" i="25"/>
  <c r="B223" i="25"/>
  <c r="B217" i="25"/>
  <c r="B211" i="25"/>
  <c r="B204" i="25"/>
  <c r="B171" i="25"/>
  <c r="B165" i="25"/>
  <c r="B158" i="25"/>
  <c r="B151" i="25"/>
  <c r="B145" i="25"/>
  <c r="B136" i="25"/>
  <c r="B129" i="25"/>
  <c r="B120" i="25"/>
  <c r="B123" i="25"/>
  <c r="B128" i="25"/>
  <c r="B116" i="25"/>
  <c r="B111" i="25"/>
  <c r="B79" i="25"/>
  <c r="B105" i="25"/>
  <c r="B85" i="25"/>
  <c r="B99" i="25"/>
  <c r="B92" i="25"/>
  <c r="B71" i="25"/>
  <c r="B67" i="25"/>
  <c r="B63" i="25"/>
  <c r="B59" i="25"/>
  <c r="B52" i="25"/>
  <c r="B46" i="25"/>
  <c r="B41" i="25"/>
  <c r="B36" i="25"/>
  <c r="B30" i="25"/>
  <c r="B25" i="25"/>
  <c r="B17" i="25"/>
  <c r="B10" i="25"/>
  <c r="B3" i="25"/>
  <c r="B49" i="27"/>
  <c r="B42" i="27"/>
  <c r="B37" i="27"/>
  <c r="B33" i="27"/>
  <c r="B32" i="27"/>
  <c r="B31" i="27"/>
  <c r="B30" i="27"/>
  <c r="B25" i="27"/>
  <c r="B15" i="27"/>
  <c r="B3" i="27"/>
  <c r="B132" i="22"/>
  <c r="B127" i="22"/>
  <c r="B125" i="22"/>
  <c r="B119" i="22"/>
  <c r="B113" i="22"/>
  <c r="B106" i="22"/>
  <c r="B98" i="22"/>
  <c r="B96" i="22"/>
  <c r="B92" i="22"/>
  <c r="B86" i="22"/>
  <c r="B79" i="22"/>
  <c r="B72" i="22"/>
  <c r="B69" i="22"/>
  <c r="B66" i="22"/>
  <c r="B57" i="22"/>
  <c r="B49" i="22"/>
  <c r="B52" i="22"/>
  <c r="B43" i="22"/>
  <c r="B31" i="22"/>
  <c r="B25" i="22"/>
  <c r="B17" i="22"/>
  <c r="B10" i="22"/>
  <c r="B3" i="22"/>
  <c r="B299" i="23"/>
  <c r="B289" i="23"/>
  <c r="B284" i="23"/>
  <c r="B277" i="23"/>
  <c r="B270" i="23"/>
  <c r="B263" i="23"/>
  <c r="B258" i="23"/>
  <c r="B254" i="23"/>
  <c r="B241" i="23"/>
  <c r="B234" i="23"/>
  <c r="B229" i="23"/>
  <c r="B218" i="23"/>
  <c r="B212" i="23"/>
  <c r="B208" i="23"/>
  <c r="B202" i="23"/>
  <c r="B195" i="23"/>
  <c r="B187" i="23"/>
  <c r="B181" i="23"/>
  <c r="B177" i="23"/>
  <c r="B175" i="23"/>
  <c r="B174" i="23"/>
  <c r="B169" i="23"/>
  <c r="B162" i="23"/>
  <c r="B150" i="23"/>
  <c r="B146" i="23"/>
  <c r="B141" i="23"/>
  <c r="B134" i="23"/>
  <c r="B121" i="23"/>
  <c r="B115" i="23"/>
  <c r="B102" i="23"/>
  <c r="B105" i="23"/>
  <c r="B97" i="23"/>
  <c r="B110" i="23"/>
  <c r="B47" i="23"/>
  <c r="B54" i="23"/>
  <c r="B43" i="23"/>
  <c r="B37" i="23"/>
  <c r="B78" i="23"/>
  <c r="B84" i="23"/>
  <c r="B65" i="23"/>
  <c r="B60" i="23"/>
  <c r="B72" i="23"/>
  <c r="B32" i="23"/>
  <c r="B24" i="23"/>
  <c r="B17" i="23"/>
  <c r="B10" i="23"/>
  <c r="B3" i="23"/>
  <c r="B302" i="21"/>
  <c r="B290" i="21"/>
  <c r="B285" i="21"/>
  <c r="B280" i="21"/>
  <c r="B277" i="21"/>
  <c r="B271" i="21"/>
  <c r="B264" i="21"/>
  <c r="B257" i="21"/>
  <c r="B253" i="21"/>
  <c r="B242" i="21"/>
  <c r="B223" i="21"/>
  <c r="B216" i="21"/>
  <c r="B208" i="21"/>
  <c r="B202" i="21"/>
  <c r="B196" i="21"/>
  <c r="B189" i="21"/>
  <c r="B188" i="21"/>
  <c r="B184" i="21"/>
  <c r="B178" i="21"/>
  <c r="B171" i="21"/>
  <c r="B164" i="21"/>
  <c r="B157" i="21"/>
  <c r="B130" i="21"/>
  <c r="B121" i="21"/>
  <c r="B124" i="21"/>
  <c r="B72" i="21"/>
  <c r="B79" i="21"/>
  <c r="B102" i="21"/>
  <c r="B97" i="21"/>
  <c r="B109" i="21"/>
  <c r="B64" i="21"/>
  <c r="B60" i="21"/>
  <c r="B54" i="21"/>
  <c r="B49" i="21"/>
  <c r="B44" i="21"/>
  <c r="B38" i="21"/>
  <c r="B32" i="21"/>
  <c r="B24" i="21"/>
  <c r="B17" i="21"/>
  <c r="B10" i="21"/>
  <c r="B3" i="21"/>
  <c r="B246" i="20"/>
  <c r="B234" i="20"/>
  <c r="B229" i="20"/>
  <c r="B228" i="20"/>
  <c r="B224" i="20"/>
  <c r="B218" i="20"/>
  <c r="B211" i="20"/>
  <c r="B204" i="20"/>
  <c r="B197" i="20"/>
  <c r="B190" i="20"/>
  <c r="B177" i="20"/>
  <c r="B172" i="20"/>
  <c r="B189" i="20"/>
  <c r="B183" i="20"/>
  <c r="B86" i="20"/>
  <c r="B93" i="20"/>
  <c r="B82" i="20"/>
  <c r="B76" i="20"/>
  <c r="B160" i="20"/>
  <c r="B166" i="20"/>
  <c r="B111" i="20"/>
  <c r="B159" i="20"/>
  <c r="B153" i="20"/>
  <c r="B139" i="20"/>
  <c r="B138" i="20"/>
  <c r="B104" i="20"/>
  <c r="B146" i="20"/>
  <c r="B133" i="20"/>
  <c r="B123" i="20"/>
  <c r="B116" i="20"/>
  <c r="B71" i="20"/>
  <c r="B64" i="20"/>
  <c r="B56" i="20"/>
  <c r="B52" i="20"/>
  <c r="B50" i="20"/>
  <c r="B44" i="20"/>
  <c r="B39" i="20"/>
  <c r="B34" i="20"/>
  <c r="B28" i="20"/>
  <c r="B21" i="20"/>
  <c r="B17" i="20"/>
  <c r="B10" i="20"/>
  <c r="B3" i="20"/>
  <c r="B259" i="49"/>
  <c r="B255" i="49"/>
  <c r="B246" i="49"/>
  <c r="B245" i="49"/>
  <c r="B243" i="49"/>
  <c r="B237" i="49"/>
  <c r="B230" i="49"/>
  <c r="B226" i="49"/>
  <c r="B215" i="49"/>
  <c r="B209" i="49"/>
  <c r="B204" i="49"/>
  <c r="B197" i="49"/>
  <c r="B191" i="49"/>
  <c r="B184" i="49"/>
  <c r="B176" i="49"/>
  <c r="B170" i="49"/>
  <c r="B163" i="49"/>
  <c r="B156" i="49"/>
  <c r="B140" i="49"/>
  <c r="B134" i="49"/>
  <c r="B129" i="49"/>
  <c r="B124" i="49"/>
  <c r="B148" i="49"/>
  <c r="B65" i="49"/>
  <c r="B72" i="49"/>
  <c r="B123" i="49"/>
  <c r="B116" i="49"/>
  <c r="B61" i="49"/>
  <c r="B55" i="49"/>
  <c r="B117" i="49"/>
  <c r="B100" i="49"/>
  <c r="B95" i="49"/>
  <c r="B85" i="49"/>
  <c r="B78" i="49"/>
  <c r="B115" i="49"/>
  <c r="B108" i="49"/>
  <c r="B107" i="49"/>
  <c r="B50" i="49"/>
  <c r="B43" i="49"/>
  <c r="B39" i="49"/>
  <c r="B37" i="49"/>
  <c r="B31" i="49"/>
  <c r="B25" i="49"/>
  <c r="B18" i="49"/>
  <c r="B14" i="49"/>
  <c r="B7" i="49"/>
  <c r="B3" i="49"/>
  <c r="B267" i="18"/>
  <c r="B262" i="18"/>
  <c r="B255" i="18"/>
  <c r="B191" i="18"/>
  <c r="B184" i="18"/>
  <c r="B180" i="18"/>
  <c r="B174" i="18"/>
  <c r="B167" i="18"/>
  <c r="B160" i="18"/>
  <c r="B153" i="18"/>
  <c r="B157" i="18"/>
  <c r="B142" i="18"/>
  <c r="B147" i="18"/>
  <c r="B76" i="18"/>
  <c r="B132" i="18"/>
  <c r="B138" i="18"/>
  <c r="B137" i="18"/>
  <c r="B126" i="18"/>
  <c r="B94" i="18"/>
  <c r="B89" i="18"/>
  <c r="B82" i="18"/>
  <c r="B120" i="18"/>
  <c r="B113" i="18"/>
  <c r="B108" i="18"/>
  <c r="B101" i="18"/>
  <c r="B71" i="18"/>
  <c r="B70" i="18"/>
  <c r="B62" i="18"/>
  <c r="B58" i="18"/>
  <c r="B54" i="18"/>
  <c r="B47" i="18"/>
  <c r="B41" i="18"/>
  <c r="B36" i="18"/>
  <c r="B30" i="18"/>
  <c r="B24" i="18"/>
  <c r="B17" i="18"/>
  <c r="B10" i="18"/>
  <c r="B3" i="18"/>
  <c r="B203" i="48"/>
  <c r="B196" i="48"/>
  <c r="B189" i="48"/>
  <c r="B185" i="48"/>
  <c r="B179" i="48"/>
  <c r="B173" i="48"/>
  <c r="B166" i="48"/>
  <c r="B160" i="48"/>
  <c r="B155" i="48"/>
  <c r="B148" i="48"/>
  <c r="B141" i="48"/>
  <c r="B133" i="48"/>
  <c r="B131" i="48"/>
  <c r="B130" i="48"/>
  <c r="B129" i="48"/>
  <c r="B122" i="48"/>
  <c r="B115" i="48"/>
  <c r="B108" i="48"/>
  <c r="B104" i="48"/>
  <c r="B99" i="48"/>
  <c r="B56" i="48"/>
  <c r="B85" i="48"/>
  <c r="B83" i="48"/>
  <c r="B88" i="48"/>
  <c r="B50" i="48"/>
  <c r="B77" i="48"/>
  <c r="B76" i="48"/>
  <c r="B62" i="48"/>
  <c r="B69" i="48"/>
  <c r="B44" i="48"/>
  <c r="B93" i="48"/>
  <c r="B40" i="48"/>
  <c r="B36" i="48"/>
  <c r="B32" i="48"/>
  <c r="B27" i="48"/>
  <c r="B24" i="48"/>
  <c r="B20" i="48"/>
  <c r="B16" i="48"/>
  <c r="B15" i="48"/>
  <c r="B9" i="48"/>
  <c r="B3" i="48"/>
  <c r="B195" i="15"/>
  <c r="B188" i="15"/>
  <c r="B182" i="15"/>
  <c r="B176" i="15"/>
  <c r="B172" i="15"/>
  <c r="B168" i="15"/>
  <c r="B162" i="15"/>
  <c r="B158" i="15"/>
  <c r="B152" i="15"/>
  <c r="B146" i="15"/>
  <c r="B139" i="15"/>
  <c r="B133" i="15"/>
  <c r="B125" i="15"/>
  <c r="B123" i="15"/>
  <c r="B122" i="15"/>
  <c r="B121" i="15"/>
  <c r="B120" i="15"/>
  <c r="B116" i="15"/>
  <c r="B110" i="15"/>
  <c r="B103" i="15"/>
  <c r="B96" i="15"/>
  <c r="B90" i="15"/>
  <c r="B87" i="15"/>
  <c r="B84" i="15"/>
  <c r="B79" i="15"/>
  <c r="B29" i="15"/>
  <c r="B36" i="15"/>
  <c r="B25" i="15"/>
  <c r="B19" i="15"/>
  <c r="B61" i="15"/>
  <c r="B67" i="15"/>
  <c r="B42" i="15"/>
  <c r="B54" i="15"/>
  <c r="B49" i="15"/>
  <c r="B14" i="15"/>
  <c r="B73" i="15"/>
  <c r="B10" i="15"/>
  <c r="B6" i="15"/>
  <c r="B3" i="15"/>
  <c r="A14" i="15"/>
  <c r="B217" i="14"/>
  <c r="B211" i="14"/>
  <c r="B205" i="14"/>
  <c r="B199" i="14"/>
  <c r="B193" i="14"/>
  <c r="B189" i="14"/>
  <c r="B184" i="14"/>
  <c r="B177" i="14"/>
  <c r="B171" i="14"/>
  <c r="B167" i="14"/>
  <c r="B162" i="14"/>
  <c r="B150" i="14"/>
  <c r="B143" i="14"/>
  <c r="B135" i="14"/>
  <c r="B129" i="14"/>
  <c r="B125" i="14"/>
  <c r="B112" i="14"/>
  <c r="B106" i="14"/>
  <c r="B100" i="14"/>
  <c r="B94" i="14"/>
  <c r="B89" i="14"/>
  <c r="B99" i="14"/>
  <c r="B28" i="14"/>
  <c r="B35" i="14"/>
  <c r="B79" i="14"/>
  <c r="B74" i="14"/>
  <c r="B22" i="14"/>
  <c r="B62" i="14"/>
  <c r="B68" i="14"/>
  <c r="B48" i="14"/>
  <c r="B41" i="14"/>
  <c r="B55" i="14"/>
  <c r="B83" i="14"/>
  <c r="B14" i="14"/>
  <c r="B10" i="14"/>
  <c r="B164" i="13"/>
  <c r="B158" i="13"/>
  <c r="B152" i="13"/>
  <c r="B146" i="13"/>
  <c r="B139" i="13"/>
  <c r="B132" i="13"/>
  <c r="B124" i="13"/>
  <c r="B118" i="13"/>
  <c r="B114" i="13"/>
  <c r="B112" i="13"/>
  <c r="B100" i="13"/>
  <c r="B94" i="13"/>
  <c r="B85" i="13"/>
  <c r="B79" i="13"/>
  <c r="B73" i="13"/>
  <c r="B68" i="13"/>
  <c r="B78" i="13"/>
  <c r="B22" i="13"/>
  <c r="B54" i="13"/>
  <c r="B64" i="13"/>
  <c r="B59" i="13"/>
  <c r="B16" i="13"/>
  <c r="B42" i="13"/>
  <c r="B35" i="13"/>
  <c r="B28" i="13"/>
  <c r="B11" i="13"/>
  <c r="B3" i="13"/>
  <c r="B156" i="11"/>
  <c r="B146" i="11"/>
  <c r="B142" i="11"/>
  <c r="B135" i="11"/>
  <c r="B128" i="11"/>
  <c r="B121" i="11"/>
  <c r="B115" i="11"/>
  <c r="B111" i="11"/>
  <c r="B109" i="11"/>
  <c r="B97" i="11"/>
  <c r="B93" i="11"/>
  <c r="B87" i="11"/>
  <c r="B81" i="11"/>
  <c r="B75" i="11"/>
  <c r="B70" i="11"/>
  <c r="B80" i="11"/>
  <c r="B20" i="11"/>
  <c r="B60" i="11"/>
  <c r="B55" i="11"/>
  <c r="B43" i="11"/>
  <c r="B49" i="11"/>
  <c r="B31" i="11"/>
  <c r="B26" i="11"/>
  <c r="B38" i="11"/>
  <c r="B15" i="11"/>
  <c r="B7" i="11"/>
  <c r="B3" i="11"/>
  <c r="B241" i="10"/>
  <c r="B206" i="10"/>
  <c r="B202" i="10"/>
  <c r="B196" i="10"/>
  <c r="B186" i="10"/>
  <c r="B190" i="10"/>
  <c r="B182" i="10"/>
  <c r="B177" i="10"/>
  <c r="B173" i="10"/>
  <c r="B165" i="10"/>
  <c r="B161" i="10"/>
  <c r="B158" i="10"/>
  <c r="B217" i="10"/>
  <c r="B224" i="10"/>
  <c r="B212" i="10"/>
  <c r="B211" i="10"/>
  <c r="B144" i="10"/>
  <c r="B133" i="10"/>
  <c r="B126" i="10"/>
  <c r="B140" i="10"/>
  <c r="B118" i="10"/>
  <c r="B112" i="10"/>
  <c r="B108" i="10"/>
  <c r="B99" i="10"/>
  <c r="B94" i="10"/>
  <c r="B90" i="10"/>
  <c r="B84" i="10"/>
  <c r="B79" i="10"/>
  <c r="B24" i="10"/>
  <c r="B31" i="10"/>
  <c r="B59" i="10"/>
  <c r="B52" i="10"/>
  <c r="B69" i="10"/>
  <c r="B64" i="10"/>
  <c r="B18" i="10"/>
  <c r="B37" i="10"/>
  <c r="B13" i="10"/>
  <c r="B8" i="10"/>
  <c r="B3" i="10"/>
  <c r="B213" i="9"/>
  <c r="B203" i="9"/>
  <c r="B196" i="9"/>
  <c r="B189" i="9"/>
  <c r="B184" i="9"/>
  <c r="B183" i="9"/>
  <c r="B178" i="9"/>
  <c r="B174" i="9"/>
  <c r="B168" i="9"/>
  <c r="B158" i="9"/>
  <c r="B162" i="9"/>
  <c r="B154" i="9"/>
  <c r="B149" i="9"/>
  <c r="B145" i="9"/>
  <c r="B137" i="9"/>
  <c r="B133" i="9"/>
  <c r="B130" i="9"/>
  <c r="B121" i="9"/>
  <c r="B110" i="9"/>
  <c r="B103" i="9"/>
  <c r="B117" i="9"/>
  <c r="B95" i="9"/>
  <c r="B89" i="9"/>
  <c r="B83" i="9"/>
  <c r="B77" i="9"/>
  <c r="B66" i="9"/>
  <c r="B71" i="9"/>
  <c r="B19" i="9"/>
  <c r="B26" i="9"/>
  <c r="B56" i="9"/>
  <c r="B51" i="9"/>
  <c r="B13" i="9"/>
  <c r="B39" i="9"/>
  <c r="B45" i="9"/>
  <c r="B32" i="9"/>
  <c r="B60" i="9"/>
  <c r="B3" i="9"/>
  <c r="B117" i="12"/>
  <c r="B110" i="12"/>
  <c r="B97" i="12"/>
  <c r="B92" i="12"/>
  <c r="B88" i="12"/>
  <c r="B83" i="12"/>
  <c r="B79" i="12"/>
  <c r="B74" i="12"/>
  <c r="B70" i="12"/>
  <c r="B66" i="12"/>
  <c r="B64" i="12"/>
  <c r="B63" i="12"/>
  <c r="B54" i="12"/>
  <c r="B42" i="12"/>
  <c r="B15" i="12"/>
  <c r="B9" i="12"/>
  <c r="B28" i="12"/>
  <c r="B21" i="12"/>
  <c r="B35" i="12"/>
  <c r="A211" i="48"/>
  <c r="F228" i="23"/>
  <c r="C228" i="23"/>
  <c r="F227" i="23"/>
  <c r="C227" i="23"/>
  <c r="F226" i="23"/>
  <c r="C226" i="23"/>
  <c r="F225" i="23"/>
  <c r="C225" i="23"/>
  <c r="F224" i="23"/>
  <c r="C224" i="23"/>
  <c r="F223" i="23"/>
  <c r="C223" i="23"/>
  <c r="F222" i="23"/>
  <c r="C222" i="23"/>
  <c r="F221" i="23"/>
  <c r="C221" i="23"/>
  <c r="F220" i="23"/>
  <c r="C220" i="23"/>
  <c r="F219" i="23"/>
  <c r="C219" i="23"/>
  <c r="C218" i="23"/>
  <c r="A218" i="23"/>
  <c r="F273" i="18"/>
  <c r="F272" i="18"/>
  <c r="F271" i="18"/>
  <c r="F270" i="18"/>
  <c r="F269" i="18"/>
  <c r="F268" i="18"/>
  <c r="C273" i="18"/>
  <c r="C272" i="18"/>
  <c r="C271" i="18"/>
  <c r="C270" i="18"/>
  <c r="C269" i="18"/>
  <c r="C268" i="18"/>
  <c r="C267" i="18"/>
  <c r="C279" i="18"/>
  <c r="A55" i="14"/>
  <c r="C55" i="14"/>
  <c r="C56" i="14"/>
  <c r="F56" i="14"/>
  <c r="C57" i="14"/>
  <c r="F57" i="14"/>
  <c r="C58" i="14"/>
  <c r="F58" i="14"/>
  <c r="C59" i="14"/>
  <c r="F59" i="14"/>
  <c r="C60" i="14"/>
  <c r="F60" i="14"/>
  <c r="C61" i="14"/>
  <c r="G83" i="48"/>
  <c r="C84" i="48"/>
  <c r="C83" i="48"/>
  <c r="A83" i="48"/>
  <c r="F105" i="48"/>
  <c r="C105" i="48"/>
  <c r="C207" i="15"/>
  <c r="C206" i="15"/>
  <c r="F166" i="14"/>
  <c r="C166" i="14"/>
  <c r="F141" i="18"/>
  <c r="F140" i="18"/>
  <c r="G138" i="18"/>
  <c r="A62" i="26"/>
  <c r="A97" i="21"/>
  <c r="C97" i="21"/>
  <c r="C98" i="21"/>
  <c r="F98" i="21"/>
  <c r="C99" i="21"/>
  <c r="F99" i="21"/>
  <c r="C100" i="21"/>
  <c r="F100" i="21"/>
  <c r="C101" i="21"/>
  <c r="F101" i="21"/>
  <c r="F64" i="24"/>
  <c r="F63" i="24"/>
  <c r="F62" i="24"/>
  <c r="F54" i="24"/>
  <c r="C23" i="26"/>
  <c r="C22" i="26"/>
  <c r="C21" i="26"/>
  <c r="C20" i="26"/>
  <c r="C19" i="26"/>
  <c r="C18" i="26"/>
  <c r="C17" i="26"/>
  <c r="A17" i="26"/>
  <c r="A61" i="24"/>
  <c r="C64" i="24"/>
  <c r="C63" i="24"/>
  <c r="C62" i="24"/>
  <c r="C61" i="24"/>
  <c r="F69" i="24"/>
  <c r="F68" i="24"/>
  <c r="F67" i="24"/>
  <c r="F66" i="24"/>
  <c r="C70" i="24"/>
  <c r="C69" i="24"/>
  <c r="C68" i="24"/>
  <c r="C67" i="24"/>
  <c r="C66" i="24"/>
  <c r="C65" i="24"/>
  <c r="A65" i="24"/>
  <c r="F41" i="24"/>
  <c r="F40" i="24"/>
  <c r="F39" i="24"/>
  <c r="F38" i="24"/>
  <c r="C41" i="24"/>
  <c r="C40" i="24"/>
  <c r="C39" i="24"/>
  <c r="C38" i="24"/>
  <c r="C37" i="24"/>
  <c r="A37" i="24"/>
  <c r="F36" i="24"/>
  <c r="F35" i="24"/>
  <c r="F34" i="24"/>
  <c r="F33" i="24"/>
  <c r="F32" i="24"/>
  <c r="A31" i="24"/>
  <c r="C36" i="24"/>
  <c r="C35" i="24"/>
  <c r="C34" i="24"/>
  <c r="C33" i="24"/>
  <c r="C32" i="24"/>
  <c r="C31" i="24"/>
  <c r="G183" i="9"/>
  <c r="F108" i="8"/>
  <c r="F50" i="25"/>
  <c r="F49" i="25"/>
  <c r="F48" i="25"/>
  <c r="F47" i="25"/>
  <c r="C51" i="25"/>
  <c r="C50" i="25"/>
  <c r="C49" i="25"/>
  <c r="C48" i="25"/>
  <c r="C47" i="25"/>
  <c r="C46" i="25"/>
  <c r="A46" i="25"/>
  <c r="F45" i="25"/>
  <c r="C45" i="25"/>
  <c r="F44" i="25"/>
  <c r="C44" i="25"/>
  <c r="F43" i="25"/>
  <c r="C43" i="25"/>
  <c r="F40" i="25"/>
  <c r="C40" i="25"/>
  <c r="F39" i="25"/>
  <c r="C39" i="25"/>
  <c r="F38" i="25"/>
  <c r="C38" i="25"/>
  <c r="F36" i="23"/>
  <c r="C36" i="23"/>
  <c r="F35" i="23"/>
  <c r="C35" i="23"/>
  <c r="F34" i="23"/>
  <c r="C34" i="23"/>
  <c r="F53" i="21"/>
  <c r="C53" i="21"/>
  <c r="F52" i="21"/>
  <c r="C52" i="21"/>
  <c r="C51" i="21"/>
  <c r="F48" i="21"/>
  <c r="C48" i="21"/>
  <c r="F47" i="21"/>
  <c r="C47" i="21"/>
  <c r="F46" i="21"/>
  <c r="C46" i="21"/>
  <c r="F43" i="20"/>
  <c r="C43" i="20"/>
  <c r="F42" i="20"/>
  <c r="C42" i="20"/>
  <c r="F41" i="20"/>
  <c r="C41" i="20"/>
  <c r="F38" i="20"/>
  <c r="C38" i="20"/>
  <c r="F37" i="20"/>
  <c r="C37" i="20"/>
  <c r="F36" i="20"/>
  <c r="C36" i="20"/>
  <c r="F40" i="18"/>
  <c r="C40" i="18"/>
  <c r="F39" i="18"/>
  <c r="C39" i="18"/>
  <c r="F38" i="18"/>
  <c r="C38" i="18"/>
  <c r="F16" i="24"/>
  <c r="C16" i="24"/>
  <c r="F15" i="24"/>
  <c r="C15" i="24"/>
  <c r="F14" i="24"/>
  <c r="C14" i="24"/>
  <c r="F9" i="24"/>
  <c r="C9" i="24"/>
  <c r="F8" i="24"/>
  <c r="C8" i="24"/>
  <c r="F7" i="24"/>
  <c r="C7" i="24"/>
  <c r="F6" i="24"/>
  <c r="C6" i="24"/>
  <c r="F5" i="24"/>
  <c r="C5" i="24"/>
  <c r="F67" i="26"/>
  <c r="F66" i="26"/>
  <c r="F65" i="26"/>
  <c r="F64" i="26"/>
  <c r="F63" i="26"/>
  <c r="F61" i="26"/>
  <c r="F60" i="26"/>
  <c r="F59" i="26"/>
  <c r="F58" i="26"/>
  <c r="C67" i="26"/>
  <c r="C66" i="26"/>
  <c r="C65" i="26"/>
  <c r="C64" i="26"/>
  <c r="C63" i="26"/>
  <c r="C62" i="26"/>
  <c r="C61" i="26"/>
  <c r="C60" i="26"/>
  <c r="C59" i="26"/>
  <c r="A57" i="26"/>
  <c r="C57" i="26"/>
  <c r="F238" i="25"/>
  <c r="F237" i="25"/>
  <c r="F236" i="25"/>
  <c r="F235" i="25"/>
  <c r="F231" i="25"/>
  <c r="F230" i="25"/>
  <c r="F229" i="25"/>
  <c r="F227" i="25"/>
  <c r="F226" i="25"/>
  <c r="F225" i="25"/>
  <c r="F224" i="25"/>
  <c r="F222" i="25"/>
  <c r="F221" i="25"/>
  <c r="F220" i="25"/>
  <c r="F219" i="25"/>
  <c r="F218" i="25"/>
  <c r="F216" i="25"/>
  <c r="F215" i="25"/>
  <c r="F214" i="25"/>
  <c r="F213" i="25"/>
  <c r="F212" i="25"/>
  <c r="F210" i="25"/>
  <c r="F209" i="25"/>
  <c r="F208" i="25"/>
  <c r="F207" i="25"/>
  <c r="F206" i="25"/>
  <c r="F205" i="25"/>
  <c r="C238" i="25"/>
  <c r="C237" i="25"/>
  <c r="C236" i="25"/>
  <c r="C235" i="25"/>
  <c r="A234" i="25"/>
  <c r="C234" i="25"/>
  <c r="C233" i="25"/>
  <c r="C232" i="25"/>
  <c r="C231" i="25"/>
  <c r="C230" i="25"/>
  <c r="C229" i="25"/>
  <c r="A228" i="25"/>
  <c r="C228" i="25"/>
  <c r="C227" i="25"/>
  <c r="C226" i="25"/>
  <c r="C225" i="25"/>
  <c r="C224" i="25"/>
  <c r="C223" i="25"/>
  <c r="A223" i="25"/>
  <c r="C222" i="25"/>
  <c r="C221" i="25"/>
  <c r="C220" i="25"/>
  <c r="A217" i="25"/>
  <c r="C219" i="25"/>
  <c r="C218" i="25"/>
  <c r="C217" i="25"/>
  <c r="C216" i="25"/>
  <c r="C215" i="25"/>
  <c r="C214" i="25"/>
  <c r="C213" i="25"/>
  <c r="C212" i="25"/>
  <c r="A211" i="25"/>
  <c r="C211" i="25"/>
  <c r="C210" i="25"/>
  <c r="C209" i="25"/>
  <c r="C208" i="25"/>
  <c r="C207" i="25"/>
  <c r="C206" i="25"/>
  <c r="C205" i="25"/>
  <c r="C204" i="25"/>
  <c r="A204" i="25"/>
  <c r="G125" i="22"/>
  <c r="F124" i="22"/>
  <c r="F123" i="22"/>
  <c r="F122" i="22"/>
  <c r="F121" i="22"/>
  <c r="F120" i="22"/>
  <c r="F118" i="22"/>
  <c r="F117" i="22"/>
  <c r="F116" i="22"/>
  <c r="F115" i="22"/>
  <c r="F114" i="22"/>
  <c r="F112" i="22"/>
  <c r="F111" i="22"/>
  <c r="F110" i="22"/>
  <c r="F109" i="22"/>
  <c r="F108" i="22"/>
  <c r="F107" i="22"/>
  <c r="F105" i="22"/>
  <c r="F104" i="22"/>
  <c r="F103" i="22"/>
  <c r="F102" i="22"/>
  <c r="F101" i="22"/>
  <c r="F100" i="22"/>
  <c r="F99" i="22"/>
  <c r="A125" i="22"/>
  <c r="C125" i="22"/>
  <c r="C124" i="22"/>
  <c r="C123" i="22"/>
  <c r="C122" i="22"/>
  <c r="C121" i="22"/>
  <c r="C120" i="22"/>
  <c r="A119" i="22"/>
  <c r="C119" i="22"/>
  <c r="A113" i="22"/>
  <c r="C118" i="22"/>
  <c r="C117" i="22"/>
  <c r="C116" i="22"/>
  <c r="C115" i="22"/>
  <c r="C114" i="22"/>
  <c r="C113" i="22"/>
  <c r="C112" i="22"/>
  <c r="C111" i="22"/>
  <c r="C110" i="22"/>
  <c r="C109" i="22"/>
  <c r="C108" i="22"/>
  <c r="C107" i="22"/>
  <c r="A106" i="22"/>
  <c r="C106" i="22"/>
  <c r="C105" i="22"/>
  <c r="C104" i="22"/>
  <c r="C103" i="22"/>
  <c r="C102" i="22"/>
  <c r="C101" i="22"/>
  <c r="C100" i="22"/>
  <c r="C99" i="22"/>
  <c r="C98" i="22"/>
  <c r="A98" i="22"/>
  <c r="F36" i="22"/>
  <c r="F35" i="22"/>
  <c r="F34" i="22"/>
  <c r="F33" i="22"/>
  <c r="F32" i="22"/>
  <c r="F30" i="22"/>
  <c r="F29" i="22"/>
  <c r="F28" i="22"/>
  <c r="F27" i="22"/>
  <c r="F26" i="22"/>
  <c r="F24" i="22"/>
  <c r="F23" i="22"/>
  <c r="F22" i="22"/>
  <c r="F21" i="22"/>
  <c r="F20" i="22"/>
  <c r="F19" i="22"/>
  <c r="F18" i="22"/>
  <c r="F16" i="22"/>
  <c r="F15" i="22"/>
  <c r="F14" i="22"/>
  <c r="F13" i="22"/>
  <c r="F12" i="22"/>
  <c r="F11" i="22"/>
  <c r="C36" i="22"/>
  <c r="C35" i="22"/>
  <c r="C34" i="22"/>
  <c r="C33" i="22"/>
  <c r="C32" i="22"/>
  <c r="A31" i="22"/>
  <c r="C31" i="22"/>
  <c r="C30" i="22"/>
  <c r="C29" i="22"/>
  <c r="C28" i="22"/>
  <c r="C27" i="22"/>
  <c r="C26" i="22"/>
  <c r="A25" i="22"/>
  <c r="C25" i="22"/>
  <c r="C24" i="22"/>
  <c r="C23" i="22"/>
  <c r="C22" i="22"/>
  <c r="C21" i="22"/>
  <c r="C20" i="22"/>
  <c r="C19" i="22"/>
  <c r="C18" i="22"/>
  <c r="A17" i="22"/>
  <c r="C17" i="22"/>
  <c r="C16" i="22"/>
  <c r="C15" i="22"/>
  <c r="C14" i="22"/>
  <c r="C13" i="22"/>
  <c r="C12" i="22"/>
  <c r="C11" i="22"/>
  <c r="A10" i="22"/>
  <c r="C10" i="22"/>
  <c r="F247" i="23"/>
  <c r="F246" i="23"/>
  <c r="F245" i="23"/>
  <c r="F244" i="23"/>
  <c r="F243" i="23"/>
  <c r="F242" i="23"/>
  <c r="A241" i="23"/>
  <c r="C247" i="23"/>
  <c r="C246" i="23"/>
  <c r="C245" i="23"/>
  <c r="C244" i="23"/>
  <c r="C243" i="23"/>
  <c r="C242" i="23"/>
  <c r="C241" i="23"/>
  <c r="F240" i="23"/>
  <c r="F239" i="23"/>
  <c r="F238" i="23"/>
  <c r="F237" i="23"/>
  <c r="F236" i="23"/>
  <c r="F235" i="23"/>
  <c r="C240" i="23"/>
  <c r="C239" i="23"/>
  <c r="C238" i="23"/>
  <c r="C237" i="23"/>
  <c r="C236" i="23"/>
  <c r="C235" i="23"/>
  <c r="F274" i="23"/>
  <c r="F273" i="23"/>
  <c r="F272" i="23"/>
  <c r="F271" i="23"/>
  <c r="F269" i="23"/>
  <c r="F268" i="23"/>
  <c r="F267" i="23"/>
  <c r="F266" i="23"/>
  <c r="F265" i="23"/>
  <c r="F264" i="23"/>
  <c r="F262" i="23"/>
  <c r="F261" i="23"/>
  <c r="F260" i="23"/>
  <c r="F259" i="23"/>
  <c r="F257" i="23"/>
  <c r="F256" i="23"/>
  <c r="F255" i="23"/>
  <c r="F233" i="23"/>
  <c r="F232" i="23"/>
  <c r="F231" i="23"/>
  <c r="F230" i="23"/>
  <c r="F217" i="23"/>
  <c r="F216" i="23"/>
  <c r="F215" i="23"/>
  <c r="F214" i="23"/>
  <c r="F213" i="23"/>
  <c r="F211" i="23"/>
  <c r="F210" i="23"/>
  <c r="F209" i="23"/>
  <c r="F207" i="23"/>
  <c r="F206" i="23"/>
  <c r="F205" i="23"/>
  <c r="F204" i="23"/>
  <c r="F203" i="23"/>
  <c r="F201" i="23"/>
  <c r="F200" i="23"/>
  <c r="F199" i="23"/>
  <c r="F198" i="23"/>
  <c r="F197" i="23"/>
  <c r="F196" i="23"/>
  <c r="F194" i="23"/>
  <c r="F193" i="23"/>
  <c r="F192" i="23"/>
  <c r="F191" i="23"/>
  <c r="F190" i="23"/>
  <c r="F189" i="23"/>
  <c r="F188" i="23"/>
  <c r="F185" i="23"/>
  <c r="F184" i="23"/>
  <c r="F183" i="23"/>
  <c r="F182" i="23"/>
  <c r="F180" i="23"/>
  <c r="F179" i="23"/>
  <c r="F178" i="23"/>
  <c r="C274" i="23"/>
  <c r="C273" i="23"/>
  <c r="C272" i="23"/>
  <c r="C271" i="23"/>
  <c r="A270" i="23"/>
  <c r="C270" i="23"/>
  <c r="C269" i="23"/>
  <c r="C268" i="23"/>
  <c r="C267" i="23"/>
  <c r="C266" i="23"/>
  <c r="C265" i="23"/>
  <c r="C264" i="23"/>
  <c r="A263" i="23"/>
  <c r="C263" i="23"/>
  <c r="C262" i="23"/>
  <c r="C261" i="23"/>
  <c r="C260" i="23"/>
  <c r="C259" i="23"/>
  <c r="A258" i="23"/>
  <c r="C258" i="23"/>
  <c r="C257" i="23"/>
  <c r="C256" i="23"/>
  <c r="C255" i="23"/>
  <c r="A254" i="23"/>
  <c r="C254" i="23"/>
  <c r="A234" i="23"/>
  <c r="C234" i="23"/>
  <c r="C233" i="23"/>
  <c r="A229" i="23"/>
  <c r="C232" i="23"/>
  <c r="C231" i="23"/>
  <c r="C230" i="23"/>
  <c r="C229" i="23"/>
  <c r="C217" i="23"/>
  <c r="C216" i="23"/>
  <c r="C215" i="23"/>
  <c r="C214" i="23"/>
  <c r="C213" i="23"/>
  <c r="A212" i="23"/>
  <c r="C212" i="23"/>
  <c r="C211" i="23"/>
  <c r="C210" i="23"/>
  <c r="C209" i="23"/>
  <c r="A208" i="23"/>
  <c r="C208" i="23"/>
  <c r="C207" i="23"/>
  <c r="C206" i="23"/>
  <c r="C205" i="23"/>
  <c r="C204" i="23"/>
  <c r="C203" i="23"/>
  <c r="A202" i="23"/>
  <c r="C202" i="23"/>
  <c r="C201" i="23"/>
  <c r="C200" i="23"/>
  <c r="C199" i="23"/>
  <c r="C198" i="23"/>
  <c r="C197" i="23"/>
  <c r="C196" i="23"/>
  <c r="A195" i="23"/>
  <c r="C194" i="23"/>
  <c r="C195" i="23"/>
  <c r="C193" i="23"/>
  <c r="C192" i="23"/>
  <c r="C191" i="23"/>
  <c r="C190" i="23"/>
  <c r="C189" i="23"/>
  <c r="C188" i="23"/>
  <c r="A187" i="23"/>
  <c r="C187" i="23"/>
  <c r="C186" i="23"/>
  <c r="C185" i="23"/>
  <c r="C184" i="23"/>
  <c r="C183" i="23"/>
  <c r="C182" i="23"/>
  <c r="A181" i="23"/>
  <c r="C181" i="23"/>
  <c r="C180" i="23"/>
  <c r="C179" i="23"/>
  <c r="C178" i="23"/>
  <c r="C177" i="23"/>
  <c r="A177" i="23"/>
  <c r="C310" i="23"/>
  <c r="C309" i="23"/>
  <c r="C308" i="23"/>
  <c r="C307" i="23"/>
  <c r="C306" i="23"/>
  <c r="C305" i="23"/>
  <c r="C304" i="23"/>
  <c r="C303" i="23"/>
  <c r="C302" i="23"/>
  <c r="C301" i="23"/>
  <c r="C300" i="23"/>
  <c r="C299" i="23"/>
  <c r="A299" i="23"/>
  <c r="F9" i="23"/>
  <c r="F8" i="23"/>
  <c r="F7" i="23"/>
  <c r="F6" i="23"/>
  <c r="F5" i="23"/>
  <c r="F4" i="23"/>
  <c r="C9" i="23"/>
  <c r="C8" i="23"/>
  <c r="C7" i="23"/>
  <c r="C6" i="23"/>
  <c r="C5" i="23"/>
  <c r="C4" i="23"/>
  <c r="C3" i="23"/>
  <c r="A3" i="23"/>
  <c r="F275" i="21"/>
  <c r="F274" i="21"/>
  <c r="F273" i="21"/>
  <c r="F272" i="21"/>
  <c r="F270" i="21"/>
  <c r="F269" i="21"/>
  <c r="F268" i="21"/>
  <c r="F267" i="21"/>
  <c r="F266" i="21"/>
  <c r="F265" i="21"/>
  <c r="F263" i="21"/>
  <c r="F262" i="21"/>
  <c r="F261" i="21"/>
  <c r="F260" i="21"/>
  <c r="F259" i="21"/>
  <c r="F258" i="21"/>
  <c r="F256" i="21"/>
  <c r="F255" i="21"/>
  <c r="F254" i="21"/>
  <c r="F252" i="21"/>
  <c r="F251" i="21"/>
  <c r="F250" i="21"/>
  <c r="F249" i="21"/>
  <c r="F248" i="21"/>
  <c r="F247" i="21"/>
  <c r="F246" i="21"/>
  <c r="F245" i="21"/>
  <c r="F244" i="21"/>
  <c r="F243" i="21"/>
  <c r="F229" i="21"/>
  <c r="F228" i="21"/>
  <c r="F227" i="21"/>
  <c r="F226" i="21"/>
  <c r="F225" i="21"/>
  <c r="F224" i="21"/>
  <c r="F222" i="21"/>
  <c r="F221" i="21"/>
  <c r="F220" i="21"/>
  <c r="F219" i="21"/>
  <c r="F218" i="21"/>
  <c r="F217" i="21"/>
  <c r="F215" i="21"/>
  <c r="F214" i="21"/>
  <c r="F213" i="21"/>
  <c r="F212" i="21"/>
  <c r="F211" i="21"/>
  <c r="F210" i="21"/>
  <c r="F209" i="21"/>
  <c r="F206" i="21"/>
  <c r="F205" i="21"/>
  <c r="F204" i="21"/>
  <c r="F203" i="21"/>
  <c r="A277" i="21"/>
  <c r="C277" i="21"/>
  <c r="C276" i="21"/>
  <c r="C275" i="21"/>
  <c r="C274" i="21"/>
  <c r="C273" i="21"/>
  <c r="C272" i="21"/>
  <c r="A271" i="21"/>
  <c r="C271" i="21"/>
  <c r="C270" i="21"/>
  <c r="C269" i="21"/>
  <c r="C268" i="21"/>
  <c r="C267" i="21"/>
  <c r="C266" i="21"/>
  <c r="C265" i="21"/>
  <c r="A264" i="21"/>
  <c r="C264" i="21"/>
  <c r="C263" i="21"/>
  <c r="C262" i="21"/>
  <c r="C261" i="21"/>
  <c r="C260" i="21"/>
  <c r="C259" i="21"/>
  <c r="C258" i="21"/>
  <c r="C257" i="21"/>
  <c r="A257" i="21"/>
  <c r="A253" i="21"/>
  <c r="C256" i="21"/>
  <c r="C255" i="21"/>
  <c r="C254" i="21"/>
  <c r="C253" i="21"/>
  <c r="C252" i="21"/>
  <c r="C251" i="21"/>
  <c r="C250" i="21"/>
  <c r="C249" i="21"/>
  <c r="C248" i="21"/>
  <c r="C247" i="21"/>
  <c r="C246" i="21"/>
  <c r="C245" i="21"/>
  <c r="C244" i="21"/>
  <c r="C243" i="21"/>
  <c r="A242" i="21"/>
  <c r="C242" i="21"/>
  <c r="C229" i="21"/>
  <c r="C228" i="21"/>
  <c r="C227" i="21"/>
  <c r="C226" i="21"/>
  <c r="C225" i="21"/>
  <c r="C224" i="21"/>
  <c r="C223" i="21"/>
  <c r="A223" i="21"/>
  <c r="C222" i="21"/>
  <c r="A202" i="21"/>
  <c r="A208" i="21"/>
  <c r="A216" i="21"/>
  <c r="C221" i="21"/>
  <c r="C220" i="21"/>
  <c r="C219" i="21"/>
  <c r="C218" i="21"/>
  <c r="C217" i="21"/>
  <c r="C216" i="21"/>
  <c r="C215" i="21"/>
  <c r="C214" i="21"/>
  <c r="C213" i="21"/>
  <c r="C212" i="21"/>
  <c r="C211" i="21"/>
  <c r="C210" i="21"/>
  <c r="C209" i="21"/>
  <c r="C208" i="21"/>
  <c r="C207" i="21"/>
  <c r="C206" i="21"/>
  <c r="C205" i="21"/>
  <c r="C204" i="21"/>
  <c r="C203" i="21"/>
  <c r="C202" i="21"/>
  <c r="F78" i="21"/>
  <c r="C78" i="21"/>
  <c r="F77" i="21"/>
  <c r="C77" i="21"/>
  <c r="F76" i="21"/>
  <c r="C76" i="21"/>
  <c r="F75" i="21"/>
  <c r="C75" i="21"/>
  <c r="F74" i="21"/>
  <c r="C74" i="21"/>
  <c r="F225" i="49"/>
  <c r="C225" i="49"/>
  <c r="F224" i="49"/>
  <c r="C224" i="49"/>
  <c r="F223" i="49"/>
  <c r="C223" i="49"/>
  <c r="F222" i="49"/>
  <c r="C222" i="49"/>
  <c r="F221" i="49"/>
  <c r="C221" i="49"/>
  <c r="F220" i="49"/>
  <c r="C220" i="49"/>
  <c r="F219" i="49"/>
  <c r="C219" i="49"/>
  <c r="F218" i="49"/>
  <c r="C218" i="49"/>
  <c r="F217" i="49"/>
  <c r="C217" i="49"/>
  <c r="F92" i="20"/>
  <c r="F91" i="20"/>
  <c r="F90" i="20"/>
  <c r="F89" i="20"/>
  <c r="F88" i="20"/>
  <c r="F71" i="49"/>
  <c r="C71" i="49"/>
  <c r="F70" i="49"/>
  <c r="C70" i="49"/>
  <c r="F69" i="49"/>
  <c r="C69" i="49"/>
  <c r="F68" i="49"/>
  <c r="C68" i="49"/>
  <c r="F67" i="49"/>
  <c r="C67" i="49"/>
  <c r="C175" i="13"/>
  <c r="F174" i="13"/>
  <c r="C174" i="13"/>
  <c r="F173" i="13"/>
  <c r="C173" i="13"/>
  <c r="F172" i="13"/>
  <c r="C172" i="13"/>
  <c r="F171" i="13"/>
  <c r="C171" i="13"/>
  <c r="F170" i="13"/>
  <c r="C170" i="13"/>
  <c r="A169" i="13"/>
  <c r="C169" i="13"/>
  <c r="F168" i="13"/>
  <c r="F167" i="13"/>
  <c r="F166" i="13"/>
  <c r="F165" i="13"/>
  <c r="C168" i="13"/>
  <c r="C167" i="13"/>
  <c r="C166" i="13"/>
  <c r="C165" i="13"/>
  <c r="C164" i="13"/>
  <c r="A164" i="13"/>
  <c r="C161" i="13"/>
  <c r="C160" i="13"/>
  <c r="C159" i="13"/>
  <c r="C158" i="13"/>
  <c r="A158" i="13"/>
  <c r="F161" i="13"/>
  <c r="F160" i="13"/>
  <c r="F159" i="13"/>
  <c r="F157" i="13"/>
  <c r="F156" i="13"/>
  <c r="F155" i="13"/>
  <c r="F154" i="13"/>
  <c r="F153" i="13"/>
  <c r="C157" i="13"/>
  <c r="C156" i="13"/>
  <c r="C155" i="13"/>
  <c r="C154" i="13"/>
  <c r="C153" i="13"/>
  <c r="A152" i="13"/>
  <c r="C152" i="13"/>
  <c r="F151" i="13"/>
  <c r="C151" i="13"/>
  <c r="F150" i="13"/>
  <c r="C150" i="13"/>
  <c r="F149" i="13"/>
  <c r="C149" i="13"/>
  <c r="F148" i="13"/>
  <c r="C148" i="13"/>
  <c r="F147" i="13"/>
  <c r="C147" i="13"/>
  <c r="C146" i="13"/>
  <c r="A146" i="13"/>
  <c r="F208" i="14"/>
  <c r="F207" i="14"/>
  <c r="F206" i="14"/>
  <c r="C208" i="14"/>
  <c r="C207" i="14"/>
  <c r="F214" i="49"/>
  <c r="F213" i="49"/>
  <c r="F212" i="49"/>
  <c r="F211" i="49"/>
  <c r="C214" i="49"/>
  <c r="C213" i="49"/>
  <c r="C212" i="49"/>
  <c r="C211" i="49"/>
  <c r="C210" i="49"/>
  <c r="F206" i="9"/>
  <c r="F205" i="9"/>
  <c r="F204" i="9"/>
  <c r="C206" i="9"/>
  <c r="C205" i="9"/>
  <c r="C204" i="9"/>
  <c r="C203" i="9"/>
  <c r="A203" i="9"/>
  <c r="F203" i="49"/>
  <c r="C203" i="49"/>
  <c r="F202" i="49"/>
  <c r="C202" i="49"/>
  <c r="F201" i="49"/>
  <c r="C201" i="49"/>
  <c r="F200" i="49"/>
  <c r="C200" i="49"/>
  <c r="F199" i="49"/>
  <c r="C199" i="49"/>
  <c r="F172" i="48"/>
  <c r="F171" i="48"/>
  <c r="F170" i="48"/>
  <c r="F169" i="48"/>
  <c r="F168" i="48"/>
  <c r="F167" i="48"/>
  <c r="C172" i="48"/>
  <c r="C171" i="48"/>
  <c r="C170" i="48"/>
  <c r="C169" i="48"/>
  <c r="C168" i="48"/>
  <c r="A237" i="49"/>
  <c r="A230" i="49"/>
  <c r="A226" i="49"/>
  <c r="A215" i="49"/>
  <c r="A191" i="49"/>
  <c r="A197" i="49"/>
  <c r="A204" i="49"/>
  <c r="A209" i="49"/>
  <c r="A184" i="49"/>
  <c r="A176" i="49"/>
  <c r="F241" i="49"/>
  <c r="C241" i="49"/>
  <c r="F240" i="49"/>
  <c r="C240" i="49"/>
  <c r="F239" i="49"/>
  <c r="C239" i="49"/>
  <c r="F238" i="49"/>
  <c r="C238" i="49"/>
  <c r="C237" i="49"/>
  <c r="F236" i="49"/>
  <c r="C236" i="49"/>
  <c r="F235" i="49"/>
  <c r="C235" i="49"/>
  <c r="F234" i="49"/>
  <c r="C234" i="49"/>
  <c r="F233" i="49"/>
  <c r="C233" i="49"/>
  <c r="F232" i="49"/>
  <c r="C232" i="49"/>
  <c r="F231" i="49"/>
  <c r="C231" i="49"/>
  <c r="C230" i="49"/>
  <c r="F229" i="49"/>
  <c r="C229" i="49"/>
  <c r="F228" i="49"/>
  <c r="C228" i="49"/>
  <c r="F227" i="49"/>
  <c r="C227" i="49"/>
  <c r="C226" i="49"/>
  <c r="F216" i="49"/>
  <c r="C216" i="49"/>
  <c r="C215" i="49"/>
  <c r="C209" i="49"/>
  <c r="F208" i="49"/>
  <c r="C208" i="49"/>
  <c r="F207" i="49"/>
  <c r="C207" i="49"/>
  <c r="F206" i="49"/>
  <c r="C206" i="49"/>
  <c r="F205" i="49"/>
  <c r="C205" i="49"/>
  <c r="C204" i="49"/>
  <c r="F198" i="49"/>
  <c r="C198" i="49"/>
  <c r="C197" i="49"/>
  <c r="F196" i="49"/>
  <c r="C196" i="49"/>
  <c r="F195" i="49"/>
  <c r="C195" i="49"/>
  <c r="F194" i="49"/>
  <c r="C194" i="49"/>
  <c r="F193" i="49"/>
  <c r="C193" i="49"/>
  <c r="F192" i="49"/>
  <c r="C192" i="49"/>
  <c r="C191" i="49"/>
  <c r="F190" i="49"/>
  <c r="C190" i="49"/>
  <c r="F189" i="49"/>
  <c r="C189" i="49"/>
  <c r="F188" i="49"/>
  <c r="C188" i="49"/>
  <c r="F187" i="49"/>
  <c r="C187" i="49"/>
  <c r="F186" i="49"/>
  <c r="C186" i="49"/>
  <c r="F185" i="49"/>
  <c r="C185" i="49"/>
  <c r="C184" i="49"/>
  <c r="F183" i="49"/>
  <c r="C183" i="49"/>
  <c r="F182" i="49"/>
  <c r="C182" i="49"/>
  <c r="F181" i="49"/>
  <c r="C181" i="49"/>
  <c r="F180" i="49"/>
  <c r="C180" i="49"/>
  <c r="F179" i="49"/>
  <c r="C179" i="49"/>
  <c r="F178" i="49"/>
  <c r="C178" i="49"/>
  <c r="F177" i="49"/>
  <c r="C177" i="49"/>
  <c r="C176" i="49"/>
  <c r="F305" i="21"/>
  <c r="F304" i="21"/>
  <c r="F303" i="21"/>
  <c r="C305" i="21"/>
  <c r="C304" i="21"/>
  <c r="C303" i="21"/>
  <c r="C302" i="21"/>
  <c r="A302" i="21"/>
  <c r="F240" i="20"/>
  <c r="F239" i="20"/>
  <c r="F238" i="20"/>
  <c r="F237" i="20"/>
  <c r="F236" i="20"/>
  <c r="F235" i="20"/>
  <c r="A234" i="20"/>
  <c r="F58" i="21"/>
  <c r="F57" i="21"/>
  <c r="F56" i="21"/>
  <c r="F55" i="21"/>
  <c r="C59" i="21"/>
  <c r="C58" i="21"/>
  <c r="C57" i="21"/>
  <c r="C56" i="21"/>
  <c r="C55" i="21"/>
  <c r="C54" i="21"/>
  <c r="A54" i="21"/>
  <c r="F129" i="21"/>
  <c r="F128" i="21"/>
  <c r="F127" i="21"/>
  <c r="F126" i="21"/>
  <c r="F125" i="21"/>
  <c r="C129" i="21"/>
  <c r="C128" i="21"/>
  <c r="C127" i="21"/>
  <c r="C126" i="21"/>
  <c r="C125" i="21"/>
  <c r="C124" i="21"/>
  <c r="A124" i="21"/>
  <c r="F6" i="11"/>
  <c r="F5" i="11"/>
  <c r="F4" i="11"/>
  <c r="C6" i="11"/>
  <c r="C5" i="11"/>
  <c r="C4" i="11"/>
  <c r="C3" i="11"/>
  <c r="A3" i="11"/>
  <c r="F249" i="20"/>
  <c r="F248" i="20"/>
  <c r="F247" i="20"/>
  <c r="A246" i="20"/>
  <c r="F182" i="20"/>
  <c r="F181" i="20"/>
  <c r="F180" i="20"/>
  <c r="F179" i="20"/>
  <c r="F178" i="20"/>
  <c r="A177" i="20"/>
  <c r="G189" i="20"/>
  <c r="A189" i="20"/>
  <c r="F115" i="20"/>
  <c r="F114" i="20"/>
  <c r="F113" i="20"/>
  <c r="F112" i="20"/>
  <c r="A111" i="20"/>
  <c r="G138" i="20"/>
  <c r="F110" i="20"/>
  <c r="F109" i="20"/>
  <c r="F108" i="20"/>
  <c r="F107" i="20"/>
  <c r="F106" i="20"/>
  <c r="F105" i="20"/>
  <c r="F152" i="20"/>
  <c r="F151" i="20"/>
  <c r="F150" i="20"/>
  <c r="F149" i="20"/>
  <c r="F148" i="20"/>
  <c r="F147" i="20"/>
  <c r="A104" i="20"/>
  <c r="A146" i="20"/>
  <c r="F145" i="20"/>
  <c r="F144" i="20"/>
  <c r="F143" i="20"/>
  <c r="F142" i="20"/>
  <c r="F141" i="20"/>
  <c r="A139" i="20"/>
  <c r="A138" i="20"/>
  <c r="A153" i="20"/>
  <c r="F154" i="20"/>
  <c r="F155" i="20"/>
  <c r="F156" i="20"/>
  <c r="F157" i="20"/>
  <c r="F158" i="20"/>
  <c r="F48" i="20"/>
  <c r="F47" i="20"/>
  <c r="F46" i="20"/>
  <c r="F45" i="20"/>
  <c r="C49" i="20"/>
  <c r="C48" i="20"/>
  <c r="C47" i="20"/>
  <c r="C46" i="20"/>
  <c r="C45" i="20"/>
  <c r="C44" i="20"/>
  <c r="A44" i="20"/>
  <c r="F9" i="20"/>
  <c r="C9" i="20"/>
  <c r="F8" i="20"/>
  <c r="C8" i="20"/>
  <c r="F7" i="20"/>
  <c r="C7" i="20"/>
  <c r="F6" i="20"/>
  <c r="C6" i="20"/>
  <c r="F5" i="20"/>
  <c r="C5" i="20"/>
  <c r="F4" i="20"/>
  <c r="C4" i="20"/>
  <c r="C3" i="20"/>
  <c r="A3" i="20"/>
  <c r="F35" i="49"/>
  <c r="F34" i="49"/>
  <c r="F33" i="49"/>
  <c r="F32" i="49"/>
  <c r="C36" i="49"/>
  <c r="A31" i="49"/>
  <c r="C35" i="49"/>
  <c r="C34" i="49"/>
  <c r="C33" i="49"/>
  <c r="C32" i="49"/>
  <c r="C31" i="49"/>
  <c r="F45" i="18"/>
  <c r="F44" i="18"/>
  <c r="F43" i="18"/>
  <c r="F42" i="18"/>
  <c r="C46" i="18"/>
  <c r="C45" i="18"/>
  <c r="C44" i="18"/>
  <c r="C43" i="18"/>
  <c r="C42" i="18"/>
  <c r="C41" i="18"/>
  <c r="A41" i="18"/>
  <c r="F6" i="49"/>
  <c r="F5" i="49"/>
  <c r="F4" i="49"/>
  <c r="A3" i="49"/>
  <c r="C6" i="49"/>
  <c r="C5" i="49"/>
  <c r="C4" i="49"/>
  <c r="C3" i="49"/>
  <c r="G259" i="49"/>
  <c r="F258" i="49"/>
  <c r="F257" i="49"/>
  <c r="F256" i="49"/>
  <c r="C260" i="49"/>
  <c r="C259" i="49"/>
  <c r="A259" i="49"/>
  <c r="C258" i="49"/>
  <c r="C257" i="49"/>
  <c r="C256" i="49"/>
  <c r="C255" i="49"/>
  <c r="A255" i="49"/>
  <c r="F249" i="49"/>
  <c r="F248" i="49"/>
  <c r="F247" i="49"/>
  <c r="C249" i="49"/>
  <c r="C248" i="49"/>
  <c r="C247" i="49"/>
  <c r="C246" i="49"/>
  <c r="A246" i="49"/>
  <c r="F139" i="49"/>
  <c r="F138" i="49"/>
  <c r="F137" i="49"/>
  <c r="F136" i="49"/>
  <c r="F135" i="49"/>
  <c r="C139" i="49"/>
  <c r="C138" i="49"/>
  <c r="C137" i="49"/>
  <c r="C136" i="49"/>
  <c r="C135" i="49"/>
  <c r="C134" i="49"/>
  <c r="A134" i="49"/>
  <c r="G148" i="49"/>
  <c r="A148" i="49"/>
  <c r="C148" i="49"/>
  <c r="G116" i="49"/>
  <c r="C116" i="49"/>
  <c r="A116" i="49"/>
  <c r="F99" i="49"/>
  <c r="F98" i="49"/>
  <c r="F97" i="49"/>
  <c r="F96" i="49"/>
  <c r="A95" i="49"/>
  <c r="C99" i="49"/>
  <c r="C98" i="49"/>
  <c r="C97" i="49"/>
  <c r="C96" i="49"/>
  <c r="C95" i="49"/>
  <c r="F113" i="49"/>
  <c r="F112" i="49"/>
  <c r="F111" i="49"/>
  <c r="F110" i="49"/>
  <c r="F109" i="49"/>
  <c r="G107" i="49"/>
  <c r="A108" i="49"/>
  <c r="A107" i="49"/>
  <c r="C114" i="49"/>
  <c r="C113" i="49"/>
  <c r="C112" i="49"/>
  <c r="C111" i="49"/>
  <c r="C110" i="49"/>
  <c r="C109" i="49"/>
  <c r="C108" i="49"/>
  <c r="C107" i="49"/>
  <c r="G64" i="20"/>
  <c r="A64" i="20"/>
  <c r="G43" i="49"/>
  <c r="A43" i="49"/>
  <c r="C43" i="49"/>
  <c r="F231" i="20"/>
  <c r="F230" i="20"/>
  <c r="G228" i="20"/>
  <c r="G224" i="20"/>
  <c r="F222" i="20"/>
  <c r="F221" i="20"/>
  <c r="F220" i="20"/>
  <c r="F219" i="20"/>
  <c r="F217" i="20"/>
  <c r="F216" i="20"/>
  <c r="F215" i="20"/>
  <c r="F214" i="20"/>
  <c r="F213" i="20"/>
  <c r="F212" i="20"/>
  <c r="F210" i="20"/>
  <c r="F209" i="20"/>
  <c r="F208" i="20"/>
  <c r="F207" i="20"/>
  <c r="F206" i="20"/>
  <c r="F205" i="20"/>
  <c r="F203" i="20"/>
  <c r="F202" i="20"/>
  <c r="F201" i="20"/>
  <c r="F200" i="20"/>
  <c r="F199" i="20"/>
  <c r="F198" i="20"/>
  <c r="F196" i="20"/>
  <c r="F195" i="20"/>
  <c r="F194" i="20"/>
  <c r="F193" i="20"/>
  <c r="F192" i="20"/>
  <c r="F191" i="20"/>
  <c r="F176" i="20"/>
  <c r="F175" i="20"/>
  <c r="F174" i="20"/>
  <c r="F173" i="20"/>
  <c r="F188" i="20"/>
  <c r="F187" i="20"/>
  <c r="F186" i="20"/>
  <c r="F185" i="20"/>
  <c r="F184" i="20"/>
  <c r="F87" i="20"/>
  <c r="F98" i="20"/>
  <c r="F97" i="20"/>
  <c r="F96" i="20"/>
  <c r="F95" i="20"/>
  <c r="F94" i="20"/>
  <c r="F85" i="20"/>
  <c r="F84" i="20"/>
  <c r="F83" i="20"/>
  <c r="F81" i="20"/>
  <c r="F80" i="20"/>
  <c r="F79" i="20"/>
  <c r="F78" i="20"/>
  <c r="F77" i="20"/>
  <c r="F165" i="20"/>
  <c r="F164" i="20"/>
  <c r="F163" i="20"/>
  <c r="F162" i="20"/>
  <c r="F161" i="20"/>
  <c r="F171" i="20"/>
  <c r="F170" i="20"/>
  <c r="F169" i="20"/>
  <c r="F168" i="20"/>
  <c r="F167" i="20"/>
  <c r="G159" i="20"/>
  <c r="F137" i="20"/>
  <c r="F136" i="20"/>
  <c r="F135" i="20"/>
  <c r="F134" i="20"/>
  <c r="F132" i="20"/>
  <c r="F131" i="20"/>
  <c r="F129" i="20"/>
  <c r="F128" i="20"/>
  <c r="F127" i="20"/>
  <c r="F126" i="20"/>
  <c r="F125" i="20"/>
  <c r="F124" i="20"/>
  <c r="F122" i="20"/>
  <c r="F121" i="20"/>
  <c r="F120" i="20"/>
  <c r="F119" i="20"/>
  <c r="F118" i="20"/>
  <c r="F117" i="20"/>
  <c r="F75" i="20"/>
  <c r="F74" i="20"/>
  <c r="F73" i="20"/>
  <c r="F72" i="20"/>
  <c r="F63" i="20"/>
  <c r="F62" i="20"/>
  <c r="F61" i="20"/>
  <c r="F60" i="20"/>
  <c r="F59" i="20"/>
  <c r="F58" i="20"/>
  <c r="F57" i="20"/>
  <c r="F53" i="20"/>
  <c r="F40" i="20"/>
  <c r="F35" i="20"/>
  <c r="F33" i="20"/>
  <c r="F32" i="20"/>
  <c r="F31" i="20"/>
  <c r="F30" i="20"/>
  <c r="F29" i="20"/>
  <c r="F27" i="20"/>
  <c r="F26" i="20"/>
  <c r="F25" i="20"/>
  <c r="F24" i="20"/>
  <c r="F23" i="20"/>
  <c r="F22" i="20"/>
  <c r="F20" i="20"/>
  <c r="F19" i="20"/>
  <c r="F18" i="20"/>
  <c r="F16" i="20"/>
  <c r="F15" i="20"/>
  <c r="F14" i="20"/>
  <c r="F12" i="20"/>
  <c r="F11" i="20"/>
  <c r="C154" i="18"/>
  <c r="F154" i="18"/>
  <c r="F158" i="18"/>
  <c r="F152" i="18"/>
  <c r="F151" i="18"/>
  <c r="F150" i="18"/>
  <c r="F149" i="18"/>
  <c r="F148" i="18"/>
  <c r="C152" i="18"/>
  <c r="C151" i="18"/>
  <c r="C150" i="18"/>
  <c r="C149" i="18"/>
  <c r="C148" i="18"/>
  <c r="C147" i="18"/>
  <c r="A147" i="18"/>
  <c r="F178" i="18"/>
  <c r="F177" i="18"/>
  <c r="F176" i="18"/>
  <c r="F175" i="18"/>
  <c r="A174" i="18"/>
  <c r="C179" i="18"/>
  <c r="C178" i="18"/>
  <c r="C177" i="18"/>
  <c r="C176" i="18"/>
  <c r="C175" i="18"/>
  <c r="C174" i="18"/>
  <c r="A138" i="18"/>
  <c r="C141" i="18"/>
  <c r="C140" i="18"/>
  <c r="C139" i="18"/>
  <c r="C138" i="18"/>
  <c r="A153" i="18"/>
  <c r="C153" i="18"/>
  <c r="C157" i="18"/>
  <c r="A157" i="18"/>
  <c r="G70" i="18"/>
  <c r="C70" i="18"/>
  <c r="A70" i="18"/>
  <c r="G69" i="17"/>
  <c r="F159" i="48"/>
  <c r="C159" i="48"/>
  <c r="F158" i="48"/>
  <c r="C158" i="48"/>
  <c r="C217" i="48"/>
  <c r="F206" i="48"/>
  <c r="F205" i="48"/>
  <c r="F204" i="48"/>
  <c r="F202" i="48"/>
  <c r="F200" i="48"/>
  <c r="F199" i="48"/>
  <c r="F198" i="48"/>
  <c r="F197" i="48"/>
  <c r="F195" i="48"/>
  <c r="F194" i="48"/>
  <c r="F193" i="48"/>
  <c r="F192" i="48"/>
  <c r="F191" i="48"/>
  <c r="F190" i="48"/>
  <c r="F188" i="48"/>
  <c r="F187" i="48"/>
  <c r="F186" i="48"/>
  <c r="F184" i="48"/>
  <c r="F183" i="48"/>
  <c r="F182" i="48"/>
  <c r="F181" i="48"/>
  <c r="F180" i="48"/>
  <c r="F178" i="48"/>
  <c r="F177" i="48"/>
  <c r="F176" i="48"/>
  <c r="F175" i="48"/>
  <c r="F174" i="48"/>
  <c r="F165" i="48"/>
  <c r="F164" i="48"/>
  <c r="F163" i="48"/>
  <c r="F162" i="48"/>
  <c r="F161" i="48"/>
  <c r="F157" i="48"/>
  <c r="F156" i="48"/>
  <c r="F154" i="48"/>
  <c r="F153" i="48"/>
  <c r="F152" i="48"/>
  <c r="F151" i="48"/>
  <c r="F150" i="48"/>
  <c r="F149" i="48"/>
  <c r="F147" i="48"/>
  <c r="F146" i="48"/>
  <c r="F145" i="48"/>
  <c r="F144" i="48"/>
  <c r="F143" i="48"/>
  <c r="F142" i="48"/>
  <c r="F140" i="48"/>
  <c r="F139" i="48"/>
  <c r="F138" i="48"/>
  <c r="F137" i="48"/>
  <c r="F136" i="48"/>
  <c r="F135" i="48"/>
  <c r="F134" i="48"/>
  <c r="C207" i="48"/>
  <c r="C206" i="48"/>
  <c r="C205" i="48"/>
  <c r="C204" i="48"/>
  <c r="A203" i="48"/>
  <c r="A196" i="48"/>
  <c r="C203" i="48"/>
  <c r="C202" i="48"/>
  <c r="C201" i="48"/>
  <c r="C200" i="48"/>
  <c r="C199" i="48"/>
  <c r="C198" i="48"/>
  <c r="C197" i="48"/>
  <c r="C196" i="48"/>
  <c r="C195" i="48"/>
  <c r="C194" i="48"/>
  <c r="C193" i="48"/>
  <c r="C192" i="48"/>
  <c r="C191" i="48"/>
  <c r="C190" i="48"/>
  <c r="A189" i="48"/>
  <c r="C189" i="48"/>
  <c r="C188" i="48"/>
  <c r="C187" i="48"/>
  <c r="C186" i="48"/>
  <c r="C185" i="48"/>
  <c r="A185" i="48"/>
  <c r="A173" i="48"/>
  <c r="A179" i="48"/>
  <c r="C184" i="48"/>
  <c r="C183" i="48"/>
  <c r="C182" i="48"/>
  <c r="C181" i="48"/>
  <c r="C180" i="48"/>
  <c r="C179" i="48"/>
  <c r="C178" i="48"/>
  <c r="C177" i="48"/>
  <c r="C176" i="48"/>
  <c r="C175" i="48"/>
  <c r="C174" i="48"/>
  <c r="A166" i="48"/>
  <c r="A160" i="48"/>
  <c r="C173" i="48"/>
  <c r="C167" i="48"/>
  <c r="C166" i="48"/>
  <c r="C165" i="48"/>
  <c r="C164" i="48"/>
  <c r="C163" i="48"/>
  <c r="C162" i="48"/>
  <c r="C161" i="48"/>
  <c r="C160" i="48"/>
  <c r="C157" i="48"/>
  <c r="C156" i="48"/>
  <c r="C155" i="48"/>
  <c r="A155" i="48"/>
  <c r="C154" i="48"/>
  <c r="C153" i="48"/>
  <c r="C152" i="48"/>
  <c r="C151" i="48"/>
  <c r="C150" i="48"/>
  <c r="C149" i="48"/>
  <c r="A148" i="48"/>
  <c r="A141" i="48"/>
  <c r="C148" i="48"/>
  <c r="C147" i="48"/>
  <c r="C146" i="48"/>
  <c r="C145" i="48"/>
  <c r="C144" i="48"/>
  <c r="C143" i="48"/>
  <c r="C142" i="48"/>
  <c r="C141" i="48"/>
  <c r="C140" i="48"/>
  <c r="C139" i="48"/>
  <c r="C138" i="48"/>
  <c r="C137" i="48"/>
  <c r="C136" i="48"/>
  <c r="C135" i="48"/>
  <c r="C134" i="48"/>
  <c r="A133" i="48"/>
  <c r="C133" i="48"/>
  <c r="F87" i="48"/>
  <c r="F82" i="48"/>
  <c r="F81" i="48"/>
  <c r="F80" i="48"/>
  <c r="F79" i="48"/>
  <c r="F78" i="48"/>
  <c r="C82" i="48"/>
  <c r="C81" i="48"/>
  <c r="C79" i="48"/>
  <c r="C78" i="48"/>
  <c r="C77" i="48"/>
  <c r="A77" i="48"/>
  <c r="G76" i="48"/>
  <c r="A76" i="48"/>
  <c r="C76" i="48"/>
  <c r="C87" i="48"/>
  <c r="C86" i="48"/>
  <c r="C85" i="48"/>
  <c r="A85" i="48"/>
  <c r="F43" i="48"/>
  <c r="F42" i="48"/>
  <c r="F41" i="48"/>
  <c r="F39" i="48"/>
  <c r="F38" i="48"/>
  <c r="F37" i="48"/>
  <c r="F14" i="48"/>
  <c r="F13" i="48"/>
  <c r="F12" i="48"/>
  <c r="F11" i="48"/>
  <c r="F10" i="48"/>
  <c r="F8" i="48"/>
  <c r="F7" i="48"/>
  <c r="F6" i="48"/>
  <c r="F5" i="48"/>
  <c r="F4" i="48"/>
  <c r="F128" i="48"/>
  <c r="F127" i="48"/>
  <c r="F126" i="48"/>
  <c r="F125" i="48"/>
  <c r="F124" i="48"/>
  <c r="F123" i="48"/>
  <c r="F121" i="48"/>
  <c r="F120" i="48"/>
  <c r="F119" i="48"/>
  <c r="F118" i="48"/>
  <c r="F117" i="48"/>
  <c r="F116" i="48"/>
  <c r="F114" i="48"/>
  <c r="F113" i="48"/>
  <c r="F112" i="48"/>
  <c r="F111" i="48"/>
  <c r="F110" i="48"/>
  <c r="F109" i="48"/>
  <c r="C128" i="48"/>
  <c r="C127" i="48"/>
  <c r="C126" i="48"/>
  <c r="C125" i="48"/>
  <c r="C124" i="48"/>
  <c r="C123" i="48"/>
  <c r="C122" i="48"/>
  <c r="A122" i="48"/>
  <c r="C121" i="48"/>
  <c r="C120" i="48"/>
  <c r="C119" i="48"/>
  <c r="C118" i="48"/>
  <c r="C117" i="48"/>
  <c r="C116" i="48"/>
  <c r="A115" i="48"/>
  <c r="C115" i="48"/>
  <c r="C114" i="48"/>
  <c r="C113" i="48"/>
  <c r="C112" i="48"/>
  <c r="C111" i="48"/>
  <c r="C110" i="48"/>
  <c r="C109" i="48"/>
  <c r="C108" i="48"/>
  <c r="A108" i="48"/>
  <c r="C43" i="48"/>
  <c r="C42" i="48"/>
  <c r="C41" i="48"/>
  <c r="C40" i="48"/>
  <c r="A40" i="48"/>
  <c r="C39" i="48"/>
  <c r="C38" i="48"/>
  <c r="C37" i="48"/>
  <c r="C36" i="48"/>
  <c r="A36" i="48"/>
  <c r="C14" i="48"/>
  <c r="C13" i="48"/>
  <c r="C12" i="48"/>
  <c r="C11" i="48"/>
  <c r="C10" i="48"/>
  <c r="C9" i="48"/>
  <c r="A9" i="48"/>
  <c r="C8" i="48"/>
  <c r="C7" i="48"/>
  <c r="C6" i="48"/>
  <c r="C5" i="48"/>
  <c r="C4" i="48"/>
  <c r="C3" i="48"/>
  <c r="A3" i="48"/>
  <c r="A24" i="48"/>
  <c r="A27" i="48"/>
  <c r="F29" i="48"/>
  <c r="C29" i="48"/>
  <c r="F28" i="48"/>
  <c r="C28" i="48"/>
  <c r="C27" i="48"/>
  <c r="C26" i="48"/>
  <c r="C25" i="48"/>
  <c r="C19" i="48"/>
  <c r="C17" i="48"/>
  <c r="C104" i="48"/>
  <c r="A104" i="48"/>
  <c r="F68" i="48"/>
  <c r="F67" i="48"/>
  <c r="F66" i="48"/>
  <c r="F65" i="48"/>
  <c r="F64" i="48"/>
  <c r="F63" i="48"/>
  <c r="C68" i="48"/>
  <c r="C67" i="48"/>
  <c r="C66" i="48"/>
  <c r="C65" i="48"/>
  <c r="C64" i="48"/>
  <c r="C63" i="48"/>
  <c r="C62" i="48"/>
  <c r="A62" i="48"/>
  <c r="G15" i="48"/>
  <c r="A15" i="48"/>
  <c r="C15" i="48"/>
  <c r="C208" i="15"/>
  <c r="F186" i="15"/>
  <c r="F185" i="15"/>
  <c r="F184" i="15"/>
  <c r="F183" i="15"/>
  <c r="F180" i="15"/>
  <c r="F179" i="15"/>
  <c r="F178" i="15"/>
  <c r="F177" i="15"/>
  <c r="F175" i="15"/>
  <c r="F174" i="15"/>
  <c r="F173" i="15"/>
  <c r="F171" i="15"/>
  <c r="F170" i="15"/>
  <c r="F169" i="15"/>
  <c r="F167" i="15"/>
  <c r="F166" i="15"/>
  <c r="F165" i="15"/>
  <c r="F164" i="15"/>
  <c r="F163" i="15"/>
  <c r="F161" i="15"/>
  <c r="F160" i="15"/>
  <c r="F159" i="15"/>
  <c r="F157" i="15"/>
  <c r="F156" i="15"/>
  <c r="F155" i="15"/>
  <c r="F154" i="15"/>
  <c r="F153" i="15"/>
  <c r="F145" i="15"/>
  <c r="F144" i="15"/>
  <c r="F143" i="15"/>
  <c r="F141" i="15"/>
  <c r="F140" i="15"/>
  <c r="F138" i="15"/>
  <c r="F137" i="15"/>
  <c r="F136" i="15"/>
  <c r="F135" i="15"/>
  <c r="F134" i="15"/>
  <c r="C186" i="15"/>
  <c r="C185" i="15"/>
  <c r="C184" i="15"/>
  <c r="C183" i="15"/>
  <c r="C182" i="15"/>
  <c r="A182" i="15"/>
  <c r="C181" i="15"/>
  <c r="C180" i="15"/>
  <c r="C179" i="15"/>
  <c r="C178" i="15"/>
  <c r="C177" i="15"/>
  <c r="C176" i="15"/>
  <c r="A176" i="15"/>
  <c r="C175" i="15"/>
  <c r="C174" i="15"/>
  <c r="A172" i="15"/>
  <c r="C173" i="15"/>
  <c r="C172" i="15"/>
  <c r="C171" i="15"/>
  <c r="C170" i="15"/>
  <c r="C169" i="15"/>
  <c r="C168" i="15"/>
  <c r="A168" i="15"/>
  <c r="C167" i="15"/>
  <c r="A162" i="15"/>
  <c r="C166" i="15"/>
  <c r="C165" i="15"/>
  <c r="C164" i="15"/>
  <c r="C163" i="15"/>
  <c r="C162" i="15"/>
  <c r="C161" i="15"/>
  <c r="C160" i="15"/>
  <c r="C159" i="15"/>
  <c r="A158" i="15"/>
  <c r="C158" i="15"/>
  <c r="C157" i="15"/>
  <c r="C156" i="15"/>
  <c r="C155" i="15"/>
  <c r="C154" i="15"/>
  <c r="C153" i="15"/>
  <c r="A152" i="15"/>
  <c r="C152" i="15"/>
  <c r="C146" i="15"/>
  <c r="A146" i="15"/>
  <c r="C145" i="15"/>
  <c r="C144" i="15"/>
  <c r="C143" i="15"/>
  <c r="C141" i="15"/>
  <c r="C140" i="15"/>
  <c r="A139" i="15"/>
  <c r="C139" i="15"/>
  <c r="C138" i="15"/>
  <c r="C137" i="15"/>
  <c r="C136" i="15"/>
  <c r="C135" i="15"/>
  <c r="C134" i="15"/>
  <c r="C133" i="15"/>
  <c r="A125" i="15"/>
  <c r="A133" i="15"/>
  <c r="F132" i="15"/>
  <c r="F131" i="15"/>
  <c r="F130" i="15"/>
  <c r="F129" i="15"/>
  <c r="F128" i="15"/>
  <c r="F127" i="15"/>
  <c r="F126" i="15"/>
  <c r="C132" i="15"/>
  <c r="C131" i="15"/>
  <c r="C130" i="15"/>
  <c r="C129" i="15"/>
  <c r="C128" i="15"/>
  <c r="C127" i="15"/>
  <c r="C126" i="15"/>
  <c r="C125" i="15"/>
  <c r="F221" i="14"/>
  <c r="F220" i="14"/>
  <c r="F219" i="14"/>
  <c r="F218" i="14"/>
  <c r="F215" i="14"/>
  <c r="F214" i="14"/>
  <c r="F212" i="14"/>
  <c r="F210" i="14"/>
  <c r="F209" i="14"/>
  <c r="F204" i="14"/>
  <c r="F203" i="14"/>
  <c r="F202" i="14"/>
  <c r="F201" i="14"/>
  <c r="F200" i="14"/>
  <c r="F198" i="14"/>
  <c r="F197" i="14"/>
  <c r="F196" i="14"/>
  <c r="F195" i="14"/>
  <c r="F194" i="14"/>
  <c r="F156" i="14"/>
  <c r="F155" i="14"/>
  <c r="F154" i="14"/>
  <c r="F153" i="14"/>
  <c r="F152" i="14"/>
  <c r="F151" i="14"/>
  <c r="F149" i="14"/>
  <c r="F148" i="14"/>
  <c r="F147" i="14"/>
  <c r="F146" i="14"/>
  <c r="F145" i="14"/>
  <c r="F144" i="14"/>
  <c r="F192" i="14"/>
  <c r="F191" i="14"/>
  <c r="F190" i="14"/>
  <c r="F188" i="14"/>
  <c r="F187" i="14"/>
  <c r="F186" i="14"/>
  <c r="F185" i="14"/>
  <c r="F183" i="14"/>
  <c r="F182" i="14"/>
  <c r="F181" i="14"/>
  <c r="F179" i="14"/>
  <c r="F178" i="14"/>
  <c r="F176" i="14"/>
  <c r="F175" i="14"/>
  <c r="F174" i="14"/>
  <c r="F173" i="14"/>
  <c r="F172" i="14"/>
  <c r="F170" i="14"/>
  <c r="F169" i="14"/>
  <c r="F168" i="14"/>
  <c r="F165" i="14"/>
  <c r="F164" i="14"/>
  <c r="F163" i="14"/>
  <c r="F142" i="14"/>
  <c r="F141" i="14"/>
  <c r="F140" i="14"/>
  <c r="F139" i="14"/>
  <c r="F138" i="14"/>
  <c r="F137" i="14"/>
  <c r="F136" i="14"/>
  <c r="F133" i="14"/>
  <c r="F132" i="14"/>
  <c r="F131" i="14"/>
  <c r="F130" i="14"/>
  <c r="F128" i="14"/>
  <c r="F127" i="14"/>
  <c r="F126" i="14"/>
  <c r="C222" i="14"/>
  <c r="C221" i="14"/>
  <c r="C220" i="14"/>
  <c r="C219" i="14"/>
  <c r="C218" i="14"/>
  <c r="A217" i="14"/>
  <c r="C217" i="14"/>
  <c r="C215" i="14"/>
  <c r="C214" i="14"/>
  <c r="C212" i="14"/>
  <c r="A211" i="14"/>
  <c r="C211" i="14"/>
  <c r="C210" i="14"/>
  <c r="C209" i="14"/>
  <c r="A205" i="14"/>
  <c r="C206" i="14"/>
  <c r="C205" i="14"/>
  <c r="A199" i="14"/>
  <c r="A150" i="14"/>
  <c r="A193" i="14"/>
  <c r="C204" i="14"/>
  <c r="C203" i="14"/>
  <c r="C202" i="14"/>
  <c r="C201" i="14"/>
  <c r="C200" i="14"/>
  <c r="C199" i="14"/>
  <c r="C198" i="14"/>
  <c r="C197" i="14"/>
  <c r="C196" i="14"/>
  <c r="C195" i="14"/>
  <c r="C194" i="14"/>
  <c r="C193" i="14"/>
  <c r="C156" i="14"/>
  <c r="C155" i="14"/>
  <c r="C154" i="14"/>
  <c r="C153" i="14"/>
  <c r="C152" i="14"/>
  <c r="C151" i="14"/>
  <c r="C150" i="14"/>
  <c r="C149" i="14"/>
  <c r="C148" i="14"/>
  <c r="C147" i="14"/>
  <c r="C146" i="14"/>
  <c r="C145" i="14"/>
  <c r="C144" i="14"/>
  <c r="A143" i="14"/>
  <c r="C143" i="14"/>
  <c r="A189" i="14"/>
  <c r="C192" i="14"/>
  <c r="C191" i="14"/>
  <c r="C190" i="14"/>
  <c r="C189" i="14"/>
  <c r="A184" i="14"/>
  <c r="A177" i="14"/>
  <c r="C188" i="14"/>
  <c r="C187" i="14"/>
  <c r="C186" i="14"/>
  <c r="C185" i="14"/>
  <c r="C184" i="14"/>
  <c r="C183" i="14"/>
  <c r="C182" i="14"/>
  <c r="C181" i="14"/>
  <c r="C179" i="14"/>
  <c r="C178" i="14"/>
  <c r="C177" i="14"/>
  <c r="A125" i="14"/>
  <c r="A129" i="14"/>
  <c r="A135" i="14"/>
  <c r="A162" i="14"/>
  <c r="A167" i="14"/>
  <c r="A171" i="14"/>
  <c r="C176" i="14"/>
  <c r="C175" i="14"/>
  <c r="C174" i="14"/>
  <c r="C173" i="14"/>
  <c r="C172" i="14"/>
  <c r="C171" i="14"/>
  <c r="C167" i="14"/>
  <c r="C170" i="14"/>
  <c r="C169" i="14"/>
  <c r="C168" i="14"/>
  <c r="C165" i="14"/>
  <c r="C164" i="14"/>
  <c r="C163" i="14"/>
  <c r="C162" i="14"/>
  <c r="C142" i="14"/>
  <c r="C141" i="14"/>
  <c r="C140" i="14"/>
  <c r="C139" i="14"/>
  <c r="C138" i="14"/>
  <c r="C137" i="14"/>
  <c r="C136" i="14"/>
  <c r="C135" i="14"/>
  <c r="C134" i="14"/>
  <c r="C133" i="14"/>
  <c r="C132" i="14"/>
  <c r="C131" i="14"/>
  <c r="C130" i="14"/>
  <c r="C129" i="14"/>
  <c r="C128" i="14"/>
  <c r="C127" i="14"/>
  <c r="C126" i="14"/>
  <c r="C125" i="14"/>
  <c r="F131" i="13"/>
  <c r="C131" i="13"/>
  <c r="F130" i="13"/>
  <c r="C130" i="13"/>
  <c r="F129" i="13"/>
  <c r="C129" i="13"/>
  <c r="F128" i="13"/>
  <c r="C128" i="13"/>
  <c r="F127" i="13"/>
  <c r="C127" i="13"/>
  <c r="F126" i="13"/>
  <c r="C126" i="13"/>
  <c r="F125" i="13"/>
  <c r="C125" i="13"/>
  <c r="A124" i="13"/>
  <c r="C124" i="13"/>
  <c r="A139" i="13"/>
  <c r="F145" i="13"/>
  <c r="F144" i="13"/>
  <c r="F143" i="13"/>
  <c r="F142" i="13"/>
  <c r="F141" i="13"/>
  <c r="F140" i="13"/>
  <c r="F138" i="13"/>
  <c r="F137" i="13"/>
  <c r="F136" i="13"/>
  <c r="F135" i="13"/>
  <c r="F134" i="13"/>
  <c r="F133" i="13"/>
  <c r="C145" i="13"/>
  <c r="C144" i="13"/>
  <c r="C143" i="13"/>
  <c r="C142" i="13"/>
  <c r="C141" i="13"/>
  <c r="C140" i="13"/>
  <c r="C139" i="13"/>
  <c r="C138" i="13"/>
  <c r="C137" i="13"/>
  <c r="C136" i="13"/>
  <c r="C135" i="13"/>
  <c r="C134" i="13"/>
  <c r="C133" i="13"/>
  <c r="C132" i="13"/>
  <c r="A132" i="13"/>
  <c r="C58" i="13"/>
  <c r="F57" i="13"/>
  <c r="C57" i="13"/>
  <c r="F56" i="13"/>
  <c r="C56" i="13"/>
  <c r="F122" i="13"/>
  <c r="F121" i="13"/>
  <c r="F120" i="13"/>
  <c r="F119" i="13"/>
  <c r="F117" i="13"/>
  <c r="F116" i="13"/>
  <c r="F115" i="13"/>
  <c r="C117" i="13"/>
  <c r="C116" i="13"/>
  <c r="C115" i="13"/>
  <c r="A118" i="13"/>
  <c r="A114" i="13"/>
  <c r="C114" i="13"/>
  <c r="F114" i="11"/>
  <c r="F113" i="11"/>
  <c r="F112" i="11"/>
  <c r="A111" i="11"/>
  <c r="C114" i="11"/>
  <c r="C113" i="11"/>
  <c r="C112" i="11"/>
  <c r="C111" i="11"/>
  <c r="C118" i="13"/>
  <c r="C119" i="13"/>
  <c r="C120" i="13"/>
  <c r="C121" i="13"/>
  <c r="C122" i="13"/>
  <c r="C123" i="13"/>
  <c r="A115" i="11"/>
  <c r="C115" i="11"/>
  <c r="C116" i="11"/>
  <c r="F116" i="11"/>
  <c r="C117" i="11"/>
  <c r="F117" i="11"/>
  <c r="C118" i="11"/>
  <c r="F118" i="11"/>
  <c r="C119" i="11"/>
  <c r="F119" i="11"/>
  <c r="C120" i="11"/>
  <c r="A121" i="11"/>
  <c r="C121" i="11"/>
  <c r="C122" i="11"/>
  <c r="F122" i="11"/>
  <c r="C123" i="11"/>
  <c r="F123" i="11"/>
  <c r="C124" i="11"/>
  <c r="F124" i="11"/>
  <c r="C125" i="11"/>
  <c r="F125" i="11"/>
  <c r="C126" i="11"/>
  <c r="F126" i="11"/>
  <c r="C127" i="11"/>
  <c r="F127" i="11"/>
  <c r="A128" i="11"/>
  <c r="C128" i="11"/>
  <c r="C129" i="11"/>
  <c r="F129" i="11"/>
  <c r="C130" i="11"/>
  <c r="F130" i="11"/>
  <c r="C131" i="11"/>
  <c r="F131" i="11"/>
  <c r="C132" i="11"/>
  <c r="F132" i="11"/>
  <c r="C133" i="11"/>
  <c r="F133" i="11"/>
  <c r="C134" i="11"/>
  <c r="F134" i="11"/>
  <c r="A135" i="11"/>
  <c r="C135" i="11"/>
  <c r="C136" i="11"/>
  <c r="F136" i="11"/>
  <c r="C137" i="11"/>
  <c r="F137" i="11"/>
  <c r="C138" i="11"/>
  <c r="F138" i="11"/>
  <c r="C139" i="11"/>
  <c r="F139" i="11"/>
  <c r="C140" i="11"/>
  <c r="F111" i="10"/>
  <c r="F110" i="10"/>
  <c r="F109" i="10"/>
  <c r="A108" i="10"/>
  <c r="C111" i="10"/>
  <c r="C110" i="10"/>
  <c r="C109" i="10"/>
  <c r="C108" i="10"/>
  <c r="F113" i="10"/>
  <c r="F114" i="10"/>
  <c r="F115" i="10"/>
  <c r="F116" i="10"/>
  <c r="F119" i="10"/>
  <c r="F120" i="10"/>
  <c r="F121" i="10"/>
  <c r="F122" i="10"/>
  <c r="F123" i="10"/>
  <c r="F124" i="10"/>
  <c r="F125" i="10"/>
  <c r="F141" i="10"/>
  <c r="F142" i="10"/>
  <c r="F143" i="10"/>
  <c r="F127" i="10"/>
  <c r="F128" i="10"/>
  <c r="F129" i="10"/>
  <c r="F130" i="10"/>
  <c r="F131" i="10"/>
  <c r="F132" i="10"/>
  <c r="F134" i="10"/>
  <c r="F135" i="10"/>
  <c r="F136" i="10"/>
  <c r="F137" i="10"/>
  <c r="F138" i="10"/>
  <c r="F139" i="10"/>
  <c r="F145" i="10"/>
  <c r="F146" i="10"/>
  <c r="F147" i="10"/>
  <c r="F148" i="10"/>
  <c r="A112" i="10"/>
  <c r="C112" i="10"/>
  <c r="C113" i="10"/>
  <c r="C114" i="10"/>
  <c r="C115" i="10"/>
  <c r="C116" i="10"/>
  <c r="C117" i="10"/>
  <c r="A118" i="10"/>
  <c r="C118" i="10"/>
  <c r="C119" i="10"/>
  <c r="C120" i="10"/>
  <c r="C121" i="10"/>
  <c r="C122" i="10"/>
  <c r="C123" i="10"/>
  <c r="C124" i="10"/>
  <c r="C125" i="10"/>
  <c r="A140" i="10"/>
  <c r="C140" i="10"/>
  <c r="C141" i="10"/>
  <c r="C142" i="10"/>
  <c r="C143" i="10"/>
  <c r="A126" i="10"/>
  <c r="C126" i="10"/>
  <c r="C127" i="10"/>
  <c r="C128" i="10"/>
  <c r="C129" i="10"/>
  <c r="C130" i="10"/>
  <c r="C131" i="10"/>
  <c r="C132" i="10"/>
  <c r="A133" i="10"/>
  <c r="C133" i="10"/>
  <c r="C134" i="10"/>
  <c r="C135" i="10"/>
  <c r="C136" i="10"/>
  <c r="C137" i="10"/>
  <c r="C138" i="10"/>
  <c r="C139" i="10"/>
  <c r="A144" i="10"/>
  <c r="C144" i="10"/>
  <c r="C145" i="10"/>
  <c r="C146" i="10"/>
  <c r="C147" i="10"/>
  <c r="C148" i="10"/>
  <c r="C149" i="10"/>
  <c r="A165" i="10"/>
  <c r="C167" i="10"/>
  <c r="C166" i="10"/>
  <c r="C165" i="10"/>
  <c r="F185" i="10"/>
  <c r="F184" i="10"/>
  <c r="F183" i="10"/>
  <c r="F125" i="9"/>
  <c r="F124" i="9"/>
  <c r="F123" i="9"/>
  <c r="F122" i="9"/>
  <c r="C126" i="9"/>
  <c r="C125" i="9"/>
  <c r="C124" i="9"/>
  <c r="C123" i="9"/>
  <c r="C122" i="9"/>
  <c r="C121" i="9"/>
  <c r="A121" i="9"/>
  <c r="F116" i="9"/>
  <c r="F115" i="9"/>
  <c r="F114" i="9"/>
  <c r="F113" i="9"/>
  <c r="F112" i="9"/>
  <c r="F111" i="9"/>
  <c r="F109" i="9"/>
  <c r="F108" i="9"/>
  <c r="F107" i="9"/>
  <c r="F106" i="9"/>
  <c r="F105" i="9"/>
  <c r="F104" i="9"/>
  <c r="F120" i="9"/>
  <c r="F119" i="9"/>
  <c r="F118" i="9"/>
  <c r="F102" i="9"/>
  <c r="F101" i="9"/>
  <c r="F100" i="9"/>
  <c r="F99" i="9"/>
  <c r="F98" i="9"/>
  <c r="F97" i="9"/>
  <c r="F96" i="9"/>
  <c r="F93" i="9"/>
  <c r="F92" i="9"/>
  <c r="F91" i="9"/>
  <c r="F90" i="9"/>
  <c r="C120" i="9"/>
  <c r="C119" i="9"/>
  <c r="C118" i="9"/>
  <c r="C117" i="9"/>
  <c r="A117" i="9"/>
  <c r="C102" i="9"/>
  <c r="A95" i="9"/>
  <c r="C101" i="9"/>
  <c r="C100" i="9"/>
  <c r="C99" i="9"/>
  <c r="C98" i="9"/>
  <c r="C97" i="9"/>
  <c r="C96" i="9"/>
  <c r="C95" i="9"/>
  <c r="C116" i="9"/>
  <c r="C115" i="9"/>
  <c r="C114" i="9"/>
  <c r="C113" i="9"/>
  <c r="C112" i="9"/>
  <c r="C111" i="9"/>
  <c r="A110" i="9"/>
  <c r="C110" i="9"/>
  <c r="C109" i="9"/>
  <c r="C108" i="9"/>
  <c r="C107" i="9"/>
  <c r="C106" i="9"/>
  <c r="C105" i="9"/>
  <c r="C104" i="9"/>
  <c r="C103" i="9"/>
  <c r="A103" i="9"/>
  <c r="C94" i="9"/>
  <c r="C93" i="9"/>
  <c r="C92" i="9"/>
  <c r="C91" i="9"/>
  <c r="C90" i="9"/>
  <c r="C89" i="9"/>
  <c r="A89" i="9"/>
  <c r="F69" i="12"/>
  <c r="F68" i="12"/>
  <c r="F67" i="12"/>
  <c r="F58" i="12"/>
  <c r="F57" i="12"/>
  <c r="F56" i="12"/>
  <c r="F55" i="12"/>
  <c r="C59" i="12"/>
  <c r="C58" i="12"/>
  <c r="C57" i="12"/>
  <c r="C56" i="12"/>
  <c r="C55" i="12"/>
  <c r="C54" i="12"/>
  <c r="A54" i="12"/>
  <c r="F27" i="12"/>
  <c r="F26" i="12"/>
  <c r="F25" i="12"/>
  <c r="F24" i="12"/>
  <c r="F23" i="12"/>
  <c r="F22" i="12"/>
  <c r="C27" i="12"/>
  <c r="C26" i="12"/>
  <c r="C25" i="12"/>
  <c r="C24" i="12"/>
  <c r="C23" i="12"/>
  <c r="C22" i="12"/>
  <c r="C21" i="12"/>
  <c r="A21" i="12"/>
  <c r="F41" i="12"/>
  <c r="F40" i="12"/>
  <c r="F39" i="12"/>
  <c r="F38" i="12"/>
  <c r="F37" i="12"/>
  <c r="F36" i="12"/>
  <c r="C41" i="12"/>
  <c r="C40" i="12"/>
  <c r="C39" i="12"/>
  <c r="C38" i="12"/>
  <c r="C37" i="12"/>
  <c r="C36" i="12"/>
  <c r="C35" i="12"/>
  <c r="A35" i="12"/>
  <c r="F116" i="8"/>
  <c r="F115" i="8"/>
  <c r="F114" i="8"/>
  <c r="C116" i="8"/>
  <c r="C115" i="8"/>
  <c r="C114" i="8"/>
  <c r="C113" i="8"/>
  <c r="A113" i="8"/>
  <c r="C128" i="8"/>
  <c r="C127" i="8"/>
  <c r="C126" i="8"/>
  <c r="C125" i="8"/>
  <c r="C124" i="8"/>
  <c r="C123" i="8"/>
  <c r="C122" i="8"/>
  <c r="A122" i="8"/>
  <c r="G245" i="49"/>
  <c r="C245" i="49"/>
  <c r="A245" i="49"/>
  <c r="G243" i="49"/>
  <c r="C244" i="49"/>
  <c r="C243" i="49"/>
  <c r="A243" i="49"/>
  <c r="F174" i="49"/>
  <c r="C174" i="49"/>
  <c r="F173" i="49"/>
  <c r="C173" i="49"/>
  <c r="F172" i="49"/>
  <c r="C172" i="49"/>
  <c r="F171" i="49"/>
  <c r="C171" i="49"/>
  <c r="C170" i="49"/>
  <c r="A170" i="49"/>
  <c r="F169" i="49"/>
  <c r="C169" i="49"/>
  <c r="F168" i="49"/>
  <c r="C168" i="49"/>
  <c r="F167" i="49"/>
  <c r="F166" i="49"/>
  <c r="C166" i="49"/>
  <c r="F165" i="49"/>
  <c r="C165" i="49"/>
  <c r="F164" i="49"/>
  <c r="C164" i="49"/>
  <c r="C163" i="49"/>
  <c r="A163" i="49"/>
  <c r="F162" i="49"/>
  <c r="C162" i="49"/>
  <c r="F161" i="49"/>
  <c r="C161" i="49"/>
  <c r="F160" i="49"/>
  <c r="C160" i="49"/>
  <c r="F159" i="49"/>
  <c r="C159" i="49"/>
  <c r="F158" i="49"/>
  <c r="C158" i="49"/>
  <c r="F157" i="49"/>
  <c r="C157" i="49"/>
  <c r="C156" i="49"/>
  <c r="A156" i="49"/>
  <c r="G140" i="49"/>
  <c r="C142" i="49"/>
  <c r="F141" i="49"/>
  <c r="C141" i="49"/>
  <c r="C140" i="49"/>
  <c r="A140" i="49"/>
  <c r="F133" i="49"/>
  <c r="C133" i="49"/>
  <c r="F132" i="49"/>
  <c r="C132" i="49"/>
  <c r="F131" i="49"/>
  <c r="C131" i="49"/>
  <c r="F130" i="49"/>
  <c r="C130" i="49"/>
  <c r="C129" i="49"/>
  <c r="A129" i="49"/>
  <c r="F128" i="49"/>
  <c r="C128" i="49"/>
  <c r="F127" i="49"/>
  <c r="C127" i="49"/>
  <c r="F126" i="49"/>
  <c r="C126" i="49"/>
  <c r="F125" i="49"/>
  <c r="C125" i="49"/>
  <c r="C124" i="49"/>
  <c r="A124" i="49"/>
  <c r="F66" i="49"/>
  <c r="C66" i="49"/>
  <c r="C65" i="49"/>
  <c r="A65" i="49"/>
  <c r="F77" i="49"/>
  <c r="C77" i="49"/>
  <c r="F76" i="49"/>
  <c r="C76" i="49"/>
  <c r="F75" i="49"/>
  <c r="C75" i="49"/>
  <c r="F74" i="49"/>
  <c r="C74" i="49"/>
  <c r="F73" i="49"/>
  <c r="C73" i="49"/>
  <c r="C72" i="49"/>
  <c r="A72" i="49"/>
  <c r="C123" i="49"/>
  <c r="A123" i="49"/>
  <c r="F64" i="49"/>
  <c r="C64" i="49"/>
  <c r="F63" i="49"/>
  <c r="C63" i="49"/>
  <c r="F62" i="49"/>
  <c r="C62" i="49"/>
  <c r="C61" i="49"/>
  <c r="A61" i="49"/>
  <c r="F60" i="49"/>
  <c r="C60" i="49"/>
  <c r="F59" i="49"/>
  <c r="C59" i="49"/>
  <c r="F58" i="49"/>
  <c r="C58" i="49"/>
  <c r="F57" i="49"/>
  <c r="C57" i="49"/>
  <c r="F56" i="49"/>
  <c r="C56" i="49"/>
  <c r="C55" i="49"/>
  <c r="A55" i="49"/>
  <c r="F122" i="49"/>
  <c r="C122" i="49"/>
  <c r="F121" i="49"/>
  <c r="C121" i="49"/>
  <c r="F120" i="49"/>
  <c r="C120" i="49"/>
  <c r="F119" i="49"/>
  <c r="C119" i="49"/>
  <c r="F118" i="49"/>
  <c r="C118" i="49"/>
  <c r="C117" i="49"/>
  <c r="A117" i="49"/>
  <c r="F106" i="49"/>
  <c r="C106" i="49"/>
  <c r="F105" i="49"/>
  <c r="C105" i="49"/>
  <c r="F104" i="49"/>
  <c r="C104" i="49"/>
  <c r="F103" i="49"/>
  <c r="C103" i="49"/>
  <c r="F102" i="49"/>
  <c r="C102" i="49"/>
  <c r="F101" i="49"/>
  <c r="C101" i="49"/>
  <c r="C100" i="49"/>
  <c r="A100" i="49"/>
  <c r="F94" i="49"/>
  <c r="C94" i="49"/>
  <c r="F93" i="49"/>
  <c r="C93" i="49"/>
  <c r="F92" i="49"/>
  <c r="C92" i="49"/>
  <c r="F91" i="49"/>
  <c r="C91" i="49"/>
  <c r="F90" i="49"/>
  <c r="C90" i="49"/>
  <c r="F89" i="49"/>
  <c r="C89" i="49"/>
  <c r="F88" i="49"/>
  <c r="C88" i="49"/>
  <c r="F87" i="49"/>
  <c r="C87" i="49"/>
  <c r="F86" i="49"/>
  <c r="C86" i="49"/>
  <c r="C85" i="49"/>
  <c r="A85" i="49"/>
  <c r="F84" i="49"/>
  <c r="C84" i="49"/>
  <c r="F83" i="49"/>
  <c r="C83" i="49"/>
  <c r="F82" i="49"/>
  <c r="C82" i="49"/>
  <c r="F81" i="49"/>
  <c r="C81" i="49"/>
  <c r="F80" i="49"/>
  <c r="C80" i="49"/>
  <c r="F79" i="49"/>
  <c r="C79" i="49"/>
  <c r="C78" i="49"/>
  <c r="A78" i="49"/>
  <c r="G115" i="49"/>
  <c r="C115" i="49"/>
  <c r="A115" i="49"/>
  <c r="F54" i="49"/>
  <c r="C54" i="49"/>
  <c r="F53" i="49"/>
  <c r="C53" i="49"/>
  <c r="F52" i="49"/>
  <c r="C52" i="49"/>
  <c r="F51" i="49"/>
  <c r="C51" i="49"/>
  <c r="C50" i="49"/>
  <c r="A50" i="49"/>
  <c r="F40" i="49"/>
  <c r="C40" i="49"/>
  <c r="C39" i="49"/>
  <c r="A39" i="49"/>
  <c r="C38" i="49"/>
  <c r="C37" i="49"/>
  <c r="A37" i="49"/>
  <c r="F30" i="49"/>
  <c r="C30" i="49"/>
  <c r="F29" i="49"/>
  <c r="C29" i="49"/>
  <c r="F28" i="49"/>
  <c r="C28" i="49"/>
  <c r="F27" i="49"/>
  <c r="C27" i="49"/>
  <c r="F26" i="49"/>
  <c r="C26" i="49"/>
  <c r="C25" i="49"/>
  <c r="A25" i="49"/>
  <c r="F24" i="49"/>
  <c r="C24" i="49"/>
  <c r="F23" i="49"/>
  <c r="C23" i="49"/>
  <c r="F22" i="49"/>
  <c r="C22" i="49"/>
  <c r="F21" i="49"/>
  <c r="C21" i="49"/>
  <c r="F20" i="49"/>
  <c r="C20" i="49"/>
  <c r="F19" i="49"/>
  <c r="C19" i="49"/>
  <c r="C18" i="49"/>
  <c r="A18" i="49"/>
  <c r="F17" i="49"/>
  <c r="C17" i="49"/>
  <c r="F16" i="49"/>
  <c r="C16" i="49"/>
  <c r="F15" i="49"/>
  <c r="C15" i="49"/>
  <c r="C14" i="49"/>
  <c r="A14" i="49"/>
  <c r="F13" i="49"/>
  <c r="C13" i="49"/>
  <c r="F12" i="49"/>
  <c r="C12" i="49"/>
  <c r="F11" i="49"/>
  <c r="C11" i="49"/>
  <c r="F10" i="49"/>
  <c r="C10" i="49"/>
  <c r="F9" i="49"/>
  <c r="C9" i="49"/>
  <c r="F8" i="49"/>
  <c r="C8" i="49"/>
  <c r="C7" i="49"/>
  <c r="A7" i="49"/>
  <c r="C131" i="48"/>
  <c r="A131" i="48"/>
  <c r="C130" i="48"/>
  <c r="A130" i="48"/>
  <c r="C129" i="48"/>
  <c r="A129" i="48"/>
  <c r="F103" i="48"/>
  <c r="C103" i="48"/>
  <c r="F102" i="48"/>
  <c r="C102" i="48"/>
  <c r="F101" i="48"/>
  <c r="C101" i="48"/>
  <c r="F100" i="48"/>
  <c r="C100" i="48"/>
  <c r="C99" i="48"/>
  <c r="A99" i="48"/>
  <c r="F61" i="48"/>
  <c r="C61" i="48"/>
  <c r="F60" i="48"/>
  <c r="C60" i="48"/>
  <c r="F59" i="48"/>
  <c r="C59" i="48"/>
  <c r="F58" i="48"/>
  <c r="C58" i="48"/>
  <c r="F57" i="48"/>
  <c r="C57" i="48"/>
  <c r="C56" i="48"/>
  <c r="A56" i="48"/>
  <c r="F92" i="48"/>
  <c r="C92" i="48"/>
  <c r="F91" i="48"/>
  <c r="C91" i="48"/>
  <c r="F90" i="48"/>
  <c r="C90" i="48"/>
  <c r="F89" i="48"/>
  <c r="C89" i="48"/>
  <c r="C88" i="48"/>
  <c r="A88" i="48"/>
  <c r="F55" i="48"/>
  <c r="C55" i="48"/>
  <c r="F54" i="48"/>
  <c r="C54" i="48"/>
  <c r="F53" i="48"/>
  <c r="C53" i="48"/>
  <c r="F52" i="48"/>
  <c r="C52" i="48"/>
  <c r="F51" i="48"/>
  <c r="C51" i="48"/>
  <c r="C50" i="48"/>
  <c r="A50" i="48"/>
  <c r="F75" i="48"/>
  <c r="C75" i="48"/>
  <c r="F74" i="48"/>
  <c r="C74" i="48"/>
  <c r="F73" i="48"/>
  <c r="C73" i="48"/>
  <c r="F72" i="48"/>
  <c r="C72" i="48"/>
  <c r="F71" i="48"/>
  <c r="C71" i="48"/>
  <c r="F70" i="48"/>
  <c r="C70" i="48"/>
  <c r="C69" i="48"/>
  <c r="A69" i="48"/>
  <c r="F49" i="48"/>
  <c r="C49" i="48"/>
  <c r="F48" i="48"/>
  <c r="C48" i="48"/>
  <c r="F47" i="48"/>
  <c r="C47" i="48"/>
  <c r="F46" i="48"/>
  <c r="C46" i="48"/>
  <c r="F45" i="48"/>
  <c r="C45" i="48"/>
  <c r="C44" i="48"/>
  <c r="A44" i="48"/>
  <c r="F98" i="48"/>
  <c r="C98" i="48"/>
  <c r="F97" i="48"/>
  <c r="C97" i="48"/>
  <c r="F96" i="48"/>
  <c r="C96" i="48"/>
  <c r="F95" i="48"/>
  <c r="C95" i="48"/>
  <c r="F94" i="48"/>
  <c r="C94" i="48"/>
  <c r="C93" i="48"/>
  <c r="A93" i="48"/>
  <c r="F35" i="48"/>
  <c r="C35" i="48"/>
  <c r="F34" i="48"/>
  <c r="C34" i="48"/>
  <c r="F33" i="48"/>
  <c r="C33" i="48"/>
  <c r="C32" i="48"/>
  <c r="A32" i="48"/>
  <c r="F21" i="48"/>
  <c r="C21" i="48"/>
  <c r="C20" i="48"/>
  <c r="A20" i="48"/>
  <c r="C18" i="48"/>
  <c r="C16" i="48"/>
  <c r="A16" i="48"/>
  <c r="F74" i="24"/>
  <c r="F73" i="24"/>
  <c r="F72" i="24"/>
  <c r="F60" i="24"/>
  <c r="F59" i="24"/>
  <c r="F58" i="24"/>
  <c r="A71" i="24"/>
  <c r="A57" i="24"/>
  <c r="C74" i="24"/>
  <c r="C73" i="24"/>
  <c r="C72" i="24"/>
  <c r="C71" i="24"/>
  <c r="C60" i="24"/>
  <c r="C59" i="24"/>
  <c r="C58" i="24"/>
  <c r="C57" i="24"/>
  <c r="F30" i="24"/>
  <c r="F29" i="24"/>
  <c r="F28" i="24"/>
  <c r="F27" i="24"/>
  <c r="F26" i="24"/>
  <c r="C30" i="24"/>
  <c r="C29" i="24"/>
  <c r="C28" i="24"/>
  <c r="C27" i="24"/>
  <c r="C26" i="24"/>
  <c r="C25" i="24"/>
  <c r="A25" i="24"/>
  <c r="A17" i="24"/>
  <c r="F24" i="24"/>
  <c r="F23" i="24"/>
  <c r="F22" i="24"/>
  <c r="F21" i="24"/>
  <c r="F20" i="24"/>
  <c r="F19" i="24"/>
  <c r="F18" i="24"/>
  <c r="C24" i="24"/>
  <c r="C23" i="24"/>
  <c r="C22" i="24"/>
  <c r="C21" i="24"/>
  <c r="C20" i="24"/>
  <c r="C19" i="24"/>
  <c r="C18" i="24"/>
  <c r="C17" i="24"/>
  <c r="C54" i="24"/>
  <c r="A53" i="24"/>
  <c r="C53" i="24"/>
  <c r="C52" i="24"/>
  <c r="C51" i="24"/>
  <c r="C50" i="24"/>
  <c r="C49" i="24"/>
  <c r="C48" i="24"/>
  <c r="C47" i="24"/>
  <c r="A47" i="24"/>
  <c r="F13" i="24"/>
  <c r="F12" i="24"/>
  <c r="F11" i="24"/>
  <c r="F4" i="24"/>
  <c r="C4" i="24"/>
  <c r="C3" i="24"/>
  <c r="A3" i="24"/>
  <c r="C13" i="24"/>
  <c r="C12" i="24"/>
  <c r="C11" i="24"/>
  <c r="C10" i="24"/>
  <c r="A10" i="24"/>
  <c r="F62" i="25"/>
  <c r="F61" i="25"/>
  <c r="F60" i="25"/>
  <c r="C62" i="25"/>
  <c r="C61" i="25"/>
  <c r="C60" i="25"/>
  <c r="C59" i="25"/>
  <c r="A59" i="25"/>
  <c r="F58" i="25"/>
  <c r="F57" i="25"/>
  <c r="F56" i="25"/>
  <c r="F55" i="25"/>
  <c r="F54" i="25"/>
  <c r="F53" i="25"/>
  <c r="C58" i="25"/>
  <c r="C57" i="25"/>
  <c r="C56" i="25"/>
  <c r="C55" i="25"/>
  <c r="C54" i="25"/>
  <c r="C53" i="25"/>
  <c r="C52" i="25"/>
  <c r="A52" i="25"/>
  <c r="F78" i="25"/>
  <c r="F77" i="25"/>
  <c r="F76" i="25"/>
  <c r="F75" i="25"/>
  <c r="F74" i="25"/>
  <c r="F73" i="25"/>
  <c r="F72" i="25"/>
  <c r="C72" i="25"/>
  <c r="C71" i="25"/>
  <c r="A71" i="25"/>
  <c r="F35" i="25"/>
  <c r="F34" i="25"/>
  <c r="F33" i="25"/>
  <c r="F32" i="25"/>
  <c r="F31" i="25"/>
  <c r="C35" i="25"/>
  <c r="C34" i="25"/>
  <c r="C33" i="25"/>
  <c r="C32" i="25"/>
  <c r="C31" i="25"/>
  <c r="C30" i="25"/>
  <c r="A30" i="25"/>
  <c r="F24" i="25"/>
  <c r="F23" i="25"/>
  <c r="F22" i="25"/>
  <c r="F21" i="25"/>
  <c r="F20" i="25"/>
  <c r="F19" i="25"/>
  <c r="F18" i="25"/>
  <c r="C24" i="25"/>
  <c r="C23" i="25"/>
  <c r="C22" i="25"/>
  <c r="C21" i="25"/>
  <c r="C20" i="25"/>
  <c r="C19" i="25"/>
  <c r="C18" i="25"/>
  <c r="C17" i="25"/>
  <c r="A17" i="25"/>
  <c r="C196" i="25"/>
  <c r="C197" i="25"/>
  <c r="C198" i="25"/>
  <c r="C199" i="25"/>
  <c r="C201" i="25"/>
  <c r="C202" i="25"/>
  <c r="F66" i="25"/>
  <c r="F65" i="25"/>
  <c r="F64" i="25"/>
  <c r="C66" i="25"/>
  <c r="C65" i="25"/>
  <c r="C64" i="25"/>
  <c r="C63" i="25"/>
  <c r="A63" i="25"/>
  <c r="F70" i="25"/>
  <c r="F69" i="25"/>
  <c r="F68" i="25"/>
  <c r="C70" i="25"/>
  <c r="C69" i="25"/>
  <c r="C68" i="25"/>
  <c r="C67" i="25"/>
  <c r="A67" i="25"/>
  <c r="F28" i="25"/>
  <c r="F27" i="25"/>
  <c r="C29" i="25"/>
  <c r="C28" i="25"/>
  <c r="C27" i="25"/>
  <c r="C26" i="25"/>
  <c r="C25" i="25"/>
  <c r="A25" i="25"/>
  <c r="F9" i="25"/>
  <c r="C9" i="25"/>
  <c r="F8" i="25"/>
  <c r="C8" i="25"/>
  <c r="F7" i="25"/>
  <c r="C7" i="25"/>
  <c r="F6" i="25"/>
  <c r="C6" i="25"/>
  <c r="F5" i="25"/>
  <c r="C5" i="25"/>
  <c r="F4" i="25"/>
  <c r="C4" i="25"/>
  <c r="C3" i="25"/>
  <c r="A3" i="25"/>
  <c r="F16" i="25"/>
  <c r="F15" i="25"/>
  <c r="F14" i="25"/>
  <c r="F13" i="25"/>
  <c r="F12" i="25"/>
  <c r="F11" i="25"/>
  <c r="C16" i="25"/>
  <c r="C15" i="25"/>
  <c r="C14" i="25"/>
  <c r="C13" i="25"/>
  <c r="C12" i="25"/>
  <c r="C11" i="25"/>
  <c r="C10" i="25"/>
  <c r="A10" i="25"/>
  <c r="F42" i="25"/>
  <c r="F37" i="25"/>
  <c r="A41" i="25"/>
  <c r="C42" i="25"/>
  <c r="C41" i="25"/>
  <c r="C37" i="25"/>
  <c r="C36" i="25"/>
  <c r="A36" i="25"/>
  <c r="F23" i="23"/>
  <c r="F22" i="23"/>
  <c r="F21" i="23"/>
  <c r="F20" i="23"/>
  <c r="F19" i="23"/>
  <c r="F18" i="23"/>
  <c r="C23" i="23"/>
  <c r="C22" i="23"/>
  <c r="C21" i="23"/>
  <c r="C20" i="23"/>
  <c r="C19" i="23"/>
  <c r="C18" i="23"/>
  <c r="F23" i="21"/>
  <c r="F22" i="21"/>
  <c r="F21" i="21"/>
  <c r="F20" i="21"/>
  <c r="F19" i="21"/>
  <c r="F18" i="21"/>
  <c r="C23" i="21"/>
  <c r="C22" i="21"/>
  <c r="C21" i="21"/>
  <c r="C20" i="21"/>
  <c r="C19" i="21"/>
  <c r="C18" i="21"/>
  <c r="F50" i="21"/>
  <c r="F45" i="21"/>
  <c r="A49" i="21"/>
  <c r="C50" i="21"/>
  <c r="C49" i="21"/>
  <c r="C45" i="21"/>
  <c r="C44" i="21"/>
  <c r="A44" i="21"/>
  <c r="F23" i="18"/>
  <c r="F22" i="18"/>
  <c r="F21" i="18"/>
  <c r="F20" i="18"/>
  <c r="F19" i="18"/>
  <c r="F18" i="18"/>
  <c r="C23" i="18"/>
  <c r="C22" i="18"/>
  <c r="C21" i="18"/>
  <c r="C20" i="18"/>
  <c r="C19" i="18"/>
  <c r="C18" i="18"/>
  <c r="F37" i="18"/>
  <c r="A36" i="18"/>
  <c r="C37" i="18"/>
  <c r="C36" i="18"/>
  <c r="C40" i="20"/>
  <c r="C39" i="20"/>
  <c r="A39" i="20"/>
  <c r="C35" i="20"/>
  <c r="C34" i="20"/>
  <c r="A34" i="20"/>
  <c r="F33" i="23"/>
  <c r="A32" i="23"/>
  <c r="C33" i="23"/>
  <c r="C32" i="23"/>
  <c r="F55" i="26"/>
  <c r="F54" i="26"/>
  <c r="F53" i="26"/>
  <c r="F52" i="26"/>
  <c r="F51" i="26"/>
  <c r="F50" i="26"/>
  <c r="C50" i="26"/>
  <c r="C51" i="26"/>
  <c r="C52" i="26"/>
  <c r="C53" i="26"/>
  <c r="C54" i="26"/>
  <c r="C55" i="26"/>
  <c r="C49" i="26"/>
  <c r="F9" i="27"/>
  <c r="F8" i="27"/>
  <c r="F7" i="27"/>
  <c r="F6" i="27"/>
  <c r="F5" i="27"/>
  <c r="F4" i="27"/>
  <c r="C9" i="27"/>
  <c r="C8" i="27"/>
  <c r="C7" i="27"/>
  <c r="C6" i="27"/>
  <c r="C5" i="27"/>
  <c r="C4" i="27"/>
  <c r="C3" i="27"/>
  <c r="A3" i="27"/>
  <c r="F24" i="27"/>
  <c r="F23" i="27"/>
  <c r="F22" i="27"/>
  <c r="F21" i="27"/>
  <c r="F20" i="27"/>
  <c r="F19" i="27"/>
  <c r="F18" i="27"/>
  <c r="F17" i="27"/>
  <c r="F16" i="27"/>
  <c r="C24" i="27"/>
  <c r="C23" i="27"/>
  <c r="C22" i="27"/>
  <c r="C21" i="27"/>
  <c r="C20" i="27"/>
  <c r="C19" i="27"/>
  <c r="C18" i="27"/>
  <c r="C17" i="27"/>
  <c r="C16" i="27"/>
  <c r="C15" i="27"/>
  <c r="A15" i="27"/>
  <c r="F31" i="23"/>
  <c r="F30" i="23"/>
  <c r="F29" i="23"/>
  <c r="F28" i="23"/>
  <c r="F27" i="23"/>
  <c r="F26" i="23"/>
  <c r="F25" i="23"/>
  <c r="C31" i="23"/>
  <c r="C30" i="23"/>
  <c r="C29" i="23"/>
  <c r="C28" i="23"/>
  <c r="C27" i="23"/>
  <c r="C26" i="23"/>
  <c r="C25" i="23"/>
  <c r="C24" i="23"/>
  <c r="A24" i="23"/>
  <c r="C17" i="23"/>
  <c r="A17" i="23"/>
  <c r="F16" i="23"/>
  <c r="F15" i="23"/>
  <c r="F14" i="23"/>
  <c r="F13" i="23"/>
  <c r="F12" i="23"/>
  <c r="F11" i="23"/>
  <c r="C16" i="23"/>
  <c r="C15" i="23"/>
  <c r="C14" i="23"/>
  <c r="C13" i="23"/>
  <c r="C12" i="23"/>
  <c r="C11" i="23"/>
  <c r="C10" i="23"/>
  <c r="A10" i="23"/>
  <c r="F31" i="21"/>
  <c r="F30" i="21"/>
  <c r="F29" i="21"/>
  <c r="F28" i="21"/>
  <c r="F27" i="21"/>
  <c r="F26" i="21"/>
  <c r="F25" i="21"/>
  <c r="C31" i="21"/>
  <c r="C30" i="21"/>
  <c r="C29" i="21"/>
  <c r="C28" i="21"/>
  <c r="C27" i="21"/>
  <c r="C26" i="21"/>
  <c r="C25" i="21"/>
  <c r="C24" i="21"/>
  <c r="A24" i="21"/>
  <c r="F63" i="21"/>
  <c r="F62" i="21"/>
  <c r="F61" i="21"/>
  <c r="C63" i="21"/>
  <c r="C62" i="21"/>
  <c r="C61" i="21"/>
  <c r="C60" i="21"/>
  <c r="A60" i="21"/>
  <c r="C17" i="21"/>
  <c r="A17" i="21"/>
  <c r="F134" i="22"/>
  <c r="F133" i="22"/>
  <c r="C134" i="22"/>
  <c r="C133" i="22"/>
  <c r="C132" i="22"/>
  <c r="A132" i="22"/>
  <c r="F9" i="22"/>
  <c r="F8" i="22"/>
  <c r="F7" i="22"/>
  <c r="F6" i="22"/>
  <c r="F5" i="22"/>
  <c r="F4" i="22"/>
  <c r="C9" i="22"/>
  <c r="C8" i="22"/>
  <c r="C7" i="22"/>
  <c r="C6" i="22"/>
  <c r="C5" i="22"/>
  <c r="C4" i="22"/>
  <c r="C3" i="22"/>
  <c r="A3" i="22"/>
  <c r="C131" i="22"/>
  <c r="C130" i="22"/>
  <c r="C129" i="22"/>
  <c r="C128" i="22"/>
  <c r="C127" i="22"/>
  <c r="A127" i="22"/>
  <c r="F291" i="23"/>
  <c r="F290" i="23"/>
  <c r="C291" i="23"/>
  <c r="C290" i="23"/>
  <c r="A289" i="23"/>
  <c r="F283" i="23"/>
  <c r="C283" i="23"/>
  <c r="F282" i="23"/>
  <c r="C282" i="23"/>
  <c r="F281" i="23"/>
  <c r="C281" i="23"/>
  <c r="F280" i="23"/>
  <c r="C280" i="23"/>
  <c r="F279" i="23"/>
  <c r="C279" i="23"/>
  <c r="F278" i="23"/>
  <c r="C278" i="23"/>
  <c r="C277" i="23"/>
  <c r="A277" i="23"/>
  <c r="F287" i="23"/>
  <c r="F286" i="23"/>
  <c r="F285" i="23"/>
  <c r="C288" i="23"/>
  <c r="C287" i="23"/>
  <c r="C286" i="23"/>
  <c r="C285" i="23"/>
  <c r="C284" i="23"/>
  <c r="A284" i="23"/>
  <c r="F100" i="23"/>
  <c r="C100" i="23"/>
  <c r="F296" i="21"/>
  <c r="F295" i="21"/>
  <c r="F294" i="21"/>
  <c r="F293" i="21"/>
  <c r="F292" i="21"/>
  <c r="F291" i="21"/>
  <c r="C296" i="21"/>
  <c r="C295" i="21"/>
  <c r="C294" i="21"/>
  <c r="C293" i="21"/>
  <c r="C292" i="21"/>
  <c r="C291" i="21"/>
  <c r="A290" i="21"/>
  <c r="C290" i="21"/>
  <c r="F289" i="21"/>
  <c r="F288" i="21"/>
  <c r="F287" i="21"/>
  <c r="F286" i="21"/>
  <c r="C289" i="21"/>
  <c r="C288" i="21"/>
  <c r="C287" i="21"/>
  <c r="C286" i="21"/>
  <c r="C285" i="21"/>
  <c r="A285" i="21"/>
  <c r="F283" i="21"/>
  <c r="F282" i="21"/>
  <c r="F281" i="21"/>
  <c r="C284" i="21"/>
  <c r="C283" i="21"/>
  <c r="C282" i="21"/>
  <c r="C281" i="21"/>
  <c r="C280" i="21"/>
  <c r="A280" i="21"/>
  <c r="F71" i="21"/>
  <c r="F70" i="21"/>
  <c r="F69" i="21"/>
  <c r="F68" i="21"/>
  <c r="F67" i="21"/>
  <c r="F66" i="21"/>
  <c r="F65" i="21"/>
  <c r="C65" i="21"/>
  <c r="A64" i="21"/>
  <c r="C64" i="21"/>
  <c r="A32" i="21"/>
  <c r="A10" i="21"/>
  <c r="F16" i="21"/>
  <c r="F15" i="21"/>
  <c r="F14" i="21"/>
  <c r="F13" i="21"/>
  <c r="F12" i="21"/>
  <c r="F11" i="21"/>
  <c r="F9" i="21"/>
  <c r="F8" i="21"/>
  <c r="F7" i="21"/>
  <c r="F6" i="21"/>
  <c r="F5" i="21"/>
  <c r="F4" i="21"/>
  <c r="A38" i="21"/>
  <c r="C38" i="21"/>
  <c r="F43" i="21"/>
  <c r="F42" i="21"/>
  <c r="F41" i="21"/>
  <c r="F40" i="21"/>
  <c r="F39" i="21"/>
  <c r="C43" i="21"/>
  <c r="C42" i="21"/>
  <c r="C41" i="21"/>
  <c r="C40" i="21"/>
  <c r="C39" i="21"/>
  <c r="F37" i="21"/>
  <c r="F36" i="21"/>
  <c r="F35" i="21"/>
  <c r="F34" i="21"/>
  <c r="F33" i="21"/>
  <c r="C37" i="21"/>
  <c r="C36" i="21"/>
  <c r="C35" i="21"/>
  <c r="C34" i="21"/>
  <c r="C33" i="21"/>
  <c r="C32" i="21"/>
  <c r="C16" i="21"/>
  <c r="C15" i="21"/>
  <c r="C14" i="21"/>
  <c r="C13" i="21"/>
  <c r="C12" i="21"/>
  <c r="C11" i="21"/>
  <c r="C9" i="21"/>
  <c r="C8" i="21"/>
  <c r="C7" i="21"/>
  <c r="C6" i="21"/>
  <c r="C5" i="21"/>
  <c r="C4" i="21"/>
  <c r="C10" i="21"/>
  <c r="C3" i="21"/>
  <c r="A3" i="21"/>
  <c r="A228" i="20"/>
  <c r="A229" i="20"/>
  <c r="A224" i="20"/>
  <c r="A56" i="20"/>
  <c r="C33" i="20"/>
  <c r="C32" i="20"/>
  <c r="C31" i="20"/>
  <c r="C30" i="20"/>
  <c r="C29" i="20"/>
  <c r="C27" i="20"/>
  <c r="C26" i="20"/>
  <c r="C25" i="20"/>
  <c r="C24" i="20"/>
  <c r="C23" i="20"/>
  <c r="C22" i="20"/>
  <c r="A28" i="20"/>
  <c r="A21" i="20"/>
  <c r="C28" i="20"/>
  <c r="C21" i="20"/>
  <c r="C20" i="20"/>
  <c r="C19" i="20"/>
  <c r="C18" i="20"/>
  <c r="C17" i="20"/>
  <c r="A17" i="20"/>
  <c r="A52" i="20"/>
  <c r="C51" i="20"/>
  <c r="C50" i="20"/>
  <c r="A50" i="20"/>
  <c r="C16" i="20"/>
  <c r="C15" i="20"/>
  <c r="C14" i="20"/>
  <c r="C13" i="20"/>
  <c r="C12" i="20"/>
  <c r="C11" i="20"/>
  <c r="C10" i="20"/>
  <c r="A10" i="20"/>
  <c r="A123" i="20"/>
  <c r="F264" i="18"/>
  <c r="F263" i="18"/>
  <c r="C264" i="18"/>
  <c r="C263" i="18"/>
  <c r="C262" i="18"/>
  <c r="A262" i="18"/>
  <c r="C259" i="18"/>
  <c r="C258" i="18"/>
  <c r="C257" i="18"/>
  <c r="C256" i="18"/>
  <c r="C255" i="18"/>
  <c r="A255" i="18"/>
  <c r="A62" i="18"/>
  <c r="C63" i="18"/>
  <c r="F69" i="18"/>
  <c r="F68" i="18"/>
  <c r="F67" i="18"/>
  <c r="F66" i="18"/>
  <c r="F65" i="18"/>
  <c r="F64" i="18"/>
  <c r="F63" i="18"/>
  <c r="C62" i="18"/>
  <c r="F53" i="18"/>
  <c r="F52" i="18"/>
  <c r="F51" i="18"/>
  <c r="F50" i="18"/>
  <c r="F49" i="18"/>
  <c r="F48" i="18"/>
  <c r="C53" i="18"/>
  <c r="C52" i="18"/>
  <c r="C51" i="18"/>
  <c r="C50" i="18"/>
  <c r="C49" i="18"/>
  <c r="C48" i="18"/>
  <c r="A47" i="18"/>
  <c r="C47" i="18"/>
  <c r="F35" i="18"/>
  <c r="C35" i="18"/>
  <c r="F34" i="18"/>
  <c r="C34" i="18"/>
  <c r="F33" i="18"/>
  <c r="C33" i="18"/>
  <c r="F32" i="18"/>
  <c r="C32" i="18"/>
  <c r="F31" i="18"/>
  <c r="C31" i="18"/>
  <c r="C30" i="18"/>
  <c r="F29" i="18"/>
  <c r="C29" i="18"/>
  <c r="F28" i="18"/>
  <c r="C28" i="18"/>
  <c r="F27" i="18"/>
  <c r="C27" i="18"/>
  <c r="F26" i="18"/>
  <c r="C26" i="18"/>
  <c r="F25" i="18"/>
  <c r="A30" i="18"/>
  <c r="C25" i="18"/>
  <c r="C24" i="18"/>
  <c r="A24" i="18"/>
  <c r="A137" i="18"/>
  <c r="C137" i="18"/>
  <c r="F59" i="18"/>
  <c r="A58" i="18"/>
  <c r="C59" i="18"/>
  <c r="C58" i="18"/>
  <c r="C57" i="18"/>
  <c r="C56" i="18"/>
  <c r="C55" i="18"/>
  <c r="C54" i="18"/>
  <c r="A54" i="18"/>
  <c r="F9" i="18"/>
  <c r="C9" i="18"/>
  <c r="F8" i="18"/>
  <c r="C8" i="18"/>
  <c r="F7" i="18"/>
  <c r="C7" i="18"/>
  <c r="F6" i="18"/>
  <c r="C6" i="18"/>
  <c r="F5" i="18"/>
  <c r="C5" i="18"/>
  <c r="F4" i="18"/>
  <c r="C4" i="18"/>
  <c r="C3" i="18"/>
  <c r="A3" i="18"/>
  <c r="C17" i="18"/>
  <c r="A17" i="18"/>
  <c r="F16" i="18"/>
  <c r="C16" i="18"/>
  <c r="F15" i="18"/>
  <c r="C15" i="18"/>
  <c r="F14" i="18"/>
  <c r="C14" i="18"/>
  <c r="F13" i="18"/>
  <c r="C13" i="18"/>
  <c r="F12" i="18"/>
  <c r="C12" i="18"/>
  <c r="F11" i="18"/>
  <c r="C11" i="18"/>
  <c r="C10" i="18"/>
  <c r="A10" i="18"/>
  <c r="F99" i="17"/>
  <c r="F98" i="17"/>
  <c r="C99" i="17"/>
  <c r="C98" i="17"/>
  <c r="C97" i="17"/>
  <c r="A97" i="17"/>
  <c r="F12" i="17"/>
  <c r="F11" i="17"/>
  <c r="F10" i="17"/>
  <c r="C12" i="17"/>
  <c r="C11" i="17"/>
  <c r="C10" i="17"/>
  <c r="C9" i="17"/>
  <c r="A9" i="17"/>
  <c r="C68" i="17"/>
  <c r="A68" i="17"/>
  <c r="A69" i="17"/>
  <c r="C69" i="17"/>
  <c r="F6" i="17"/>
  <c r="A5" i="17"/>
  <c r="C6" i="17"/>
  <c r="C5" i="17"/>
  <c r="C4" i="17"/>
  <c r="C3" i="17"/>
  <c r="A3" i="17"/>
  <c r="F87" i="17"/>
  <c r="C87" i="17"/>
  <c r="F198" i="15"/>
  <c r="F197" i="15"/>
  <c r="F196" i="15"/>
  <c r="C198" i="15"/>
  <c r="C197" i="15"/>
  <c r="C196" i="15"/>
  <c r="C195" i="15"/>
  <c r="A195" i="15"/>
  <c r="F192" i="15"/>
  <c r="C192" i="15"/>
  <c r="F191" i="15"/>
  <c r="C191" i="15"/>
  <c r="F190" i="15"/>
  <c r="C190" i="15"/>
  <c r="F189" i="15"/>
  <c r="C189" i="15"/>
  <c r="C188" i="15"/>
  <c r="A188" i="15"/>
  <c r="F7" i="15"/>
  <c r="C7" i="15"/>
  <c r="A6" i="15"/>
  <c r="C6" i="15"/>
  <c r="C5" i="15"/>
  <c r="C4" i="15"/>
  <c r="C3" i="15"/>
  <c r="A3" i="15"/>
  <c r="F13" i="15"/>
  <c r="F12" i="15"/>
  <c r="F11" i="15"/>
  <c r="C13" i="15"/>
  <c r="C12" i="15"/>
  <c r="C11" i="15"/>
  <c r="C10" i="15"/>
  <c r="A10" i="15"/>
  <c r="F82" i="15"/>
  <c r="C82" i="15"/>
  <c r="F13" i="14"/>
  <c r="F12" i="14"/>
  <c r="F11" i="14"/>
  <c r="C13" i="14"/>
  <c r="C12" i="14"/>
  <c r="C11" i="14"/>
  <c r="C10" i="14"/>
  <c r="A10" i="14"/>
  <c r="F21" i="14"/>
  <c r="F20" i="14"/>
  <c r="F19" i="14"/>
  <c r="F18" i="14"/>
  <c r="F17" i="14"/>
  <c r="F16" i="14"/>
  <c r="F15" i="14"/>
  <c r="C15" i="14"/>
  <c r="C14" i="14"/>
  <c r="A14" i="14"/>
  <c r="F97" i="14"/>
  <c r="C97" i="14"/>
  <c r="F10" i="13"/>
  <c r="F9" i="13"/>
  <c r="F8" i="13"/>
  <c r="F7" i="13"/>
  <c r="F6" i="13"/>
  <c r="F5" i="13"/>
  <c r="F4" i="13"/>
  <c r="C4" i="13"/>
  <c r="A3" i="13"/>
  <c r="F77" i="13"/>
  <c r="C77" i="13"/>
  <c r="F76" i="13"/>
  <c r="C76" i="13"/>
  <c r="A146" i="11"/>
  <c r="F149" i="11"/>
  <c r="F148" i="11"/>
  <c r="F147" i="11"/>
  <c r="F145" i="11"/>
  <c r="F144" i="11"/>
  <c r="F143" i="11"/>
  <c r="C149" i="11"/>
  <c r="C148" i="11"/>
  <c r="C147" i="11"/>
  <c r="C146" i="11"/>
  <c r="C145" i="11"/>
  <c r="C144" i="11"/>
  <c r="C143" i="11"/>
  <c r="C142" i="11"/>
  <c r="A142" i="11"/>
  <c r="F176" i="10"/>
  <c r="F175" i="10"/>
  <c r="F174" i="10"/>
  <c r="C176" i="10"/>
  <c r="C175" i="10"/>
  <c r="C174" i="10"/>
  <c r="C173" i="10"/>
  <c r="A173" i="10"/>
  <c r="F14" i="11"/>
  <c r="F13" i="11"/>
  <c r="F12" i="11"/>
  <c r="F11" i="11"/>
  <c r="F10" i="11"/>
  <c r="F9" i="11"/>
  <c r="F8" i="11"/>
  <c r="C8" i="11"/>
  <c r="C7" i="11"/>
  <c r="A7" i="11"/>
  <c r="F79" i="11"/>
  <c r="C79" i="11"/>
  <c r="F78" i="11"/>
  <c r="C78" i="11"/>
  <c r="F95" i="12"/>
  <c r="F94" i="12"/>
  <c r="F93" i="12"/>
  <c r="C96" i="12"/>
  <c r="C95" i="12"/>
  <c r="C94" i="12"/>
  <c r="C93" i="12"/>
  <c r="C92" i="12"/>
  <c r="A92" i="12"/>
  <c r="F103" i="8"/>
  <c r="F102" i="8"/>
  <c r="F101" i="8"/>
  <c r="C103" i="8"/>
  <c r="C102" i="8"/>
  <c r="C101" i="8"/>
  <c r="C100" i="8"/>
  <c r="A100" i="8"/>
  <c r="F99" i="8"/>
  <c r="F98" i="8"/>
  <c r="F112" i="8"/>
  <c r="F111" i="8"/>
  <c r="F110" i="8"/>
  <c r="F107" i="8"/>
  <c r="F106" i="8"/>
  <c r="F105" i="8"/>
  <c r="C99" i="8"/>
  <c r="C98" i="8"/>
  <c r="A97" i="8"/>
  <c r="C97" i="8"/>
  <c r="C92" i="8"/>
  <c r="A92" i="8"/>
  <c r="C112" i="8"/>
  <c r="C111" i="8"/>
  <c r="C110" i="8"/>
  <c r="A109" i="8"/>
  <c r="C109" i="8"/>
  <c r="C108" i="8"/>
  <c r="C107" i="8"/>
  <c r="C106" i="8"/>
  <c r="C105" i="8"/>
  <c r="C104" i="8"/>
  <c r="A104" i="8"/>
  <c r="F120" i="8"/>
  <c r="F119" i="8"/>
  <c r="F118" i="8"/>
  <c r="C121" i="8"/>
  <c r="C120" i="8"/>
  <c r="C119" i="8"/>
  <c r="C118" i="8"/>
  <c r="C117" i="8"/>
  <c r="A117" i="8"/>
  <c r="F87" i="12"/>
  <c r="F85" i="12"/>
  <c r="F84" i="12"/>
  <c r="F78" i="12"/>
  <c r="F77" i="12"/>
  <c r="F76" i="12"/>
  <c r="F75" i="12"/>
  <c r="C87" i="12"/>
  <c r="C86" i="12"/>
  <c r="C85" i="12"/>
  <c r="C84" i="12"/>
  <c r="C83" i="12"/>
  <c r="A83" i="12"/>
  <c r="C78" i="12"/>
  <c r="C77" i="12"/>
  <c r="C76" i="12"/>
  <c r="C75" i="12"/>
  <c r="C74" i="12"/>
  <c r="A74" i="12"/>
  <c r="F7" i="8"/>
  <c r="F6" i="8"/>
  <c r="F5" i="8"/>
  <c r="F4" i="8"/>
  <c r="C7" i="8"/>
  <c r="A8" i="8"/>
  <c r="C6" i="8"/>
  <c r="C5" i="8"/>
  <c r="C4" i="8"/>
  <c r="C3" i="8"/>
  <c r="A3" i="8"/>
  <c r="F209" i="10"/>
  <c r="F208" i="10"/>
  <c r="F207" i="10"/>
  <c r="F205" i="10"/>
  <c r="F204" i="10"/>
  <c r="F203" i="10"/>
  <c r="F200" i="10"/>
  <c r="F199" i="10"/>
  <c r="F198" i="10"/>
  <c r="F197" i="10"/>
  <c r="F189" i="10"/>
  <c r="F188" i="10"/>
  <c r="F187" i="10"/>
  <c r="F162" i="10"/>
  <c r="G161" i="10" s="1"/>
  <c r="A161" i="10"/>
  <c r="C162" i="10"/>
  <c r="C161" i="10"/>
  <c r="C160" i="10"/>
  <c r="C159" i="10"/>
  <c r="C158" i="10"/>
  <c r="A158" i="10"/>
  <c r="C210" i="10"/>
  <c r="C209" i="10"/>
  <c r="C208" i="10"/>
  <c r="C207" i="10"/>
  <c r="C206" i="10"/>
  <c r="A206" i="10"/>
  <c r="C205" i="10"/>
  <c r="C204" i="10"/>
  <c r="C203" i="10"/>
  <c r="C202" i="10"/>
  <c r="A202" i="10"/>
  <c r="C201" i="10"/>
  <c r="C200" i="10"/>
  <c r="C199" i="10"/>
  <c r="C198" i="10"/>
  <c r="C197" i="10"/>
  <c r="C196" i="10"/>
  <c r="A196" i="10"/>
  <c r="C189" i="10"/>
  <c r="C188" i="10"/>
  <c r="C187" i="10"/>
  <c r="A186" i="10"/>
  <c r="C195" i="10"/>
  <c r="C194" i="10"/>
  <c r="C193" i="10"/>
  <c r="C192" i="10"/>
  <c r="C191" i="10"/>
  <c r="A190" i="10"/>
  <c r="C185" i="10"/>
  <c r="C184" i="10"/>
  <c r="C183" i="10"/>
  <c r="A182" i="10"/>
  <c r="C186" i="10"/>
  <c r="C190" i="10"/>
  <c r="C182" i="10"/>
  <c r="C181" i="10"/>
  <c r="C180" i="10"/>
  <c r="C179" i="10"/>
  <c r="C178" i="10"/>
  <c r="C177" i="10"/>
  <c r="A177" i="10"/>
  <c r="F194" i="10"/>
  <c r="F193" i="10"/>
  <c r="F192" i="10"/>
  <c r="F191" i="10"/>
  <c r="F181" i="10"/>
  <c r="F180" i="10"/>
  <c r="F179" i="10"/>
  <c r="F178" i="10"/>
  <c r="C52" i="10"/>
  <c r="A52" i="10"/>
  <c r="F12" i="10"/>
  <c r="F11" i="10"/>
  <c r="F10" i="10"/>
  <c r="F9" i="10"/>
  <c r="F7" i="10"/>
  <c r="F6" i="10"/>
  <c r="F5" i="10"/>
  <c r="F4" i="10"/>
  <c r="C12" i="10"/>
  <c r="C11" i="10"/>
  <c r="C10" i="10"/>
  <c r="C9" i="10"/>
  <c r="C8" i="10"/>
  <c r="A8" i="10"/>
  <c r="C7" i="10"/>
  <c r="C6" i="10"/>
  <c r="C5" i="10"/>
  <c r="C4" i="10"/>
  <c r="C3" i="10"/>
  <c r="A3" i="10"/>
  <c r="F153" i="9"/>
  <c r="F152" i="9"/>
  <c r="F151" i="9"/>
  <c r="F150" i="9"/>
  <c r="C153" i="9"/>
  <c r="C152" i="9"/>
  <c r="C151" i="9"/>
  <c r="C150" i="9"/>
  <c r="C149" i="9"/>
  <c r="A149" i="9"/>
  <c r="F148" i="9"/>
  <c r="F147" i="9"/>
  <c r="F146" i="9"/>
  <c r="F181" i="9"/>
  <c r="F180" i="9"/>
  <c r="F179" i="9"/>
  <c r="F177" i="9"/>
  <c r="F176" i="9"/>
  <c r="F175" i="9"/>
  <c r="F172" i="9"/>
  <c r="F171" i="9"/>
  <c r="F170" i="9"/>
  <c r="F169" i="9"/>
  <c r="F161" i="9"/>
  <c r="F160" i="9"/>
  <c r="F159" i="9"/>
  <c r="F166" i="9"/>
  <c r="F165" i="9"/>
  <c r="F164" i="9"/>
  <c r="F163" i="9"/>
  <c r="F157" i="9"/>
  <c r="F156" i="9"/>
  <c r="F155" i="9"/>
  <c r="F7" i="9"/>
  <c r="F6" i="9"/>
  <c r="F5" i="9"/>
  <c r="F4" i="9"/>
  <c r="A137" i="9"/>
  <c r="A133" i="9"/>
  <c r="C138" i="9"/>
  <c r="C137" i="9"/>
  <c r="C134" i="9"/>
  <c r="C133" i="9"/>
  <c r="C132" i="9"/>
  <c r="C131" i="9"/>
  <c r="C130" i="9"/>
  <c r="A130" i="9"/>
  <c r="C148" i="9"/>
  <c r="C147" i="9"/>
  <c r="C146" i="9"/>
  <c r="C145" i="9"/>
  <c r="A145" i="9"/>
  <c r="A178" i="9"/>
  <c r="C182" i="9"/>
  <c r="C181" i="9"/>
  <c r="C180" i="9"/>
  <c r="C179" i="9"/>
  <c r="C178" i="9"/>
  <c r="C177" i="9"/>
  <c r="C176" i="9"/>
  <c r="C175" i="9"/>
  <c r="A174" i="9"/>
  <c r="C168" i="9"/>
  <c r="A168" i="9"/>
  <c r="A158" i="9"/>
  <c r="A162" i="9"/>
  <c r="A154" i="9"/>
  <c r="C174" i="9"/>
  <c r="C173" i="9"/>
  <c r="C172" i="9"/>
  <c r="C171" i="9"/>
  <c r="C170" i="9"/>
  <c r="C169" i="9"/>
  <c r="C161" i="9"/>
  <c r="C160" i="9"/>
  <c r="C159" i="9"/>
  <c r="C158" i="9"/>
  <c r="C167" i="9"/>
  <c r="C166" i="9"/>
  <c r="C165" i="9"/>
  <c r="C164" i="9"/>
  <c r="C163" i="9"/>
  <c r="C162" i="9"/>
  <c r="C157" i="9"/>
  <c r="C156" i="9"/>
  <c r="C155" i="9"/>
  <c r="C154" i="9"/>
  <c r="C7" i="9"/>
  <c r="C6" i="9"/>
  <c r="C5" i="9"/>
  <c r="C4" i="9"/>
  <c r="C3" i="9"/>
  <c r="A66" i="12"/>
  <c r="C69" i="12"/>
  <c r="C68" i="12"/>
  <c r="C67" i="12"/>
  <c r="C66" i="12"/>
  <c r="C65" i="12"/>
  <c r="C64" i="12"/>
  <c r="A64" i="12"/>
  <c r="F91" i="12"/>
  <c r="F90" i="12"/>
  <c r="F89" i="12"/>
  <c r="F82" i="12"/>
  <c r="F81" i="12"/>
  <c r="F80" i="12"/>
  <c r="C91" i="12"/>
  <c r="C90" i="12"/>
  <c r="C89" i="12"/>
  <c r="C88" i="12"/>
  <c r="A88" i="12"/>
  <c r="C82" i="12"/>
  <c r="C81" i="12"/>
  <c r="C80" i="12"/>
  <c r="C79" i="12"/>
  <c r="A79" i="12"/>
  <c r="F73" i="12"/>
  <c r="F72" i="12"/>
  <c r="F71" i="12"/>
  <c r="C73" i="12"/>
  <c r="C72" i="12"/>
  <c r="C71" i="12"/>
  <c r="C70" i="12"/>
  <c r="A70" i="12"/>
  <c r="F104" i="12"/>
  <c r="F103" i="12"/>
  <c r="F102" i="12"/>
  <c r="F101" i="12"/>
  <c r="F100" i="12"/>
  <c r="F99" i="12"/>
  <c r="F98" i="12"/>
  <c r="C98" i="12"/>
  <c r="C97" i="12"/>
  <c r="A97" i="12"/>
  <c r="A63" i="12"/>
  <c r="C63" i="12"/>
  <c r="F45" i="12"/>
  <c r="C45" i="12"/>
  <c r="C70" i="8"/>
  <c r="F71" i="8"/>
  <c r="C71" i="8"/>
  <c r="F64" i="23"/>
  <c r="F63" i="23"/>
  <c r="F62" i="23"/>
  <c r="F61" i="23"/>
  <c r="C64" i="23"/>
  <c r="C63" i="23"/>
  <c r="C62" i="23"/>
  <c r="C61" i="23"/>
  <c r="C60" i="23"/>
  <c r="A60" i="23"/>
  <c r="F93" i="18"/>
  <c r="F92" i="18"/>
  <c r="F91" i="18"/>
  <c r="F90" i="18"/>
  <c r="F112" i="18"/>
  <c r="F111" i="18"/>
  <c r="F110" i="18"/>
  <c r="F109" i="18"/>
  <c r="C93" i="18"/>
  <c r="C92" i="18"/>
  <c r="C91" i="18"/>
  <c r="C90" i="18"/>
  <c r="C112" i="18"/>
  <c r="C111" i="18"/>
  <c r="C110" i="18"/>
  <c r="C109" i="18"/>
  <c r="F53" i="15"/>
  <c r="F52" i="15"/>
  <c r="F51" i="15"/>
  <c r="F50" i="15"/>
  <c r="C53" i="15"/>
  <c r="C52" i="15"/>
  <c r="C51" i="15"/>
  <c r="C50" i="15"/>
  <c r="C30" i="11"/>
  <c r="C29" i="11"/>
  <c r="C28" i="11"/>
  <c r="C27" i="11"/>
  <c r="F30" i="11"/>
  <c r="F29" i="11"/>
  <c r="F28" i="11"/>
  <c r="F27" i="11"/>
  <c r="F42" i="11"/>
  <c r="F41" i="11"/>
  <c r="F40" i="11"/>
  <c r="F39" i="11"/>
  <c r="C42" i="11"/>
  <c r="C41" i="11"/>
  <c r="C40" i="11"/>
  <c r="C39" i="11"/>
  <c r="A133" i="20"/>
  <c r="A89" i="18"/>
  <c r="C89" i="18"/>
  <c r="C108" i="18"/>
  <c r="A108" i="18"/>
  <c r="C49" i="15"/>
  <c r="A49" i="15"/>
  <c r="C26" i="11"/>
  <c r="A26" i="11"/>
  <c r="C38" i="11"/>
  <c r="A38" i="11"/>
  <c r="F98" i="25"/>
  <c r="F97" i="25"/>
  <c r="F96" i="25"/>
  <c r="F95" i="25"/>
  <c r="F94" i="25"/>
  <c r="F93" i="25"/>
  <c r="C98" i="25"/>
  <c r="C97" i="25"/>
  <c r="C96" i="25"/>
  <c r="C95" i="25"/>
  <c r="C94" i="25"/>
  <c r="C93" i="25"/>
  <c r="C92" i="25"/>
  <c r="A92" i="25"/>
  <c r="A116" i="20"/>
  <c r="F107" i="18"/>
  <c r="F106" i="18"/>
  <c r="F105" i="18"/>
  <c r="F104" i="18"/>
  <c r="F103" i="18"/>
  <c r="F102" i="18"/>
  <c r="C107" i="18"/>
  <c r="C106" i="18"/>
  <c r="C105" i="18"/>
  <c r="C104" i="18"/>
  <c r="C103" i="18"/>
  <c r="C102" i="18"/>
  <c r="C101" i="18"/>
  <c r="A101" i="18"/>
  <c r="F61" i="17"/>
  <c r="F60" i="17"/>
  <c r="F59" i="17"/>
  <c r="F58" i="17"/>
  <c r="F57" i="17"/>
  <c r="F56" i="17"/>
  <c r="C61" i="17"/>
  <c r="C60" i="17"/>
  <c r="C59" i="17"/>
  <c r="C58" i="17"/>
  <c r="C57" i="17"/>
  <c r="C56" i="17"/>
  <c r="C55" i="17"/>
  <c r="A55" i="17"/>
  <c r="F48" i="15"/>
  <c r="C48" i="15"/>
  <c r="F47" i="15"/>
  <c r="C47" i="15"/>
  <c r="F46" i="15"/>
  <c r="C46" i="15"/>
  <c r="F45" i="15"/>
  <c r="C45" i="15"/>
  <c r="F44" i="15"/>
  <c r="C44" i="15"/>
  <c r="F43" i="15"/>
  <c r="A42" i="15"/>
  <c r="C43" i="15"/>
  <c r="C42" i="15"/>
  <c r="F47" i="14"/>
  <c r="F46" i="14"/>
  <c r="F45" i="14"/>
  <c r="F44" i="14"/>
  <c r="F43" i="14"/>
  <c r="F42" i="14"/>
  <c r="C47" i="14"/>
  <c r="C46" i="14"/>
  <c r="C45" i="14"/>
  <c r="C44" i="14"/>
  <c r="C43" i="14"/>
  <c r="C42" i="14"/>
  <c r="A41" i="14"/>
  <c r="A62" i="14"/>
  <c r="C41" i="14"/>
  <c r="F34" i="13"/>
  <c r="F33" i="13"/>
  <c r="F32" i="13"/>
  <c r="F31" i="13"/>
  <c r="F30" i="13"/>
  <c r="F29" i="13"/>
  <c r="C34" i="13"/>
  <c r="C33" i="13"/>
  <c r="C32" i="13"/>
  <c r="C31" i="13"/>
  <c r="C30" i="13"/>
  <c r="C29" i="13"/>
  <c r="C28" i="13"/>
  <c r="A28" i="13"/>
  <c r="A25" i="8"/>
  <c r="F31" i="8"/>
  <c r="F30" i="8"/>
  <c r="F29" i="8"/>
  <c r="F28" i="8"/>
  <c r="F27" i="8"/>
  <c r="F26" i="8"/>
  <c r="C31" i="8"/>
  <c r="C30" i="8"/>
  <c r="C29" i="8"/>
  <c r="C28" i="8"/>
  <c r="C27" i="8"/>
  <c r="C26" i="8"/>
  <c r="C25" i="8"/>
  <c r="F27" i="27"/>
  <c r="C28" i="27"/>
  <c r="C27" i="27"/>
  <c r="F110" i="25"/>
  <c r="C110" i="25"/>
  <c r="F109" i="25"/>
  <c r="C109" i="25"/>
  <c r="F108" i="25"/>
  <c r="C108" i="25"/>
  <c r="F96" i="23"/>
  <c r="F95" i="23"/>
  <c r="F94" i="23"/>
  <c r="F93" i="23"/>
  <c r="F92" i="23"/>
  <c r="C96" i="23"/>
  <c r="C95" i="23"/>
  <c r="C94" i="23"/>
  <c r="C93" i="23"/>
  <c r="C92" i="23"/>
  <c r="C99" i="14"/>
  <c r="A99" i="14"/>
  <c r="F41" i="8"/>
  <c r="C41" i="8"/>
  <c r="F40" i="8"/>
  <c r="C40" i="8"/>
  <c r="F39" i="8"/>
  <c r="C39" i="8"/>
  <c r="F38" i="8"/>
  <c r="C38" i="8"/>
  <c r="F37" i="8"/>
  <c r="C37" i="8"/>
  <c r="F36" i="8"/>
  <c r="C36" i="8"/>
  <c r="F35" i="8"/>
  <c r="C35" i="8"/>
  <c r="F34" i="8"/>
  <c r="C34" i="8"/>
  <c r="F33" i="8"/>
  <c r="C33" i="8"/>
  <c r="C32" i="8"/>
  <c r="A32" i="8"/>
  <c r="F82" i="8"/>
  <c r="F81" i="8"/>
  <c r="F80" i="8"/>
  <c r="F77" i="8"/>
  <c r="F76" i="8"/>
  <c r="F75" i="8"/>
  <c r="F74" i="8"/>
  <c r="A79" i="8"/>
  <c r="C82" i="8"/>
  <c r="C81" i="8"/>
  <c r="C80" i="8"/>
  <c r="C79" i="8"/>
  <c r="C78" i="8"/>
  <c r="C77" i="8"/>
  <c r="C76" i="8"/>
  <c r="C75" i="8"/>
  <c r="C74" i="8"/>
  <c r="C73" i="8"/>
  <c r="A73" i="8"/>
  <c r="F75" i="18"/>
  <c r="F74" i="18"/>
  <c r="F73" i="18"/>
  <c r="F72" i="18"/>
  <c r="C75" i="18"/>
  <c r="C74" i="18"/>
  <c r="C73" i="18"/>
  <c r="C72" i="18"/>
  <c r="F22" i="17"/>
  <c r="F15" i="13"/>
  <c r="F14" i="13"/>
  <c r="F13" i="13"/>
  <c r="F12" i="13"/>
  <c r="C15" i="13"/>
  <c r="C14" i="13"/>
  <c r="C13" i="13"/>
  <c r="C12" i="13"/>
  <c r="F19" i="11"/>
  <c r="F18" i="11"/>
  <c r="F17" i="11"/>
  <c r="F16" i="11"/>
  <c r="C19" i="11"/>
  <c r="C18" i="11"/>
  <c r="C17" i="11"/>
  <c r="C16" i="11"/>
  <c r="F17" i="10"/>
  <c r="F16" i="10"/>
  <c r="F15" i="10"/>
  <c r="F14" i="10"/>
  <c r="C17" i="10"/>
  <c r="C16" i="10"/>
  <c r="C15" i="10"/>
  <c r="C14" i="10"/>
  <c r="A75" i="24"/>
  <c r="C75" i="24"/>
  <c r="C76" i="24"/>
  <c r="F76" i="24"/>
  <c r="C77" i="24"/>
  <c r="F77" i="24"/>
  <c r="C78" i="24"/>
  <c r="F78" i="24"/>
  <c r="A86" i="24"/>
  <c r="C86" i="24"/>
  <c r="C87" i="24"/>
  <c r="F87" i="24"/>
  <c r="C88" i="24"/>
  <c r="F88" i="24"/>
  <c r="C89" i="24"/>
  <c r="F89" i="24"/>
  <c r="C90" i="24"/>
  <c r="F90" i="24"/>
  <c r="C91" i="24"/>
  <c r="F91" i="24"/>
  <c r="C92" i="24"/>
  <c r="F92" i="24"/>
  <c r="A79" i="24"/>
  <c r="C79" i="24"/>
  <c r="C80" i="24"/>
  <c r="F80" i="24"/>
  <c r="C81" i="24"/>
  <c r="F81" i="24"/>
  <c r="C82" i="24"/>
  <c r="F82" i="24"/>
  <c r="C83" i="24"/>
  <c r="F83" i="24"/>
  <c r="C84" i="24"/>
  <c r="F84" i="24"/>
  <c r="C85" i="24"/>
  <c r="F85" i="24"/>
  <c r="A93" i="24"/>
  <c r="C93" i="24"/>
  <c r="C94" i="24"/>
  <c r="F94" i="24"/>
  <c r="C95" i="24"/>
  <c r="F95" i="24"/>
  <c r="C96" i="24"/>
  <c r="F96" i="24"/>
  <c r="C97" i="24"/>
  <c r="F97" i="24"/>
  <c r="A98" i="24"/>
  <c r="C98" i="24"/>
  <c r="C99" i="24"/>
  <c r="F99" i="24"/>
  <c r="C100" i="24"/>
  <c r="F100" i="24"/>
  <c r="C101" i="24"/>
  <c r="F101" i="24"/>
  <c r="A102" i="24"/>
  <c r="C102" i="24"/>
  <c r="C103" i="24"/>
  <c r="F103" i="24"/>
  <c r="C104" i="24"/>
  <c r="F104" i="24"/>
  <c r="C105" i="24"/>
  <c r="F105" i="24"/>
  <c r="C106" i="24"/>
  <c r="F106" i="24"/>
  <c r="C107" i="24"/>
  <c r="F107" i="24"/>
  <c r="C108" i="24"/>
  <c r="F108" i="24"/>
  <c r="A109" i="24"/>
  <c r="C109" i="24"/>
  <c r="C110" i="24"/>
  <c r="F110" i="24"/>
  <c r="C111" i="24"/>
  <c r="F111" i="24"/>
  <c r="C112" i="24"/>
  <c r="F112" i="24"/>
  <c r="C113" i="24"/>
  <c r="F113" i="24"/>
  <c r="A132" i="24"/>
  <c r="A133" i="24"/>
  <c r="A134" i="24"/>
  <c r="A135" i="24"/>
  <c r="A136" i="24"/>
  <c r="A111" i="25"/>
  <c r="C111" i="25"/>
  <c r="C112" i="25"/>
  <c r="F112" i="25"/>
  <c r="C113" i="25"/>
  <c r="F113" i="25"/>
  <c r="C114" i="25"/>
  <c r="F114" i="25"/>
  <c r="C115" i="25"/>
  <c r="F115" i="25"/>
  <c r="A116" i="25"/>
  <c r="C116" i="25"/>
  <c r="C117" i="25"/>
  <c r="F117" i="25"/>
  <c r="C118" i="25"/>
  <c r="F118" i="25"/>
  <c r="C119" i="25"/>
  <c r="F119" i="25"/>
  <c r="A99" i="25"/>
  <c r="C99" i="25"/>
  <c r="C100" i="25"/>
  <c r="F100" i="25"/>
  <c r="F101" i="25"/>
  <c r="F103" i="25"/>
  <c r="F104" i="25"/>
  <c r="A105" i="25"/>
  <c r="C105" i="25"/>
  <c r="C106" i="25"/>
  <c r="F106" i="25"/>
  <c r="C107" i="25"/>
  <c r="F107" i="25"/>
  <c r="A79" i="25"/>
  <c r="C79" i="25"/>
  <c r="C80" i="25"/>
  <c r="F80" i="25"/>
  <c r="C81" i="25"/>
  <c r="F81" i="25"/>
  <c r="C82" i="25"/>
  <c r="F82" i="25"/>
  <c r="C83" i="25"/>
  <c r="F83" i="25"/>
  <c r="C84" i="25"/>
  <c r="F84" i="25"/>
  <c r="A85" i="25"/>
  <c r="C85" i="25"/>
  <c r="C86" i="25"/>
  <c r="F86" i="25"/>
  <c r="C87" i="25"/>
  <c r="F87" i="25"/>
  <c r="C88" i="25"/>
  <c r="F88" i="25"/>
  <c r="C89" i="25"/>
  <c r="F89" i="25"/>
  <c r="C90" i="25"/>
  <c r="F90" i="25"/>
  <c r="C91" i="25"/>
  <c r="F91" i="25"/>
  <c r="A128" i="25"/>
  <c r="C128" i="25"/>
  <c r="G128" i="25"/>
  <c r="A120" i="25"/>
  <c r="C120" i="25"/>
  <c r="C121" i="25"/>
  <c r="F121" i="25"/>
  <c r="C122" i="25"/>
  <c r="A123" i="25"/>
  <c r="C123" i="25"/>
  <c r="C124" i="25"/>
  <c r="F124" i="25"/>
  <c r="C125" i="25"/>
  <c r="F125" i="25"/>
  <c r="C126" i="25"/>
  <c r="F126" i="25"/>
  <c r="C127" i="25"/>
  <c r="F127" i="25"/>
  <c r="A136" i="25"/>
  <c r="C136" i="25"/>
  <c r="C137" i="25"/>
  <c r="F137" i="25"/>
  <c r="C138" i="25"/>
  <c r="F138" i="25"/>
  <c r="C139" i="25"/>
  <c r="F139" i="25"/>
  <c r="C140" i="25"/>
  <c r="F140" i="25"/>
  <c r="C141" i="25"/>
  <c r="F141" i="25"/>
  <c r="C142" i="25"/>
  <c r="F142" i="25"/>
  <c r="C143" i="25"/>
  <c r="F143" i="25"/>
  <c r="C144" i="25"/>
  <c r="F144" i="25"/>
  <c r="A129" i="25"/>
  <c r="C129" i="25"/>
  <c r="F130" i="25"/>
  <c r="F131" i="25"/>
  <c r="F132" i="25"/>
  <c r="F133" i="25"/>
  <c r="A158" i="25"/>
  <c r="C158" i="25"/>
  <c r="C159" i="25"/>
  <c r="F159" i="25"/>
  <c r="C160" i="25"/>
  <c r="F160" i="25"/>
  <c r="C161" i="25"/>
  <c r="F161" i="25"/>
  <c r="C162" i="25"/>
  <c r="F162" i="25"/>
  <c r="C163" i="25"/>
  <c r="F163" i="25"/>
  <c r="C164" i="25"/>
  <c r="F164" i="25"/>
  <c r="A151" i="25"/>
  <c r="C151" i="25"/>
  <c r="C152" i="25"/>
  <c r="F152" i="25"/>
  <c r="C153" i="25"/>
  <c r="F153" i="25"/>
  <c r="C154" i="25"/>
  <c r="F154" i="25"/>
  <c r="C155" i="25"/>
  <c r="F155" i="25"/>
  <c r="C156" i="25"/>
  <c r="F156" i="25"/>
  <c r="C157" i="25"/>
  <c r="F157" i="25"/>
  <c r="A145" i="25"/>
  <c r="C145" i="25"/>
  <c r="C146" i="25"/>
  <c r="F146" i="25"/>
  <c r="C147" i="25"/>
  <c r="F147" i="25"/>
  <c r="C148" i="25"/>
  <c r="F148" i="25"/>
  <c r="C149" i="25"/>
  <c r="F149" i="25"/>
  <c r="C150" i="25"/>
  <c r="F150" i="25"/>
  <c r="A165" i="25"/>
  <c r="C165" i="25"/>
  <c r="C166" i="25"/>
  <c r="F166" i="25"/>
  <c r="C167" i="25"/>
  <c r="F167" i="25"/>
  <c r="C168" i="25"/>
  <c r="F168" i="25"/>
  <c r="A171" i="25"/>
  <c r="C171" i="25"/>
  <c r="C172" i="25"/>
  <c r="F172" i="25"/>
  <c r="C173" i="25"/>
  <c r="F173" i="25"/>
  <c r="C174" i="25"/>
  <c r="F174" i="25"/>
  <c r="C175" i="25"/>
  <c r="F175" i="25"/>
  <c r="F26" i="25"/>
  <c r="F177" i="25"/>
  <c r="F178" i="25"/>
  <c r="F179" i="25"/>
  <c r="F180" i="25"/>
  <c r="A11" i="26"/>
  <c r="C11" i="26"/>
  <c r="C12" i="26"/>
  <c r="F12" i="26"/>
  <c r="C13" i="26"/>
  <c r="F13" i="26"/>
  <c r="C14" i="26"/>
  <c r="F14" i="26"/>
  <c r="C15" i="26"/>
  <c r="F15" i="26"/>
  <c r="C16" i="26"/>
  <c r="F16" i="26"/>
  <c r="A3" i="26"/>
  <c r="C3" i="26"/>
  <c r="C4" i="26"/>
  <c r="F4" i="26"/>
  <c r="C5" i="26"/>
  <c r="F5" i="26"/>
  <c r="C6" i="26"/>
  <c r="F6" i="26"/>
  <c r="C7" i="26"/>
  <c r="F7" i="26"/>
  <c r="C8" i="26"/>
  <c r="F8" i="26"/>
  <c r="C9" i="26"/>
  <c r="F9" i="26"/>
  <c r="A10" i="26"/>
  <c r="G10" i="26"/>
  <c r="A32" i="26"/>
  <c r="C32" i="26"/>
  <c r="C33" i="26"/>
  <c r="C34" i="26"/>
  <c r="F34" i="26"/>
  <c r="C35" i="26"/>
  <c r="F35" i="26"/>
  <c r="C36" i="26"/>
  <c r="F36" i="26"/>
  <c r="C37" i="26"/>
  <c r="F37" i="26"/>
  <c r="A24" i="26"/>
  <c r="C24" i="26"/>
  <c r="C25" i="26"/>
  <c r="F25" i="26"/>
  <c r="C26" i="26"/>
  <c r="F26" i="26"/>
  <c r="A27" i="26"/>
  <c r="C27" i="26"/>
  <c r="C28" i="26"/>
  <c r="F28" i="26"/>
  <c r="C29" i="26"/>
  <c r="F29" i="26"/>
  <c r="C30" i="26"/>
  <c r="F30" i="26"/>
  <c r="C31" i="26"/>
  <c r="F31" i="26"/>
  <c r="A38" i="26"/>
  <c r="C38" i="26"/>
  <c r="C39" i="26"/>
  <c r="F39" i="26"/>
  <c r="C40" i="26"/>
  <c r="F40" i="26"/>
  <c r="C41" i="26"/>
  <c r="F41" i="26"/>
  <c r="C42" i="26"/>
  <c r="F42" i="26"/>
  <c r="C43" i="26"/>
  <c r="A44" i="26"/>
  <c r="C44" i="26"/>
  <c r="C45" i="26"/>
  <c r="F45" i="26"/>
  <c r="C46" i="26"/>
  <c r="F46" i="26"/>
  <c r="C47" i="26"/>
  <c r="F47" i="26"/>
  <c r="A33" i="27"/>
  <c r="C33" i="27"/>
  <c r="C34" i="27"/>
  <c r="F34" i="27"/>
  <c r="C35" i="27"/>
  <c r="F35" i="27"/>
  <c r="C36" i="27"/>
  <c r="F36" i="27"/>
  <c r="A37" i="27"/>
  <c r="C37" i="27"/>
  <c r="C38" i="27"/>
  <c r="C39" i="27"/>
  <c r="A42" i="27"/>
  <c r="C42" i="27"/>
  <c r="C43" i="27"/>
  <c r="F43" i="27"/>
  <c r="C44" i="27"/>
  <c r="F44" i="27"/>
  <c r="C45" i="27"/>
  <c r="F45" i="27"/>
  <c r="C46" i="27"/>
  <c r="F46" i="27"/>
  <c r="C47" i="27"/>
  <c r="F47" i="27"/>
  <c r="C48" i="27"/>
  <c r="F48" i="27"/>
  <c r="A49" i="27"/>
  <c r="C49" i="27"/>
  <c r="C50" i="27"/>
  <c r="F50" i="27"/>
  <c r="C51" i="27"/>
  <c r="F51" i="27"/>
  <c r="C52" i="27"/>
  <c r="F52" i="27"/>
  <c r="C53" i="27"/>
  <c r="F53" i="27"/>
  <c r="A31" i="27"/>
  <c r="C31" i="27"/>
  <c r="A30" i="27"/>
  <c r="C30" i="27"/>
  <c r="A32" i="27"/>
  <c r="C32" i="27"/>
  <c r="A25" i="27"/>
  <c r="C25" i="27"/>
  <c r="C26" i="27"/>
  <c r="F26" i="27"/>
  <c r="F28" i="27"/>
  <c r="A72" i="23"/>
  <c r="C72" i="23"/>
  <c r="C73" i="23"/>
  <c r="F73" i="23"/>
  <c r="C74" i="23"/>
  <c r="F74" i="23"/>
  <c r="C75" i="23"/>
  <c r="F75" i="23"/>
  <c r="C76" i="23"/>
  <c r="F76" i="23"/>
  <c r="C77" i="23"/>
  <c r="F77" i="23"/>
  <c r="A78" i="23"/>
  <c r="C78" i="23"/>
  <c r="C79" i="23"/>
  <c r="F79" i="23"/>
  <c r="C80" i="23"/>
  <c r="F80" i="23"/>
  <c r="C81" i="23"/>
  <c r="F81" i="23"/>
  <c r="C82" i="23"/>
  <c r="F82" i="23"/>
  <c r="C83" i="23"/>
  <c r="F83" i="23"/>
  <c r="A84" i="23"/>
  <c r="C84" i="23"/>
  <c r="C85" i="23"/>
  <c r="F85" i="23"/>
  <c r="C86" i="23"/>
  <c r="F86" i="23"/>
  <c r="C87" i="23"/>
  <c r="F87" i="23"/>
  <c r="C88" i="23"/>
  <c r="F88" i="23"/>
  <c r="C89" i="23"/>
  <c r="F89" i="23"/>
  <c r="A37" i="23"/>
  <c r="C37" i="23"/>
  <c r="C38" i="23"/>
  <c r="F38" i="23"/>
  <c r="C39" i="23"/>
  <c r="F39" i="23"/>
  <c r="C40" i="23"/>
  <c r="F40" i="23"/>
  <c r="C41" i="23"/>
  <c r="F41" i="23"/>
  <c r="C42" i="23"/>
  <c r="F42" i="23"/>
  <c r="A43" i="23"/>
  <c r="C43" i="23"/>
  <c r="C44" i="23"/>
  <c r="F44" i="23"/>
  <c r="C45" i="23"/>
  <c r="F45" i="23"/>
  <c r="C46" i="23"/>
  <c r="F46" i="23"/>
  <c r="A65" i="23"/>
  <c r="C65" i="23"/>
  <c r="C66" i="23"/>
  <c r="F66" i="23"/>
  <c r="C67" i="23"/>
  <c r="F67" i="23"/>
  <c r="C68" i="23"/>
  <c r="F68" i="23"/>
  <c r="C69" i="23"/>
  <c r="F69" i="23"/>
  <c r="C70" i="23"/>
  <c r="F70" i="23"/>
  <c r="C71" i="23"/>
  <c r="F71" i="23"/>
  <c r="A54" i="23"/>
  <c r="C54" i="23"/>
  <c r="C55" i="23"/>
  <c r="F55" i="23"/>
  <c r="C56" i="23"/>
  <c r="F56" i="23"/>
  <c r="C57" i="23"/>
  <c r="F57" i="23"/>
  <c r="C58" i="23"/>
  <c r="F58" i="23"/>
  <c r="C59" i="23"/>
  <c r="F59" i="23"/>
  <c r="A47" i="23"/>
  <c r="C47" i="23"/>
  <c r="C48" i="23"/>
  <c r="F48" i="23"/>
  <c r="C49" i="23"/>
  <c r="F49" i="23"/>
  <c r="C50" i="23"/>
  <c r="F50" i="23"/>
  <c r="C51" i="23"/>
  <c r="F51" i="23"/>
  <c r="A97" i="23"/>
  <c r="C97" i="23"/>
  <c r="C98" i="23"/>
  <c r="F98" i="23"/>
  <c r="C99" i="23"/>
  <c r="F99" i="23"/>
  <c r="C101" i="23"/>
  <c r="F101" i="23"/>
  <c r="A110" i="23"/>
  <c r="C110" i="23"/>
  <c r="C111" i="23"/>
  <c r="F111" i="23"/>
  <c r="C112" i="23"/>
  <c r="F112" i="23"/>
  <c r="C113" i="23"/>
  <c r="F113" i="23"/>
  <c r="C114" i="23"/>
  <c r="F114" i="23"/>
  <c r="A102" i="23"/>
  <c r="C102" i="23"/>
  <c r="C103" i="23"/>
  <c r="F103" i="23"/>
  <c r="C104" i="23"/>
  <c r="F104" i="23"/>
  <c r="A105" i="23"/>
  <c r="C105" i="23"/>
  <c r="C106" i="23"/>
  <c r="C107" i="23"/>
  <c r="F107" i="23"/>
  <c r="C108" i="23"/>
  <c r="F108" i="23"/>
  <c r="C109" i="23"/>
  <c r="F109" i="23"/>
  <c r="A115" i="23"/>
  <c r="C115" i="23"/>
  <c r="C116" i="23"/>
  <c r="F116" i="23"/>
  <c r="C117" i="23"/>
  <c r="F117" i="23"/>
  <c r="C118" i="23"/>
  <c r="F118" i="23"/>
  <c r="C119" i="23"/>
  <c r="F119" i="23"/>
  <c r="C120" i="23"/>
  <c r="F120" i="23"/>
  <c r="A121" i="23"/>
  <c r="C121" i="23"/>
  <c r="C122" i="23"/>
  <c r="F122" i="23"/>
  <c r="C123" i="23"/>
  <c r="F123" i="23"/>
  <c r="C124" i="23"/>
  <c r="F124" i="23"/>
  <c r="C125" i="23"/>
  <c r="F125" i="23"/>
  <c r="C126" i="23"/>
  <c r="F126" i="23"/>
  <c r="A134" i="23"/>
  <c r="C134" i="23"/>
  <c r="C135" i="23"/>
  <c r="F135" i="23"/>
  <c r="C136" i="23"/>
  <c r="F136" i="23"/>
  <c r="C137" i="23"/>
  <c r="F137" i="23"/>
  <c r="C138" i="23"/>
  <c r="F138" i="23"/>
  <c r="C139" i="23"/>
  <c r="F139" i="23"/>
  <c r="C140" i="23"/>
  <c r="F140" i="23"/>
  <c r="A141" i="23"/>
  <c r="C141" i="23"/>
  <c r="C142" i="23"/>
  <c r="F142" i="23"/>
  <c r="C143" i="23"/>
  <c r="F143" i="23"/>
  <c r="C144" i="23"/>
  <c r="F144" i="23"/>
  <c r="C145" i="23"/>
  <c r="F145" i="23"/>
  <c r="A146" i="23"/>
  <c r="C146" i="23"/>
  <c r="C147" i="23"/>
  <c r="F147" i="23"/>
  <c r="C148" i="23"/>
  <c r="F148" i="23"/>
  <c r="C149" i="23"/>
  <c r="F149" i="23"/>
  <c r="A150" i="23"/>
  <c r="C150" i="23"/>
  <c r="C151" i="23"/>
  <c r="F151" i="23"/>
  <c r="C152" i="23"/>
  <c r="F152" i="23"/>
  <c r="C153" i="23"/>
  <c r="F153" i="23"/>
  <c r="C154" i="23"/>
  <c r="F154" i="23"/>
  <c r="A162" i="23"/>
  <c r="C162" i="23"/>
  <c r="C163" i="23"/>
  <c r="F163" i="23"/>
  <c r="C164" i="23"/>
  <c r="F164" i="23"/>
  <c r="C165" i="23"/>
  <c r="F165" i="23"/>
  <c r="C166" i="23"/>
  <c r="F166" i="23"/>
  <c r="C167" i="23"/>
  <c r="F167" i="23"/>
  <c r="C168" i="23"/>
  <c r="F168" i="23"/>
  <c r="A169" i="23"/>
  <c r="C169" i="23"/>
  <c r="C170" i="23"/>
  <c r="F170" i="23"/>
  <c r="C171" i="23"/>
  <c r="F171" i="23"/>
  <c r="C172" i="23"/>
  <c r="F172" i="23"/>
  <c r="C173" i="23"/>
  <c r="F173" i="23"/>
  <c r="F156" i="23"/>
  <c r="F157" i="23"/>
  <c r="F158" i="23"/>
  <c r="F159" i="23"/>
  <c r="F160" i="23"/>
  <c r="A174" i="23"/>
  <c r="A175" i="23"/>
  <c r="A43" i="22"/>
  <c r="C43" i="22"/>
  <c r="C44" i="22"/>
  <c r="F44" i="22"/>
  <c r="C45" i="22"/>
  <c r="F45" i="22"/>
  <c r="C46" i="22"/>
  <c r="F46" i="22"/>
  <c r="C47" i="22"/>
  <c r="F47" i="22"/>
  <c r="C48" i="22"/>
  <c r="F48" i="22"/>
  <c r="A49" i="22"/>
  <c r="C49" i="22"/>
  <c r="C50" i="22"/>
  <c r="F50" i="22"/>
  <c r="C51" i="22"/>
  <c r="G49" i="22"/>
  <c r="A52" i="22"/>
  <c r="C52" i="22"/>
  <c r="C53" i="22"/>
  <c r="F53" i="22"/>
  <c r="C54" i="22"/>
  <c r="F54" i="22"/>
  <c r="C55" i="22"/>
  <c r="F55" i="22"/>
  <c r="C56" i="22"/>
  <c r="F56" i="22"/>
  <c r="A57" i="22"/>
  <c r="C57" i="22"/>
  <c r="C58" i="22"/>
  <c r="F58" i="22"/>
  <c r="C59" i="22"/>
  <c r="F59" i="22"/>
  <c r="C60" i="22"/>
  <c r="F60" i="22"/>
  <c r="C61" i="22"/>
  <c r="F61" i="22"/>
  <c r="C62" i="22"/>
  <c r="F62" i="22"/>
  <c r="C63" i="22"/>
  <c r="F63" i="22"/>
  <c r="C64" i="22"/>
  <c r="F64" i="22"/>
  <c r="C65" i="22"/>
  <c r="F65" i="22"/>
  <c r="A66" i="22"/>
  <c r="C66" i="22"/>
  <c r="C67" i="22"/>
  <c r="F67" i="22"/>
  <c r="C68" i="22"/>
  <c r="F68" i="22"/>
  <c r="A69" i="22"/>
  <c r="C69" i="22"/>
  <c r="C70" i="22"/>
  <c r="F70" i="22"/>
  <c r="C71" i="22"/>
  <c r="F71" i="22"/>
  <c r="A79" i="22"/>
  <c r="C79" i="22"/>
  <c r="C80" i="22"/>
  <c r="F80" i="22"/>
  <c r="C81" i="22"/>
  <c r="F81" i="22"/>
  <c r="C82" i="22"/>
  <c r="F82" i="22"/>
  <c r="C83" i="22"/>
  <c r="F83" i="22"/>
  <c r="C84" i="22"/>
  <c r="F84" i="22"/>
  <c r="C85" i="22"/>
  <c r="F85" i="22"/>
  <c r="A72" i="22"/>
  <c r="C72" i="22"/>
  <c r="C73" i="22"/>
  <c r="F73" i="22"/>
  <c r="C74" i="22"/>
  <c r="F74" i="22"/>
  <c r="C75" i="22"/>
  <c r="F75" i="22"/>
  <c r="C76" i="22"/>
  <c r="F76" i="22"/>
  <c r="C77" i="22"/>
  <c r="F77" i="22"/>
  <c r="C78" i="22"/>
  <c r="F78" i="22"/>
  <c r="A86" i="22"/>
  <c r="C86" i="22"/>
  <c r="C87" i="22"/>
  <c r="F87" i="22"/>
  <c r="C88" i="22"/>
  <c r="F88" i="22"/>
  <c r="C89" i="22"/>
  <c r="F89" i="22"/>
  <c r="A92" i="22"/>
  <c r="C92" i="22"/>
  <c r="C93" i="22"/>
  <c r="F93" i="22"/>
  <c r="C94" i="22"/>
  <c r="F94" i="22"/>
  <c r="C95" i="22"/>
  <c r="F95" i="22"/>
  <c r="A96" i="22"/>
  <c r="C96" i="22"/>
  <c r="G96" i="22"/>
  <c r="A109" i="21"/>
  <c r="C109" i="21"/>
  <c r="C110" i="21"/>
  <c r="F110" i="21"/>
  <c r="C111" i="21"/>
  <c r="F111" i="21"/>
  <c r="C112" i="21"/>
  <c r="F112" i="21"/>
  <c r="C113" i="21"/>
  <c r="F113" i="21"/>
  <c r="C114" i="21"/>
  <c r="F114" i="21"/>
  <c r="A102" i="21"/>
  <c r="C102" i="21"/>
  <c r="C103" i="21"/>
  <c r="F103" i="21"/>
  <c r="C104" i="21"/>
  <c r="F104" i="21"/>
  <c r="C105" i="21"/>
  <c r="F105" i="21"/>
  <c r="C106" i="21"/>
  <c r="F106" i="21"/>
  <c r="C107" i="21"/>
  <c r="F107" i="21"/>
  <c r="C108" i="21"/>
  <c r="F108" i="21"/>
  <c r="A79" i="21"/>
  <c r="C79" i="21"/>
  <c r="C80" i="21"/>
  <c r="F80" i="21"/>
  <c r="C81" i="21"/>
  <c r="F81" i="21"/>
  <c r="C82" i="21"/>
  <c r="F82" i="21"/>
  <c r="C83" i="21"/>
  <c r="F83" i="21"/>
  <c r="C84" i="21"/>
  <c r="F84" i="21"/>
  <c r="A72" i="21"/>
  <c r="C72" i="21"/>
  <c r="C73" i="21"/>
  <c r="F73" i="21"/>
  <c r="A121" i="21"/>
  <c r="C121" i="21"/>
  <c r="C122" i="21"/>
  <c r="F122" i="21"/>
  <c r="C123" i="21"/>
  <c r="G121" i="21"/>
  <c r="A130" i="21"/>
  <c r="C130" i="21"/>
  <c r="C131" i="21"/>
  <c r="F131" i="21"/>
  <c r="C132" i="21"/>
  <c r="F132" i="21"/>
  <c r="C133" i="21"/>
  <c r="F133" i="21"/>
  <c r="C134" i="21"/>
  <c r="F134" i="21"/>
  <c r="C135" i="21"/>
  <c r="F135" i="21"/>
  <c r="A164" i="21"/>
  <c r="C164" i="21"/>
  <c r="C165" i="21"/>
  <c r="F165" i="21"/>
  <c r="C166" i="21"/>
  <c r="F166" i="21"/>
  <c r="C167" i="21"/>
  <c r="F167" i="21"/>
  <c r="C168" i="21"/>
  <c r="F168" i="21"/>
  <c r="C169" i="21"/>
  <c r="F169" i="21"/>
  <c r="C170" i="21"/>
  <c r="F170" i="21"/>
  <c r="A157" i="21"/>
  <c r="C157" i="21"/>
  <c r="C158" i="21"/>
  <c r="F158" i="21"/>
  <c r="C159" i="21"/>
  <c r="F159" i="21"/>
  <c r="C160" i="21"/>
  <c r="F160" i="21"/>
  <c r="C161" i="21"/>
  <c r="F161" i="21"/>
  <c r="C162" i="21"/>
  <c r="F162" i="21"/>
  <c r="C163" i="21"/>
  <c r="F163" i="21"/>
  <c r="A171" i="21"/>
  <c r="C171" i="21"/>
  <c r="C172" i="21"/>
  <c r="F172" i="21"/>
  <c r="C173" i="21"/>
  <c r="F173" i="21"/>
  <c r="C174" i="21"/>
  <c r="F174" i="21"/>
  <c r="C175" i="21"/>
  <c r="F175" i="21"/>
  <c r="C176" i="21"/>
  <c r="F176" i="21"/>
  <c r="C177" i="21"/>
  <c r="F177" i="21"/>
  <c r="A178" i="21"/>
  <c r="C178" i="21"/>
  <c r="C179" i="21"/>
  <c r="F179" i="21"/>
  <c r="C180" i="21"/>
  <c r="F180" i="21"/>
  <c r="C181" i="21"/>
  <c r="F181" i="21"/>
  <c r="A184" i="21"/>
  <c r="C184" i="21"/>
  <c r="C185" i="21"/>
  <c r="F185" i="21"/>
  <c r="C186" i="21"/>
  <c r="F186" i="21"/>
  <c r="C187" i="21"/>
  <c r="F187" i="21"/>
  <c r="A188" i="21"/>
  <c r="C188" i="21"/>
  <c r="G188" i="21"/>
  <c r="A189" i="21"/>
  <c r="C189" i="21"/>
  <c r="C190" i="21"/>
  <c r="F190" i="21"/>
  <c r="C191" i="21"/>
  <c r="F191" i="21"/>
  <c r="C192" i="21"/>
  <c r="F192" i="21"/>
  <c r="C193" i="21"/>
  <c r="F193" i="21"/>
  <c r="C194" i="21"/>
  <c r="F194" i="21"/>
  <c r="C195" i="21"/>
  <c r="F195" i="21"/>
  <c r="A196" i="21"/>
  <c r="C196" i="21"/>
  <c r="C197" i="21"/>
  <c r="F197" i="21"/>
  <c r="C198" i="21"/>
  <c r="F198" i="21"/>
  <c r="C199" i="21"/>
  <c r="F199" i="21"/>
  <c r="C200" i="21"/>
  <c r="F200" i="21"/>
  <c r="A160" i="20"/>
  <c r="A166" i="20"/>
  <c r="A71" i="20"/>
  <c r="A76" i="20"/>
  <c r="A82" i="20"/>
  <c r="A93" i="20"/>
  <c r="A86" i="20"/>
  <c r="A159" i="20"/>
  <c r="A172" i="20"/>
  <c r="A183" i="20"/>
  <c r="A197" i="20"/>
  <c r="A190" i="20"/>
  <c r="A204" i="20"/>
  <c r="A211" i="20"/>
  <c r="A218" i="20"/>
  <c r="A120" i="18"/>
  <c r="C120" i="18"/>
  <c r="C121" i="18"/>
  <c r="F121" i="18"/>
  <c r="C122" i="18"/>
  <c r="F122" i="18"/>
  <c r="C123" i="18"/>
  <c r="F123" i="18"/>
  <c r="C124" i="18"/>
  <c r="F124" i="18"/>
  <c r="C125" i="18"/>
  <c r="F125" i="18"/>
  <c r="A132" i="18"/>
  <c r="C132" i="18"/>
  <c r="C133" i="18"/>
  <c r="C134" i="18"/>
  <c r="F134" i="18"/>
  <c r="A126" i="18"/>
  <c r="C126" i="18"/>
  <c r="C127" i="18"/>
  <c r="F127" i="18"/>
  <c r="C128" i="18"/>
  <c r="F128" i="18"/>
  <c r="C129" i="18"/>
  <c r="F129" i="18"/>
  <c r="C130" i="18"/>
  <c r="F130" i="18"/>
  <c r="C131" i="18"/>
  <c r="F131" i="18"/>
  <c r="A71" i="18"/>
  <c r="C71" i="18"/>
  <c r="A82" i="18"/>
  <c r="C82" i="18"/>
  <c r="C83" i="18"/>
  <c r="A94" i="18"/>
  <c r="C94" i="18"/>
  <c r="C95" i="18"/>
  <c r="F95" i="18"/>
  <c r="C96" i="18"/>
  <c r="F96" i="18"/>
  <c r="C97" i="18"/>
  <c r="F97" i="18"/>
  <c r="C98" i="18"/>
  <c r="F98" i="18"/>
  <c r="C99" i="18"/>
  <c r="F99" i="18"/>
  <c r="C100" i="18"/>
  <c r="F100" i="18"/>
  <c r="A76" i="18"/>
  <c r="C76" i="18"/>
  <c r="C77" i="18"/>
  <c r="F77" i="18"/>
  <c r="C78" i="18"/>
  <c r="F78" i="18"/>
  <c r="C79" i="18"/>
  <c r="F79" i="18"/>
  <c r="C80" i="18"/>
  <c r="F80" i="18"/>
  <c r="C81" i="18"/>
  <c r="F81" i="18"/>
  <c r="A113" i="18"/>
  <c r="C113" i="18"/>
  <c r="C114" i="18"/>
  <c r="F114" i="18"/>
  <c r="C115" i="18"/>
  <c r="F115" i="18"/>
  <c r="C116" i="18"/>
  <c r="F116" i="18"/>
  <c r="C117" i="18"/>
  <c r="F117" i="18"/>
  <c r="A142" i="18"/>
  <c r="C142" i="18"/>
  <c r="C143" i="18"/>
  <c r="F143" i="18"/>
  <c r="C144" i="18"/>
  <c r="F144" i="18"/>
  <c r="C145" i="18"/>
  <c r="F145" i="18"/>
  <c r="C146" i="18"/>
  <c r="F146" i="18"/>
  <c r="A167" i="18"/>
  <c r="C167" i="18"/>
  <c r="C168" i="18"/>
  <c r="F168" i="18"/>
  <c r="C169" i="18"/>
  <c r="F169" i="18"/>
  <c r="C170" i="18"/>
  <c r="F170" i="18"/>
  <c r="C171" i="18"/>
  <c r="F171" i="18"/>
  <c r="C172" i="18"/>
  <c r="F172" i="18"/>
  <c r="C173" i="18"/>
  <c r="F173" i="18"/>
  <c r="A160" i="18"/>
  <c r="C160" i="18"/>
  <c r="C161" i="18"/>
  <c r="F161" i="18"/>
  <c r="C162" i="18"/>
  <c r="F162" i="18"/>
  <c r="C163" i="18"/>
  <c r="F163" i="18"/>
  <c r="C164" i="18"/>
  <c r="F164" i="18"/>
  <c r="C165" i="18"/>
  <c r="F165" i="18"/>
  <c r="C166" i="18"/>
  <c r="F166" i="18"/>
  <c r="A180" i="18"/>
  <c r="C180" i="18"/>
  <c r="C181" i="18"/>
  <c r="F181" i="18"/>
  <c r="C182" i="18"/>
  <c r="F182" i="18"/>
  <c r="C183" i="18"/>
  <c r="F183" i="18"/>
  <c r="A184" i="18"/>
  <c r="C184" i="18"/>
  <c r="C185" i="18"/>
  <c r="F185" i="18"/>
  <c r="C186" i="18"/>
  <c r="F186" i="18"/>
  <c r="C187" i="18"/>
  <c r="F187" i="18"/>
  <c r="C188" i="18"/>
  <c r="F188" i="18"/>
  <c r="C189" i="18"/>
  <c r="F189" i="18"/>
  <c r="C190" i="18"/>
  <c r="F190" i="18"/>
  <c r="A191" i="18"/>
  <c r="C191" i="18"/>
  <c r="C192" i="18"/>
  <c r="F192" i="18"/>
  <c r="C193" i="18"/>
  <c r="F193" i="18"/>
  <c r="C194" i="18"/>
  <c r="F194" i="18"/>
  <c r="C195" i="18"/>
  <c r="F195" i="18"/>
  <c r="A73" i="17"/>
  <c r="C73" i="17"/>
  <c r="C74" i="17"/>
  <c r="F74" i="17"/>
  <c r="C75" i="17"/>
  <c r="F75" i="17"/>
  <c r="C76" i="17"/>
  <c r="F76" i="17"/>
  <c r="C77" i="17"/>
  <c r="F77" i="17"/>
  <c r="A78" i="17"/>
  <c r="C78" i="17"/>
  <c r="C79" i="17"/>
  <c r="F79" i="17"/>
  <c r="C80" i="17"/>
  <c r="F80" i="17"/>
  <c r="C81" i="17"/>
  <c r="F81" i="17"/>
  <c r="C82" i="17"/>
  <c r="F82" i="17"/>
  <c r="C83" i="17"/>
  <c r="F83" i="17"/>
  <c r="C21" i="17"/>
  <c r="C22" i="17"/>
  <c r="C23" i="17"/>
  <c r="F23" i="17"/>
  <c r="C24" i="17"/>
  <c r="F24" i="17"/>
  <c r="C25" i="17"/>
  <c r="F25" i="17"/>
  <c r="C26" i="17"/>
  <c r="F26" i="17"/>
  <c r="A27" i="17"/>
  <c r="C27" i="17"/>
  <c r="C28" i="17"/>
  <c r="F28" i="17"/>
  <c r="C29" i="17"/>
  <c r="F29" i="17"/>
  <c r="C30" i="17"/>
  <c r="F30" i="17"/>
  <c r="C31" i="17"/>
  <c r="A32" i="17"/>
  <c r="C32" i="17"/>
  <c r="C33" i="17"/>
  <c r="F33" i="17"/>
  <c r="C34" i="17"/>
  <c r="F34" i="17"/>
  <c r="C35" i="17"/>
  <c r="F35" i="17"/>
  <c r="C36" i="17"/>
  <c r="F36" i="17"/>
  <c r="C37" i="17"/>
  <c r="F37" i="17"/>
  <c r="A38" i="17"/>
  <c r="C38" i="17"/>
  <c r="C39" i="17"/>
  <c r="F39" i="17"/>
  <c r="C40" i="17"/>
  <c r="F40" i="17"/>
  <c r="C41" i="17"/>
  <c r="F41" i="17"/>
  <c r="A49" i="17"/>
  <c r="C49" i="17"/>
  <c r="A42" i="17"/>
  <c r="C42" i="17"/>
  <c r="C43" i="17"/>
  <c r="F43" i="17"/>
  <c r="C44" i="17"/>
  <c r="F44" i="17"/>
  <c r="C45" i="17"/>
  <c r="F45" i="17"/>
  <c r="C46" i="17"/>
  <c r="F46" i="17"/>
  <c r="A62" i="17"/>
  <c r="C62" i="17"/>
  <c r="C63" i="17"/>
  <c r="F63" i="17"/>
  <c r="C64" i="17"/>
  <c r="F64" i="17"/>
  <c r="C65" i="17"/>
  <c r="F65" i="17"/>
  <c r="C66" i="17"/>
  <c r="F66" i="17"/>
  <c r="C67" i="17"/>
  <c r="F67" i="17"/>
  <c r="A84" i="17"/>
  <c r="C84" i="17"/>
  <c r="C85" i="17"/>
  <c r="F85" i="17"/>
  <c r="C86" i="17"/>
  <c r="F86" i="17"/>
  <c r="C88" i="17"/>
  <c r="F88" i="17"/>
  <c r="A93" i="17"/>
  <c r="C93" i="17"/>
  <c r="A94" i="17"/>
  <c r="C94" i="17"/>
  <c r="A95" i="17"/>
  <c r="C95" i="17"/>
  <c r="A107" i="17"/>
  <c r="A73" i="15"/>
  <c r="C73" i="15"/>
  <c r="C74" i="15"/>
  <c r="F74" i="15"/>
  <c r="C75" i="15"/>
  <c r="F75" i="15"/>
  <c r="C76" i="15"/>
  <c r="F76" i="15"/>
  <c r="C77" i="15"/>
  <c r="F77" i="15"/>
  <c r="C78" i="15"/>
  <c r="F78" i="15"/>
  <c r="A61" i="15"/>
  <c r="C61" i="15"/>
  <c r="C62" i="15"/>
  <c r="F62" i="15"/>
  <c r="C63" i="15"/>
  <c r="F63" i="15"/>
  <c r="C64" i="15"/>
  <c r="F64" i="15"/>
  <c r="C65" i="15"/>
  <c r="F65" i="15"/>
  <c r="C66" i="15"/>
  <c r="F66" i="15"/>
  <c r="A67" i="15"/>
  <c r="C67" i="15"/>
  <c r="C68" i="15"/>
  <c r="F68" i="15"/>
  <c r="C69" i="15"/>
  <c r="F69" i="15"/>
  <c r="C70" i="15"/>
  <c r="F70" i="15"/>
  <c r="C71" i="15"/>
  <c r="F71" i="15"/>
  <c r="C72" i="15"/>
  <c r="F72" i="15"/>
  <c r="C14" i="15"/>
  <c r="C15" i="15"/>
  <c r="F15" i="15"/>
  <c r="C16" i="15"/>
  <c r="F16" i="15"/>
  <c r="C17" i="15"/>
  <c r="F17" i="15"/>
  <c r="C18" i="15"/>
  <c r="F18" i="15"/>
  <c r="A19" i="15"/>
  <c r="C19" i="15"/>
  <c r="C20" i="15"/>
  <c r="F20" i="15"/>
  <c r="C21" i="15"/>
  <c r="F21" i="15"/>
  <c r="C22" i="15"/>
  <c r="F22" i="15"/>
  <c r="C23" i="15"/>
  <c r="F23" i="15"/>
  <c r="C24" i="15"/>
  <c r="F24" i="15"/>
  <c r="A25" i="15"/>
  <c r="C25" i="15"/>
  <c r="C26" i="15"/>
  <c r="F26" i="15"/>
  <c r="C27" i="15"/>
  <c r="F27" i="15"/>
  <c r="C28" i="15"/>
  <c r="F28" i="15"/>
  <c r="A36" i="15"/>
  <c r="C36" i="15"/>
  <c r="C37" i="15"/>
  <c r="F37" i="15"/>
  <c r="C38" i="15"/>
  <c r="F38" i="15"/>
  <c r="C39" i="15"/>
  <c r="F39" i="15"/>
  <c r="C40" i="15"/>
  <c r="F40" i="15"/>
  <c r="C41" i="15"/>
  <c r="F41" i="15"/>
  <c r="A29" i="15"/>
  <c r="C29" i="15"/>
  <c r="C30" i="15"/>
  <c r="F30" i="15"/>
  <c r="C31" i="15"/>
  <c r="F31" i="15"/>
  <c r="C32" i="15"/>
  <c r="F32" i="15"/>
  <c r="C33" i="15"/>
  <c r="F33" i="15"/>
  <c r="A54" i="15"/>
  <c r="C54" i="15"/>
  <c r="C55" i="15"/>
  <c r="F55" i="15"/>
  <c r="C56" i="15"/>
  <c r="F56" i="15"/>
  <c r="C57" i="15"/>
  <c r="F57" i="15"/>
  <c r="C58" i="15"/>
  <c r="F58" i="15"/>
  <c r="A79" i="15"/>
  <c r="C79" i="15"/>
  <c r="C80" i="15"/>
  <c r="F80" i="15"/>
  <c r="C81" i="15"/>
  <c r="F81" i="15"/>
  <c r="C83" i="15"/>
  <c r="F83" i="15"/>
  <c r="A84" i="15"/>
  <c r="C84" i="15"/>
  <c r="C85" i="15"/>
  <c r="F85" i="15"/>
  <c r="C86" i="15"/>
  <c r="F86" i="15"/>
  <c r="A87" i="15"/>
  <c r="C87" i="15"/>
  <c r="C88" i="15"/>
  <c r="F88" i="15"/>
  <c r="C89" i="15"/>
  <c r="F89" i="15"/>
  <c r="A103" i="15"/>
  <c r="C103" i="15"/>
  <c r="C104" i="15"/>
  <c r="F104" i="15"/>
  <c r="C105" i="15"/>
  <c r="F105" i="15"/>
  <c r="C106" i="15"/>
  <c r="F106" i="15"/>
  <c r="C107" i="15"/>
  <c r="F107" i="15"/>
  <c r="C108" i="15"/>
  <c r="F108" i="15"/>
  <c r="C109" i="15"/>
  <c r="F109" i="15"/>
  <c r="A96" i="15"/>
  <c r="C96" i="15"/>
  <c r="C97" i="15"/>
  <c r="F97" i="15"/>
  <c r="C98" i="15"/>
  <c r="F98" i="15"/>
  <c r="C99" i="15"/>
  <c r="F99" i="15"/>
  <c r="C100" i="15"/>
  <c r="F100" i="15"/>
  <c r="C101" i="15"/>
  <c r="F101" i="15"/>
  <c r="C102" i="15"/>
  <c r="F102" i="15"/>
  <c r="A90" i="15"/>
  <c r="C90" i="15"/>
  <c r="C91" i="15"/>
  <c r="F91" i="15"/>
  <c r="C92" i="15"/>
  <c r="F92" i="15"/>
  <c r="C93" i="15"/>
  <c r="F93" i="15"/>
  <c r="C94" i="15"/>
  <c r="F94" i="15"/>
  <c r="C95" i="15"/>
  <c r="F95" i="15"/>
  <c r="A110" i="15"/>
  <c r="C110" i="15"/>
  <c r="C111" i="15"/>
  <c r="F111" i="15"/>
  <c r="C112" i="15"/>
  <c r="F112" i="15"/>
  <c r="C113" i="15"/>
  <c r="F113" i="15"/>
  <c r="A116" i="15"/>
  <c r="C116" i="15"/>
  <c r="C117" i="15"/>
  <c r="F117" i="15"/>
  <c r="C118" i="15"/>
  <c r="F118" i="15"/>
  <c r="C119" i="15"/>
  <c r="F119" i="15"/>
  <c r="A120" i="15"/>
  <c r="A121" i="15"/>
  <c r="A122" i="15"/>
  <c r="A123" i="15"/>
  <c r="C204" i="15"/>
  <c r="C205" i="15"/>
  <c r="A74" i="14"/>
  <c r="C74" i="14"/>
  <c r="C75" i="14"/>
  <c r="F75" i="14"/>
  <c r="C76" i="14"/>
  <c r="F76" i="14"/>
  <c r="C77" i="14"/>
  <c r="F77" i="14"/>
  <c r="C78" i="14"/>
  <c r="F78" i="14"/>
  <c r="A79" i="14"/>
  <c r="C79" i="14"/>
  <c r="C80" i="14"/>
  <c r="F80" i="14"/>
  <c r="C81" i="14"/>
  <c r="F81" i="14"/>
  <c r="C82" i="14"/>
  <c r="F82" i="14"/>
  <c r="A83" i="14"/>
  <c r="C83" i="14"/>
  <c r="C84" i="14"/>
  <c r="F84" i="14"/>
  <c r="C85" i="14"/>
  <c r="F85" i="14"/>
  <c r="C86" i="14"/>
  <c r="F86" i="14"/>
  <c r="C87" i="14"/>
  <c r="F87" i="14"/>
  <c r="C88" i="14"/>
  <c r="F88" i="14"/>
  <c r="C62" i="14"/>
  <c r="C63" i="14"/>
  <c r="F63" i="14"/>
  <c r="C64" i="14"/>
  <c r="F64" i="14"/>
  <c r="C65" i="14"/>
  <c r="F65" i="14"/>
  <c r="C66" i="14"/>
  <c r="F66" i="14"/>
  <c r="C67" i="14"/>
  <c r="F67" i="14"/>
  <c r="A68" i="14"/>
  <c r="C68" i="14"/>
  <c r="C69" i="14"/>
  <c r="F69" i="14"/>
  <c r="C70" i="14"/>
  <c r="F70" i="14"/>
  <c r="C71" i="14"/>
  <c r="F71" i="14"/>
  <c r="C72" i="14"/>
  <c r="F72" i="14"/>
  <c r="C73" i="14"/>
  <c r="F73" i="14"/>
  <c r="A22" i="14"/>
  <c r="C22" i="14"/>
  <c r="C23" i="14"/>
  <c r="F23" i="14"/>
  <c r="C24" i="14"/>
  <c r="F24" i="14"/>
  <c r="C25" i="14"/>
  <c r="F25" i="14"/>
  <c r="C26" i="14"/>
  <c r="F26" i="14"/>
  <c r="C27" i="14"/>
  <c r="F27" i="14"/>
  <c r="A48" i="14"/>
  <c r="C48" i="14"/>
  <c r="C49" i="14"/>
  <c r="F49" i="14"/>
  <c r="C50" i="14"/>
  <c r="F50" i="14"/>
  <c r="C51" i="14"/>
  <c r="F51" i="14"/>
  <c r="C52" i="14"/>
  <c r="F52" i="14"/>
  <c r="C53" i="14"/>
  <c r="F53" i="14"/>
  <c r="C54" i="14"/>
  <c r="F54" i="14"/>
  <c r="A35" i="14"/>
  <c r="C35" i="14"/>
  <c r="C36" i="14"/>
  <c r="F36" i="14"/>
  <c r="C37" i="14"/>
  <c r="F37" i="14"/>
  <c r="C38" i="14"/>
  <c r="F38" i="14"/>
  <c r="C39" i="14"/>
  <c r="F39" i="14"/>
  <c r="C40" i="14"/>
  <c r="F40" i="14"/>
  <c r="A28" i="14"/>
  <c r="C28" i="14"/>
  <c r="C29" i="14"/>
  <c r="F29" i="14"/>
  <c r="C30" i="14"/>
  <c r="F30" i="14"/>
  <c r="C31" i="14"/>
  <c r="F31" i="14"/>
  <c r="C32" i="14"/>
  <c r="F32" i="14"/>
  <c r="A89" i="14"/>
  <c r="C89" i="14"/>
  <c r="C90" i="14"/>
  <c r="F90" i="14"/>
  <c r="C91" i="14"/>
  <c r="F91" i="14"/>
  <c r="C92" i="14"/>
  <c r="F92" i="14"/>
  <c r="C93" i="14"/>
  <c r="F93" i="14"/>
  <c r="A94" i="14"/>
  <c r="C94" i="14"/>
  <c r="C95" i="14"/>
  <c r="F95" i="14"/>
  <c r="C96" i="14"/>
  <c r="F96" i="14"/>
  <c r="C98" i="14"/>
  <c r="F98" i="14"/>
  <c r="A100" i="14"/>
  <c r="C100" i="14"/>
  <c r="C101" i="14"/>
  <c r="F101" i="14"/>
  <c r="C102" i="14"/>
  <c r="F102" i="14"/>
  <c r="C103" i="14"/>
  <c r="F103" i="14"/>
  <c r="C104" i="14"/>
  <c r="F104" i="14"/>
  <c r="C105" i="14"/>
  <c r="F105" i="14"/>
  <c r="A106" i="14"/>
  <c r="C106" i="14"/>
  <c r="C107" i="14"/>
  <c r="F107" i="14"/>
  <c r="C108" i="14"/>
  <c r="F108" i="14"/>
  <c r="C109" i="14"/>
  <c r="F109" i="14"/>
  <c r="A112" i="14"/>
  <c r="C112" i="14"/>
  <c r="C113" i="14"/>
  <c r="F113" i="14"/>
  <c r="C114" i="14"/>
  <c r="F114" i="14"/>
  <c r="C115" i="14"/>
  <c r="F115" i="14"/>
  <c r="C116" i="14"/>
  <c r="F116" i="14"/>
  <c r="F118" i="14"/>
  <c r="F119" i="14"/>
  <c r="F120" i="14"/>
  <c r="F121" i="14"/>
  <c r="F122" i="14"/>
  <c r="A59" i="13"/>
  <c r="C59" i="13"/>
  <c r="C60" i="13"/>
  <c r="F60" i="13"/>
  <c r="C61" i="13"/>
  <c r="F61" i="13"/>
  <c r="C62" i="13"/>
  <c r="F62" i="13"/>
  <c r="C63" i="13"/>
  <c r="F63" i="13"/>
  <c r="A64" i="13"/>
  <c r="C64" i="13"/>
  <c r="C65" i="13"/>
  <c r="F65" i="13"/>
  <c r="C66" i="13"/>
  <c r="F66" i="13"/>
  <c r="C67" i="13"/>
  <c r="F67" i="13"/>
  <c r="A54" i="13"/>
  <c r="C54" i="13"/>
  <c r="C55" i="13"/>
  <c r="F55" i="13"/>
  <c r="A42" i="13"/>
  <c r="C42" i="13"/>
  <c r="C43" i="13"/>
  <c r="F43" i="13"/>
  <c r="C44" i="13"/>
  <c r="F44" i="13"/>
  <c r="C45" i="13"/>
  <c r="F45" i="13"/>
  <c r="C46" i="13"/>
  <c r="F46" i="13"/>
  <c r="C47" i="13"/>
  <c r="F47" i="13"/>
  <c r="C48" i="13"/>
  <c r="C49" i="13"/>
  <c r="F49" i="13"/>
  <c r="C50" i="13"/>
  <c r="F50" i="13"/>
  <c r="C51" i="13"/>
  <c r="F51" i="13"/>
  <c r="C52" i="13"/>
  <c r="F52" i="13"/>
  <c r="C53" i="13"/>
  <c r="F53" i="13"/>
  <c r="A11" i="13"/>
  <c r="C11" i="13"/>
  <c r="A16" i="13"/>
  <c r="C16" i="13"/>
  <c r="C17" i="13"/>
  <c r="F17" i="13"/>
  <c r="C18" i="13"/>
  <c r="F18" i="13"/>
  <c r="C19" i="13"/>
  <c r="F19" i="13"/>
  <c r="C20" i="13"/>
  <c r="F20" i="13"/>
  <c r="C21" i="13"/>
  <c r="F21" i="13"/>
  <c r="A35" i="13"/>
  <c r="C35" i="13"/>
  <c r="C36" i="13"/>
  <c r="F36" i="13"/>
  <c r="C37" i="13"/>
  <c r="F37" i="13"/>
  <c r="C38" i="13"/>
  <c r="F38" i="13"/>
  <c r="C39" i="13"/>
  <c r="F39" i="13"/>
  <c r="C40" i="13"/>
  <c r="F40" i="13"/>
  <c r="C41" i="13"/>
  <c r="F41" i="13"/>
  <c r="A22" i="13"/>
  <c r="C22" i="13"/>
  <c r="C23" i="13"/>
  <c r="F23" i="13"/>
  <c r="C24" i="13"/>
  <c r="F24" i="13"/>
  <c r="C25" i="13"/>
  <c r="F25" i="13"/>
  <c r="C26" i="13"/>
  <c r="F26" i="13"/>
  <c r="C27" i="13"/>
  <c r="F27" i="13"/>
  <c r="A78" i="13"/>
  <c r="C78" i="13"/>
  <c r="G78" i="13"/>
  <c r="A68" i="13"/>
  <c r="C68" i="13"/>
  <c r="C69" i="13"/>
  <c r="F69" i="13"/>
  <c r="C70" i="13"/>
  <c r="F70" i="13"/>
  <c r="C71" i="13"/>
  <c r="F71" i="13"/>
  <c r="C72" i="13"/>
  <c r="F72" i="13"/>
  <c r="A73" i="13"/>
  <c r="C73" i="13"/>
  <c r="C74" i="13"/>
  <c r="F74" i="13"/>
  <c r="C75" i="13"/>
  <c r="F75" i="13"/>
  <c r="A85" i="13"/>
  <c r="C85" i="13"/>
  <c r="C86" i="13"/>
  <c r="F86" i="13"/>
  <c r="C87" i="13"/>
  <c r="F87" i="13"/>
  <c r="C88" i="13"/>
  <c r="F88" i="13"/>
  <c r="C89" i="13"/>
  <c r="F89" i="13"/>
  <c r="C90" i="13"/>
  <c r="F90" i="13"/>
  <c r="C91" i="13"/>
  <c r="F91" i="13"/>
  <c r="C92" i="13"/>
  <c r="F92" i="13"/>
  <c r="C93" i="13"/>
  <c r="F93" i="13"/>
  <c r="A79" i="13"/>
  <c r="C79" i="13"/>
  <c r="C80" i="13"/>
  <c r="F80" i="13"/>
  <c r="C81" i="13"/>
  <c r="F81" i="13"/>
  <c r="C82" i="13"/>
  <c r="F82" i="13"/>
  <c r="C83" i="13"/>
  <c r="F83" i="13"/>
  <c r="C84" i="13"/>
  <c r="F84" i="13"/>
  <c r="A94" i="13"/>
  <c r="C94" i="13"/>
  <c r="C95" i="13"/>
  <c r="F95" i="13"/>
  <c r="C96" i="13"/>
  <c r="F96" i="13"/>
  <c r="C97" i="13"/>
  <c r="F97" i="13"/>
  <c r="A100" i="13"/>
  <c r="C100" i="13"/>
  <c r="C101" i="13"/>
  <c r="F101" i="13"/>
  <c r="C102" i="13"/>
  <c r="F102" i="13"/>
  <c r="C103" i="13"/>
  <c r="F103" i="13"/>
  <c r="C104" i="13"/>
  <c r="F104" i="13"/>
  <c r="F106" i="13"/>
  <c r="F107" i="13"/>
  <c r="F108" i="13"/>
  <c r="F109" i="13"/>
  <c r="A112" i="13"/>
  <c r="A55" i="11"/>
  <c r="C55" i="11"/>
  <c r="C56" i="11"/>
  <c r="F56" i="11"/>
  <c r="C57" i="11"/>
  <c r="F57" i="11"/>
  <c r="C58" i="11"/>
  <c r="F58" i="11"/>
  <c r="C59" i="11"/>
  <c r="A60" i="11"/>
  <c r="C60" i="11"/>
  <c r="C61" i="11"/>
  <c r="F61" i="11"/>
  <c r="C62" i="11"/>
  <c r="F62" i="11"/>
  <c r="C63" i="11"/>
  <c r="F63" i="11"/>
  <c r="C65" i="11"/>
  <c r="C66" i="11"/>
  <c r="C67" i="11"/>
  <c r="C68" i="11"/>
  <c r="C69" i="11"/>
  <c r="F69" i="11"/>
  <c r="G64" i="11" s="1"/>
  <c r="A43" i="11"/>
  <c r="C43" i="11"/>
  <c r="C44" i="11"/>
  <c r="F44" i="11"/>
  <c r="C45" i="11"/>
  <c r="F45" i="11"/>
  <c r="C46" i="11"/>
  <c r="F46" i="11"/>
  <c r="C47" i="11"/>
  <c r="F47" i="11"/>
  <c r="C48" i="11"/>
  <c r="F48" i="11"/>
  <c r="A49" i="11"/>
  <c r="C49" i="11"/>
  <c r="C50" i="11"/>
  <c r="F50" i="11"/>
  <c r="C51" i="11"/>
  <c r="F51" i="11"/>
  <c r="C52" i="11"/>
  <c r="F52" i="11"/>
  <c r="C53" i="11"/>
  <c r="F53" i="11"/>
  <c r="C54" i="11"/>
  <c r="F54" i="11"/>
  <c r="A15" i="11"/>
  <c r="C15" i="11"/>
  <c r="A31" i="11"/>
  <c r="C31" i="11"/>
  <c r="C32" i="11"/>
  <c r="F32" i="11"/>
  <c r="C33" i="11"/>
  <c r="F33" i="11"/>
  <c r="C34" i="11"/>
  <c r="F34" i="11"/>
  <c r="C35" i="11"/>
  <c r="F35" i="11"/>
  <c r="C36" i="11"/>
  <c r="F36" i="11"/>
  <c r="C37" i="11"/>
  <c r="F37" i="11"/>
  <c r="A20" i="11"/>
  <c r="C20" i="11"/>
  <c r="C21" i="11"/>
  <c r="F21" i="11"/>
  <c r="C22" i="11"/>
  <c r="F22" i="11"/>
  <c r="C23" i="11"/>
  <c r="F23" i="11"/>
  <c r="C24" i="11"/>
  <c r="F24" i="11"/>
  <c r="C25" i="11"/>
  <c r="F25" i="11"/>
  <c r="A80" i="11"/>
  <c r="C80" i="11"/>
  <c r="G80" i="11"/>
  <c r="C70" i="11"/>
  <c r="C71" i="11"/>
  <c r="F71" i="11"/>
  <c r="C72" i="11"/>
  <c r="F72" i="11"/>
  <c r="C73" i="11"/>
  <c r="F73" i="11"/>
  <c r="C74" i="11"/>
  <c r="F74" i="11"/>
  <c r="A75" i="11"/>
  <c r="C75" i="11"/>
  <c r="C76" i="11"/>
  <c r="F76" i="11"/>
  <c r="C77" i="11"/>
  <c r="F77" i="11"/>
  <c r="A81" i="11"/>
  <c r="C81" i="11"/>
  <c r="C82" i="11"/>
  <c r="F82" i="11"/>
  <c r="C83" i="11"/>
  <c r="F83" i="11"/>
  <c r="C84" i="11"/>
  <c r="F84" i="11"/>
  <c r="C85" i="11"/>
  <c r="F85" i="11"/>
  <c r="C86" i="11"/>
  <c r="F86" i="11"/>
  <c r="A87" i="11"/>
  <c r="C87" i="11"/>
  <c r="C88" i="11"/>
  <c r="F88" i="11"/>
  <c r="C89" i="11"/>
  <c r="F89" i="11"/>
  <c r="C90" i="11"/>
  <c r="F90" i="11"/>
  <c r="A93" i="11"/>
  <c r="C93" i="11"/>
  <c r="C94" i="11"/>
  <c r="F94" i="11"/>
  <c r="C95" i="11"/>
  <c r="F95" i="11"/>
  <c r="C96" i="11"/>
  <c r="F96" i="11"/>
  <c r="A97" i="11"/>
  <c r="C97" i="11"/>
  <c r="C98" i="11"/>
  <c r="F98" i="11"/>
  <c r="C99" i="11"/>
  <c r="F99" i="11"/>
  <c r="C100" i="11"/>
  <c r="F100" i="11"/>
  <c r="C101" i="11"/>
  <c r="F101" i="11"/>
  <c r="A109" i="11"/>
  <c r="A156" i="11"/>
  <c r="C156" i="11"/>
  <c r="C157" i="11"/>
  <c r="F157" i="11"/>
  <c r="C158" i="11"/>
  <c r="F158" i="11"/>
  <c r="C159" i="11"/>
  <c r="F159" i="11"/>
  <c r="A64" i="10"/>
  <c r="C64" i="10"/>
  <c r="C65" i="10"/>
  <c r="F65" i="10"/>
  <c r="C66" i="10"/>
  <c r="F66" i="10"/>
  <c r="C67" i="10"/>
  <c r="F67" i="10"/>
  <c r="C68" i="10"/>
  <c r="F68" i="10"/>
  <c r="A69" i="10"/>
  <c r="C69" i="10"/>
  <c r="C70" i="10"/>
  <c r="F70" i="10"/>
  <c r="C71" i="10"/>
  <c r="F71" i="10"/>
  <c r="C72" i="10"/>
  <c r="F72" i="10"/>
  <c r="A59" i="10"/>
  <c r="C59" i="10"/>
  <c r="C60" i="10"/>
  <c r="F60" i="10"/>
  <c r="C61" i="10"/>
  <c r="F61" i="10"/>
  <c r="C54" i="10"/>
  <c r="F54" i="10"/>
  <c r="C55" i="10"/>
  <c r="F55" i="10"/>
  <c r="C56" i="10"/>
  <c r="F56" i="10"/>
  <c r="C57" i="10"/>
  <c r="F57" i="10"/>
  <c r="C58" i="10"/>
  <c r="F58" i="10"/>
  <c r="A13" i="10"/>
  <c r="C13" i="10"/>
  <c r="A18" i="10"/>
  <c r="C18" i="10"/>
  <c r="C19" i="10"/>
  <c r="F19" i="10"/>
  <c r="C20" i="10"/>
  <c r="F20" i="10"/>
  <c r="C21" i="10"/>
  <c r="F21" i="10"/>
  <c r="C22" i="10"/>
  <c r="F22" i="10"/>
  <c r="C23" i="10"/>
  <c r="F23" i="10"/>
  <c r="A37" i="10"/>
  <c r="C37" i="10"/>
  <c r="C38" i="10"/>
  <c r="F38" i="10"/>
  <c r="C39" i="10"/>
  <c r="F39" i="10"/>
  <c r="C40" i="10"/>
  <c r="F40" i="10"/>
  <c r="C41" i="10"/>
  <c r="F41" i="10"/>
  <c r="C42" i="10"/>
  <c r="F42" i="10"/>
  <c r="C43" i="10"/>
  <c r="F43" i="10"/>
  <c r="A31" i="10"/>
  <c r="C31" i="10"/>
  <c r="C32" i="10"/>
  <c r="F32" i="10"/>
  <c r="C33" i="10"/>
  <c r="F33" i="10"/>
  <c r="C34" i="10"/>
  <c r="F34" i="10"/>
  <c r="C35" i="10"/>
  <c r="F35" i="10"/>
  <c r="C36" i="10"/>
  <c r="F36" i="10"/>
  <c r="A24" i="10"/>
  <c r="C24" i="10"/>
  <c r="C25" i="10"/>
  <c r="F25" i="10"/>
  <c r="C26" i="10"/>
  <c r="F26" i="10"/>
  <c r="C27" i="10"/>
  <c r="F27" i="10"/>
  <c r="C28" i="10"/>
  <c r="F28" i="10"/>
  <c r="A79" i="10"/>
  <c r="C79" i="10"/>
  <c r="C80" i="10"/>
  <c r="F80" i="10"/>
  <c r="C81" i="10"/>
  <c r="F81" i="10"/>
  <c r="C82" i="10"/>
  <c r="F82" i="10"/>
  <c r="C83" i="10"/>
  <c r="F83" i="10"/>
  <c r="A84" i="10"/>
  <c r="C84" i="10"/>
  <c r="C85" i="10"/>
  <c r="F85" i="10"/>
  <c r="C86" i="10"/>
  <c r="F86" i="10"/>
  <c r="C87" i="10"/>
  <c r="F87" i="10"/>
  <c r="A90" i="10"/>
  <c r="C90" i="10"/>
  <c r="C91" i="10"/>
  <c r="F91" i="10"/>
  <c r="C92" i="10"/>
  <c r="F92" i="10"/>
  <c r="C93" i="10"/>
  <c r="F93" i="10"/>
  <c r="A94" i="10"/>
  <c r="C94" i="10"/>
  <c r="C95" i="10"/>
  <c r="F95" i="10"/>
  <c r="C96" i="10"/>
  <c r="F96" i="10"/>
  <c r="C97" i="10"/>
  <c r="F97" i="10"/>
  <c r="C98" i="10"/>
  <c r="F98" i="10"/>
  <c r="A99" i="10"/>
  <c r="C99" i="10"/>
  <c r="C100" i="10"/>
  <c r="F100" i="10"/>
  <c r="C101" i="10"/>
  <c r="F101" i="10"/>
  <c r="C102" i="10"/>
  <c r="F102" i="10"/>
  <c r="C103" i="10"/>
  <c r="F103" i="10"/>
  <c r="C104" i="10"/>
  <c r="F104" i="10"/>
  <c r="C105" i="10"/>
  <c r="A211" i="10"/>
  <c r="C211" i="10"/>
  <c r="G211" i="10"/>
  <c r="A212" i="10"/>
  <c r="C212" i="10"/>
  <c r="C213" i="10"/>
  <c r="F213" i="10"/>
  <c r="C214" i="10"/>
  <c r="F214" i="10"/>
  <c r="C215" i="10"/>
  <c r="F215" i="10"/>
  <c r="C216" i="10"/>
  <c r="F216" i="10"/>
  <c r="A224" i="10"/>
  <c r="C224" i="10"/>
  <c r="C225" i="10"/>
  <c r="F225" i="10"/>
  <c r="C226" i="10"/>
  <c r="F226" i="10"/>
  <c r="C227" i="10"/>
  <c r="F227" i="10"/>
  <c r="C228" i="10"/>
  <c r="F228" i="10"/>
  <c r="C229" i="10"/>
  <c r="F229" i="10"/>
  <c r="C230" i="10"/>
  <c r="F230" i="10"/>
  <c r="A217" i="10"/>
  <c r="C217" i="10"/>
  <c r="C218" i="10"/>
  <c r="F218" i="10"/>
  <c r="C219" i="10"/>
  <c r="F219" i="10"/>
  <c r="C220" i="10"/>
  <c r="F220" i="10"/>
  <c r="C221" i="10"/>
  <c r="F221" i="10"/>
  <c r="C222" i="10"/>
  <c r="F222" i="10"/>
  <c r="C223" i="10"/>
  <c r="F223" i="10"/>
  <c r="A241" i="10"/>
  <c r="C51" i="9"/>
  <c r="C52" i="9"/>
  <c r="F52" i="9"/>
  <c r="C53" i="9"/>
  <c r="F53" i="9"/>
  <c r="C54" i="9"/>
  <c r="F54" i="9"/>
  <c r="F55" i="9"/>
  <c r="C56" i="9"/>
  <c r="C57" i="9"/>
  <c r="F57" i="9"/>
  <c r="C58" i="9"/>
  <c r="F58" i="9"/>
  <c r="C59" i="9"/>
  <c r="F59" i="9"/>
  <c r="C60" i="9"/>
  <c r="C61" i="9"/>
  <c r="F61" i="9"/>
  <c r="C62" i="9"/>
  <c r="F62" i="9"/>
  <c r="C63" i="9"/>
  <c r="F63" i="9"/>
  <c r="C64" i="9"/>
  <c r="F64" i="9"/>
  <c r="C65" i="9"/>
  <c r="F65" i="9"/>
  <c r="C39" i="9"/>
  <c r="C40" i="9"/>
  <c r="F40" i="9"/>
  <c r="C41" i="9"/>
  <c r="F41" i="9"/>
  <c r="C42" i="9"/>
  <c r="F42" i="9"/>
  <c r="C43" i="9"/>
  <c r="F43" i="9"/>
  <c r="C44" i="9"/>
  <c r="F44" i="9"/>
  <c r="C45" i="9"/>
  <c r="C46" i="9"/>
  <c r="F46" i="9"/>
  <c r="C47" i="9"/>
  <c r="F47" i="9"/>
  <c r="C48" i="9"/>
  <c r="F48" i="9"/>
  <c r="C49" i="9"/>
  <c r="F49" i="9"/>
  <c r="C50" i="9"/>
  <c r="F50" i="9"/>
  <c r="C13" i="9"/>
  <c r="C14" i="9"/>
  <c r="F14" i="9"/>
  <c r="C15" i="9"/>
  <c r="F15" i="9"/>
  <c r="C16" i="9"/>
  <c r="F16" i="9"/>
  <c r="C17" i="9"/>
  <c r="F17" i="9"/>
  <c r="C18" i="9"/>
  <c r="F18" i="9"/>
  <c r="C32" i="9"/>
  <c r="C33" i="9"/>
  <c r="F33" i="9"/>
  <c r="C34" i="9"/>
  <c r="F34" i="9"/>
  <c r="C35" i="9"/>
  <c r="F35" i="9"/>
  <c r="C36" i="9"/>
  <c r="F36" i="9"/>
  <c r="C37" i="9"/>
  <c r="F37" i="9"/>
  <c r="C38" i="9"/>
  <c r="F38" i="9"/>
  <c r="C26" i="9"/>
  <c r="C27" i="9"/>
  <c r="F27" i="9"/>
  <c r="C28" i="9"/>
  <c r="F28" i="9"/>
  <c r="C29" i="9"/>
  <c r="F29" i="9"/>
  <c r="C30" i="9"/>
  <c r="F30" i="9"/>
  <c r="C31" i="9"/>
  <c r="F31" i="9"/>
  <c r="C19" i="9"/>
  <c r="F20" i="9"/>
  <c r="F21" i="9"/>
  <c r="F22" i="9"/>
  <c r="F23" i="9"/>
  <c r="C66" i="9"/>
  <c r="C67" i="9"/>
  <c r="F67" i="9"/>
  <c r="C68" i="9"/>
  <c r="F68" i="9"/>
  <c r="C69" i="9"/>
  <c r="F69" i="9"/>
  <c r="C70" i="9"/>
  <c r="F70" i="9"/>
  <c r="C71" i="9"/>
  <c r="C72" i="9"/>
  <c r="F72" i="9"/>
  <c r="C73" i="9"/>
  <c r="F73" i="9"/>
  <c r="C74" i="9"/>
  <c r="F74" i="9"/>
  <c r="C75" i="9"/>
  <c r="F75" i="9"/>
  <c r="C76" i="9"/>
  <c r="F76" i="9"/>
  <c r="C77" i="9"/>
  <c r="C78" i="9"/>
  <c r="F78" i="9"/>
  <c r="C79" i="9"/>
  <c r="F79" i="9"/>
  <c r="C80" i="9"/>
  <c r="F80" i="9"/>
  <c r="C83" i="9"/>
  <c r="C84" i="9"/>
  <c r="F84" i="9"/>
  <c r="C85" i="9"/>
  <c r="F85" i="9"/>
  <c r="C86" i="9"/>
  <c r="F86" i="9"/>
  <c r="A183" i="9"/>
  <c r="C183" i="9"/>
  <c r="A184" i="9"/>
  <c r="C184" i="9"/>
  <c r="C185" i="9"/>
  <c r="F185" i="9"/>
  <c r="C186" i="9"/>
  <c r="F186" i="9"/>
  <c r="C187" i="9"/>
  <c r="F187" i="9"/>
  <c r="C188" i="9"/>
  <c r="F188" i="9"/>
  <c r="A196" i="9"/>
  <c r="C196" i="9"/>
  <c r="C197" i="9"/>
  <c r="F197" i="9"/>
  <c r="C198" i="9"/>
  <c r="F198" i="9"/>
  <c r="C199" i="9"/>
  <c r="F199" i="9"/>
  <c r="C200" i="9"/>
  <c r="F200" i="9"/>
  <c r="C201" i="9"/>
  <c r="F201" i="9"/>
  <c r="C202" i="9"/>
  <c r="F202" i="9"/>
  <c r="A189" i="9"/>
  <c r="C189" i="9"/>
  <c r="C190" i="9"/>
  <c r="F190" i="9"/>
  <c r="C191" i="9"/>
  <c r="F191" i="9"/>
  <c r="C192" i="9"/>
  <c r="F192" i="9"/>
  <c r="C193" i="9"/>
  <c r="F193" i="9"/>
  <c r="C194" i="9"/>
  <c r="F194" i="9"/>
  <c r="C195" i="9"/>
  <c r="F195" i="9"/>
  <c r="A213" i="9"/>
  <c r="A9" i="12"/>
  <c r="C9" i="12"/>
  <c r="C10" i="12"/>
  <c r="F10" i="12"/>
  <c r="C11" i="12"/>
  <c r="F11" i="12"/>
  <c r="C12" i="12"/>
  <c r="F12" i="12"/>
  <c r="C13" i="12"/>
  <c r="F13" i="12"/>
  <c r="C14" i="12"/>
  <c r="F14" i="12"/>
  <c r="A28" i="12"/>
  <c r="C28" i="12"/>
  <c r="C29" i="12"/>
  <c r="F29" i="12"/>
  <c r="C30" i="12"/>
  <c r="F30" i="12"/>
  <c r="C31" i="12"/>
  <c r="F31" i="12"/>
  <c r="C32" i="12"/>
  <c r="F32" i="12"/>
  <c r="C33" i="12"/>
  <c r="F33" i="12"/>
  <c r="C34" i="12"/>
  <c r="F34" i="12"/>
  <c r="A15" i="12"/>
  <c r="C15" i="12"/>
  <c r="C16" i="12"/>
  <c r="F16" i="12"/>
  <c r="C17" i="12"/>
  <c r="F17" i="12"/>
  <c r="C18" i="12"/>
  <c r="F18" i="12"/>
  <c r="C19" i="12"/>
  <c r="F19" i="12"/>
  <c r="A42" i="12"/>
  <c r="C42" i="12"/>
  <c r="C43" i="12"/>
  <c r="F43" i="12"/>
  <c r="C44" i="12"/>
  <c r="F44" i="12"/>
  <c r="C46" i="12"/>
  <c r="F46" i="12"/>
  <c r="F106" i="12"/>
  <c r="F107" i="12"/>
  <c r="F109" i="12"/>
  <c r="A117" i="12"/>
  <c r="C117" i="12"/>
  <c r="C118" i="12"/>
  <c r="F118" i="12"/>
  <c r="C119" i="12"/>
  <c r="F119" i="12"/>
  <c r="C120" i="12"/>
  <c r="F120" i="12"/>
  <c r="C121" i="12"/>
  <c r="F121" i="12"/>
  <c r="C122" i="12"/>
  <c r="F122" i="12"/>
  <c r="C123" i="12"/>
  <c r="F123" i="12"/>
  <c r="A110" i="12"/>
  <c r="C110" i="12"/>
  <c r="C111" i="12"/>
  <c r="F111" i="12"/>
  <c r="C112" i="12"/>
  <c r="F112" i="12"/>
  <c r="C113" i="12"/>
  <c r="F113" i="12"/>
  <c r="C114" i="12"/>
  <c r="F114" i="12"/>
  <c r="C115" i="12"/>
  <c r="F115" i="12"/>
  <c r="C116" i="12"/>
  <c r="F116" i="12"/>
  <c r="A53" i="8"/>
  <c r="C53" i="8"/>
  <c r="C54" i="8"/>
  <c r="F54" i="8"/>
  <c r="C55" i="8"/>
  <c r="F55" i="8"/>
  <c r="C56" i="8"/>
  <c r="F56" i="8"/>
  <c r="C59" i="8"/>
  <c r="F59" i="8"/>
  <c r="C60" i="8"/>
  <c r="F60" i="8"/>
  <c r="C61" i="8"/>
  <c r="F61" i="8"/>
  <c r="C62" i="8"/>
  <c r="F62" i="8"/>
  <c r="A14" i="8"/>
  <c r="C14" i="8"/>
  <c r="C15" i="8"/>
  <c r="F15" i="8"/>
  <c r="C16" i="8"/>
  <c r="F16" i="8"/>
  <c r="C17" i="8"/>
  <c r="F17" i="8"/>
  <c r="C18" i="8"/>
  <c r="F18" i="8"/>
  <c r="F19" i="8"/>
  <c r="A42" i="8"/>
  <c r="C42" i="8"/>
  <c r="C43" i="8"/>
  <c r="F43" i="8"/>
  <c r="C44" i="8"/>
  <c r="F44" i="8"/>
  <c r="C45" i="8"/>
  <c r="F45" i="8"/>
  <c r="C46" i="8"/>
  <c r="F46" i="8"/>
  <c r="C47" i="8"/>
  <c r="F47" i="8"/>
  <c r="F21" i="8"/>
  <c r="F22" i="8"/>
  <c r="F23" i="8"/>
  <c r="F24" i="8"/>
  <c r="A63" i="8"/>
  <c r="C63" i="8"/>
  <c r="C64" i="8"/>
  <c r="F64" i="8"/>
  <c r="C65" i="8"/>
  <c r="F65" i="8"/>
  <c r="C66" i="8"/>
  <c r="F66" i="8"/>
  <c r="C67" i="8"/>
  <c r="F67" i="8"/>
  <c r="A68" i="8"/>
  <c r="C68" i="8"/>
  <c r="C69" i="8"/>
  <c r="F69" i="8"/>
  <c r="F70" i="8"/>
  <c r="C72" i="8"/>
  <c r="F72" i="8"/>
  <c r="A83" i="8"/>
  <c r="C83" i="8"/>
  <c r="C84" i="8"/>
  <c r="F84" i="8"/>
  <c r="C85" i="8"/>
  <c r="F85" i="8"/>
  <c r="C86" i="8"/>
  <c r="F86" i="8"/>
  <c r="C87" i="8"/>
  <c r="F87" i="8"/>
  <c r="F123" i="8"/>
  <c r="F124" i="8"/>
  <c r="F125" i="8"/>
  <c r="F126" i="8"/>
  <c r="F127" i="8"/>
  <c r="F128" i="8"/>
  <c r="G133" i="24"/>
  <c r="G174" i="23"/>
  <c r="G275" i="23"/>
  <c r="G135" i="24"/>
  <c r="G94" i="17"/>
  <c r="G112" i="13"/>
  <c r="G175" i="23"/>
  <c r="G134" i="24"/>
  <c r="G136" i="24"/>
  <c r="G95" i="17"/>
  <c r="G65" i="49" l="1"/>
  <c r="G153" i="18"/>
  <c r="G157" i="18"/>
  <c r="G72" i="21"/>
  <c r="G104" i="48"/>
  <c r="G27" i="48"/>
  <c r="G50" i="49"/>
  <c r="G11" i="13"/>
  <c r="G28" i="12"/>
  <c r="G35" i="13"/>
  <c r="G14" i="15"/>
  <c r="G168" i="10"/>
  <c r="G140" i="9"/>
  <c r="G143" i="49"/>
  <c r="G79" i="25"/>
  <c r="G230" i="21"/>
  <c r="G59" i="10"/>
  <c r="G49" i="17"/>
  <c r="G52" i="22"/>
  <c r="G27" i="26"/>
  <c r="G123" i="25"/>
  <c r="G93" i="48"/>
  <c r="G55" i="49"/>
  <c r="G32" i="8"/>
  <c r="G42" i="15"/>
  <c r="G45" i="10"/>
  <c r="G160" i="20"/>
  <c r="G91" i="23"/>
  <c r="G28" i="13"/>
  <c r="G85" i="48"/>
  <c r="G95" i="49"/>
  <c r="G70" i="17"/>
  <c r="G22" i="13"/>
  <c r="G28" i="14"/>
  <c r="G35" i="14"/>
  <c r="G9" i="17"/>
  <c r="G55" i="14"/>
  <c r="G89" i="17"/>
  <c r="G50" i="48"/>
  <c r="G85" i="49"/>
  <c r="G100" i="49"/>
  <c r="G72" i="49"/>
  <c r="G212" i="48"/>
  <c r="G71" i="18"/>
  <c r="G54" i="13"/>
  <c r="G42" i="8"/>
  <c r="G65" i="23"/>
  <c r="G43" i="23"/>
  <c r="G37" i="23"/>
  <c r="G78" i="23"/>
  <c r="G72" i="23"/>
  <c r="G20" i="8"/>
  <c r="G9" i="12"/>
  <c r="G42" i="13"/>
  <c r="G64" i="13"/>
  <c r="G42" i="17"/>
  <c r="G126" i="18"/>
  <c r="G25" i="8"/>
  <c r="G101" i="18"/>
  <c r="G60" i="23"/>
  <c r="G97" i="17"/>
  <c r="G35" i="12"/>
  <c r="G62" i="48"/>
  <c r="G108" i="49"/>
  <c r="G226" i="49"/>
  <c r="G16" i="13"/>
  <c r="G48" i="14"/>
  <c r="G22" i="14"/>
  <c r="G62" i="14"/>
  <c r="G61" i="15"/>
  <c r="G73" i="15"/>
  <c r="G78" i="17"/>
  <c r="G94" i="18"/>
  <c r="G113" i="18"/>
  <c r="G57" i="8"/>
  <c r="G15" i="12"/>
  <c r="G83" i="14"/>
  <c r="G79" i="14"/>
  <c r="G29" i="15"/>
  <c r="G62" i="17"/>
  <c r="G38" i="17"/>
  <c r="G32" i="17"/>
  <c r="G120" i="18"/>
  <c r="G3" i="26"/>
  <c r="G41" i="14"/>
  <c r="G55" i="17"/>
  <c r="G38" i="11"/>
  <c r="G26" i="11"/>
  <c r="G49" i="15"/>
  <c r="G108" i="18"/>
  <c r="G89" i="18"/>
  <c r="G109" i="8"/>
  <c r="G15" i="27"/>
  <c r="G69" i="48"/>
  <c r="G78" i="49"/>
  <c r="G61" i="49"/>
  <c r="G21" i="12"/>
  <c r="G177" i="14"/>
  <c r="G9" i="48"/>
  <c r="G75" i="24"/>
  <c r="G92" i="25"/>
  <c r="G99" i="25"/>
  <c r="G116" i="25"/>
  <c r="G85" i="25"/>
  <c r="G97" i="21"/>
  <c r="G102" i="21"/>
  <c r="G109" i="21"/>
  <c r="G86" i="20"/>
  <c r="G116" i="20"/>
  <c r="G82" i="20"/>
  <c r="G146" i="20"/>
  <c r="G99" i="20"/>
  <c r="G183" i="20"/>
  <c r="G153" i="20"/>
  <c r="G133" i="20"/>
  <c r="G76" i="20"/>
  <c r="G93" i="20"/>
  <c r="G111" i="20"/>
  <c r="G104" i="20"/>
  <c r="G20" i="11"/>
  <c r="G43" i="11"/>
  <c r="G15" i="11"/>
  <c r="G31" i="11"/>
  <c r="G60" i="11"/>
  <c r="G13" i="10"/>
  <c r="G24" i="10"/>
  <c r="G31" i="10"/>
  <c r="G53" i="10"/>
  <c r="G69" i="10"/>
  <c r="G202" i="10"/>
  <c r="G37" i="10"/>
  <c r="G18" i="10"/>
  <c r="G8" i="10"/>
  <c r="G8" i="9"/>
  <c r="G19" i="9"/>
  <c r="G154" i="9"/>
  <c r="G39" i="9"/>
  <c r="G32" i="9"/>
  <c r="G60" i="9"/>
  <c r="G158" i="9"/>
  <c r="G26" i="9"/>
  <c r="G13" i="9"/>
  <c r="G56" i="9"/>
  <c r="G168" i="9"/>
  <c r="G71" i="9"/>
  <c r="G25" i="15"/>
  <c r="G19" i="15"/>
  <c r="G54" i="15"/>
  <c r="F106" i="23"/>
  <c r="G105" i="23" s="1"/>
  <c r="G92" i="8"/>
  <c r="G121" i="23"/>
  <c r="G85" i="21"/>
  <c r="G223" i="21"/>
  <c r="G17" i="26"/>
  <c r="G124" i="49"/>
  <c r="G224" i="10"/>
  <c r="G235" i="10"/>
  <c r="G160" i="11"/>
  <c r="G231" i="10"/>
  <c r="G54" i="27"/>
  <c r="G48" i="26"/>
  <c r="G189" i="14"/>
  <c r="G56" i="48"/>
  <c r="G76" i="18"/>
  <c r="G79" i="21"/>
  <c r="G54" i="23"/>
  <c r="G83" i="8"/>
  <c r="G36" i="15"/>
  <c r="G157" i="21"/>
  <c r="G94" i="27"/>
  <c r="G47" i="23"/>
  <c r="G71" i="20"/>
  <c r="F130" i="20"/>
  <c r="G123" i="20" s="1"/>
  <c r="G117" i="8"/>
  <c r="G130" i="21"/>
  <c r="G54" i="12"/>
  <c r="G88" i="48"/>
  <c r="G85" i="13"/>
  <c r="G66" i="12"/>
  <c r="G174" i="9"/>
  <c r="G203" i="48"/>
  <c r="G167" i="14"/>
  <c r="G51" i="9"/>
  <c r="G59" i="13"/>
  <c r="G73" i="17"/>
  <c r="G111" i="25"/>
  <c r="F86" i="48"/>
  <c r="F71" i="17"/>
  <c r="G53" i="8"/>
  <c r="G64" i="10"/>
  <c r="G74" i="14"/>
  <c r="G10" i="27"/>
  <c r="G196" i="10"/>
  <c r="G217" i="25"/>
  <c r="G105" i="25"/>
  <c r="G151" i="25"/>
  <c r="G289" i="23"/>
  <c r="G223" i="25"/>
  <c r="G145" i="25"/>
  <c r="G158" i="25"/>
  <c r="G136" i="25"/>
  <c r="G211" i="25"/>
  <c r="F140" i="20"/>
  <c r="G139" i="20" s="1"/>
  <c r="G56" i="20"/>
  <c r="G267" i="18"/>
  <c r="G53" i="24"/>
  <c r="G71" i="25"/>
  <c r="G171" i="25"/>
  <c r="G183" i="25"/>
  <c r="G13" i="17"/>
  <c r="G7" i="11"/>
  <c r="G97" i="8"/>
  <c r="F142" i="49"/>
  <c r="F123" i="21"/>
  <c r="F51" i="22"/>
  <c r="G63" i="25"/>
  <c r="G71" i="24"/>
  <c r="G182" i="10"/>
  <c r="G40" i="48"/>
  <c r="G79" i="12"/>
  <c r="G186" i="10"/>
  <c r="G10" i="15"/>
  <c r="G88" i="12"/>
  <c r="G162" i="9"/>
  <c r="G190" i="10"/>
  <c r="F139" i="18"/>
  <c r="F133" i="18"/>
  <c r="G132" i="18" s="1"/>
  <c r="F201" i="48"/>
  <c r="G196" i="48" s="1"/>
  <c r="F88" i="27"/>
  <c r="F90" i="27"/>
  <c r="G3" i="13"/>
  <c r="G204" i="25"/>
  <c r="G234" i="25"/>
  <c r="F108" i="12"/>
  <c r="G105" i="12" s="1"/>
  <c r="G129" i="25"/>
  <c r="G195" i="25"/>
  <c r="F91" i="27"/>
  <c r="G185" i="48"/>
  <c r="G62" i="27"/>
  <c r="G160" i="48"/>
  <c r="G150" i="10"/>
  <c r="G158" i="15"/>
  <c r="G189" i="48"/>
  <c r="G139" i="15"/>
  <c r="G254" i="23"/>
  <c r="G212" i="23"/>
  <c r="F89" i="27"/>
  <c r="G182" i="15"/>
  <c r="G264" i="21"/>
  <c r="G202" i="23"/>
  <c r="G208" i="23"/>
  <c r="G229" i="23"/>
  <c r="G258" i="23"/>
  <c r="G263" i="23"/>
  <c r="G270" i="23"/>
  <c r="G166" i="48"/>
  <c r="G140" i="10"/>
  <c r="G193" i="14"/>
  <c r="G168" i="15"/>
  <c r="G133" i="48"/>
  <c r="G155" i="48"/>
  <c r="G158" i="13"/>
  <c r="G202" i="21"/>
  <c r="G118" i="10"/>
  <c r="G125" i="14"/>
  <c r="G162" i="15"/>
  <c r="G98" i="22"/>
  <c r="G106" i="22"/>
  <c r="G146" i="15"/>
  <c r="G164" i="13"/>
  <c r="G119" i="22"/>
  <c r="G236" i="21"/>
  <c r="G39" i="49"/>
  <c r="G52" i="20"/>
  <c r="G97" i="23"/>
  <c r="G10" i="14"/>
  <c r="G58" i="18"/>
  <c r="G10" i="25"/>
  <c r="G17" i="25"/>
  <c r="G146" i="23"/>
  <c r="G44" i="48"/>
  <c r="G41" i="25"/>
  <c r="G64" i="21"/>
  <c r="G113" i="8"/>
  <c r="G62" i="26"/>
  <c r="G57" i="26"/>
  <c r="G127" i="22"/>
  <c r="G92" i="22"/>
  <c r="G134" i="49"/>
  <c r="G237" i="49"/>
  <c r="G52" i="25"/>
  <c r="G133" i="9"/>
  <c r="G3" i="25"/>
  <c r="G188" i="15"/>
  <c r="F86" i="12"/>
  <c r="G83" i="12" s="1"/>
  <c r="G97" i="12"/>
  <c r="G36" i="25"/>
  <c r="G25" i="25"/>
  <c r="F110" i="13"/>
  <c r="G105" i="13" s="1"/>
  <c r="G177" i="13" s="1"/>
  <c r="F122" i="25"/>
  <c r="G120" i="25" s="1"/>
  <c r="G67" i="25"/>
  <c r="G59" i="25"/>
  <c r="G121" i="9"/>
  <c r="G115" i="11"/>
  <c r="G129" i="14"/>
  <c r="G191" i="49"/>
  <c r="G234" i="23"/>
  <c r="G241" i="23"/>
  <c r="G46" i="25"/>
  <c r="G207" i="9"/>
  <c r="F181" i="25"/>
  <c r="G176" i="25" s="1"/>
  <c r="F232" i="25"/>
  <c r="G228" i="25" s="1"/>
  <c r="F169" i="25"/>
  <c r="G165" i="25" s="1"/>
  <c r="G280" i="21"/>
  <c r="G30" i="25"/>
  <c r="G36" i="48"/>
  <c r="G152" i="15"/>
  <c r="G253" i="21"/>
  <c r="G216" i="21"/>
  <c r="G242" i="21"/>
  <c r="G135" i="14"/>
  <c r="G217" i="14"/>
  <c r="G199" i="14"/>
  <c r="G133" i="10"/>
  <c r="G112" i="10"/>
  <c r="G121" i="11"/>
  <c r="G114" i="13"/>
  <c r="G132" i="13"/>
  <c r="G162" i="14"/>
  <c r="G125" i="15"/>
  <c r="G133" i="15"/>
  <c r="G176" i="15"/>
  <c r="G148" i="48"/>
  <c r="G173" i="48"/>
  <c r="G176" i="49"/>
  <c r="G184" i="49"/>
  <c r="G230" i="49"/>
  <c r="G197" i="49"/>
  <c r="G146" i="13"/>
  <c r="G169" i="13"/>
  <c r="G215" i="49"/>
  <c r="G187" i="23"/>
  <c r="G67" i="27"/>
  <c r="G84" i="27"/>
  <c r="G89" i="9"/>
  <c r="G110" i="9"/>
  <c r="G144" i="10"/>
  <c r="G126" i="10"/>
  <c r="G111" i="11"/>
  <c r="G118" i="13"/>
  <c r="G184" i="14"/>
  <c r="G172" i="15"/>
  <c r="G179" i="48"/>
  <c r="G204" i="49"/>
  <c r="G208" i="21"/>
  <c r="G271" i="21"/>
  <c r="G177" i="23"/>
  <c r="G195" i="23"/>
  <c r="G113" i="22"/>
  <c r="G218" i="23"/>
  <c r="G74" i="27"/>
  <c r="G79" i="27"/>
  <c r="G211" i="14"/>
  <c r="G103" i="9"/>
  <c r="G128" i="11"/>
  <c r="G139" i="13"/>
  <c r="G124" i="13"/>
  <c r="G152" i="13"/>
  <c r="G141" i="48"/>
  <c r="G205" i="14"/>
  <c r="G129" i="49"/>
  <c r="G95" i="9"/>
  <c r="G203" i="9"/>
  <c r="G181" i="23"/>
  <c r="G116" i="15"/>
  <c r="G96" i="15"/>
  <c r="G178" i="21"/>
  <c r="G66" i="22"/>
  <c r="G24" i="26"/>
  <c r="G150" i="14"/>
  <c r="G174" i="18"/>
  <c r="G166" i="20"/>
  <c r="G172" i="20"/>
  <c r="G246" i="20"/>
  <c r="G3" i="11"/>
  <c r="G248" i="23"/>
  <c r="F31" i="17"/>
  <c r="G27" i="17" s="1"/>
  <c r="G84" i="10"/>
  <c r="G302" i="21"/>
  <c r="G134" i="23"/>
  <c r="G42" i="27"/>
  <c r="G206" i="10"/>
  <c r="G65" i="24"/>
  <c r="G57" i="24"/>
  <c r="G212" i="10"/>
  <c r="G3" i="10"/>
  <c r="G20" i="48"/>
  <c r="G70" i="12"/>
  <c r="G100" i="8"/>
  <c r="G195" i="15"/>
  <c r="G45" i="9"/>
  <c r="G255" i="49"/>
  <c r="G69" i="22"/>
  <c r="G145" i="9"/>
  <c r="G17" i="20"/>
  <c r="G66" i="9"/>
  <c r="G79" i="8"/>
  <c r="G150" i="11"/>
  <c r="G108" i="48"/>
  <c r="G147" i="18"/>
  <c r="F59" i="11"/>
  <c r="G55" i="11" s="1"/>
  <c r="G160" i="18"/>
  <c r="G170" i="49"/>
  <c r="G37" i="22"/>
  <c r="G37" i="27"/>
  <c r="G117" i="49"/>
  <c r="G177" i="20"/>
  <c r="G124" i="21"/>
  <c r="G299" i="23"/>
  <c r="G149" i="49"/>
  <c r="G115" i="21"/>
  <c r="G89" i="14"/>
  <c r="G6" i="15"/>
  <c r="G213" i="15" s="1"/>
  <c r="G60" i="21"/>
  <c r="G132" i="22"/>
  <c r="G284" i="23"/>
  <c r="G49" i="21"/>
  <c r="G156" i="11"/>
  <c r="G48" i="8"/>
  <c r="G90" i="10"/>
  <c r="G94" i="14"/>
  <c r="G77" i="48"/>
  <c r="G73" i="8"/>
  <c r="G17" i="24"/>
  <c r="G36" i="18"/>
  <c r="G250" i="49"/>
  <c r="G92" i="12"/>
  <c r="G137" i="22"/>
  <c r="G197" i="20"/>
  <c r="G184" i="9"/>
  <c r="G11" i="26"/>
  <c r="G75" i="11"/>
  <c r="G142" i="18"/>
  <c r="G127" i="23"/>
  <c r="G103" i="15"/>
  <c r="G86" i="24"/>
  <c r="G163" i="49"/>
  <c r="G87" i="11"/>
  <c r="G99" i="48"/>
  <c r="G217" i="10"/>
  <c r="G84" i="17"/>
  <c r="G115" i="48"/>
  <c r="G190" i="20"/>
  <c r="G218" i="20"/>
  <c r="G274" i="18"/>
  <c r="G17" i="22"/>
  <c r="G25" i="22"/>
  <c r="G199" i="15"/>
  <c r="G32" i="23"/>
  <c r="G31" i="24"/>
  <c r="G3" i="48"/>
  <c r="G37" i="24"/>
  <c r="G21" i="17"/>
  <c r="G211" i="20"/>
  <c r="G196" i="21"/>
  <c r="G102" i="23"/>
  <c r="G110" i="12"/>
  <c r="G83" i="9"/>
  <c r="G70" i="11"/>
  <c r="G180" i="18"/>
  <c r="G117" i="12"/>
  <c r="G87" i="15"/>
  <c r="G3" i="9"/>
  <c r="G178" i="9"/>
  <c r="G30" i="18"/>
  <c r="G3" i="22"/>
  <c r="G10" i="20"/>
  <c r="G54" i="21"/>
  <c r="G173" i="10"/>
  <c r="G24" i="18"/>
  <c r="G62" i="18"/>
  <c r="G262" i="18"/>
  <c r="G277" i="23"/>
  <c r="G234" i="20"/>
  <c r="G32" i="48"/>
  <c r="G14" i="49"/>
  <c r="G21" i="20"/>
  <c r="G246" i="49"/>
  <c r="G104" i="8"/>
  <c r="G149" i="9"/>
  <c r="G177" i="10"/>
  <c r="G47" i="18"/>
  <c r="G24" i="21"/>
  <c r="G3" i="27"/>
  <c r="G17" i="21"/>
  <c r="G25" i="49"/>
  <c r="G3" i="23"/>
  <c r="G31" i="22"/>
  <c r="G61" i="24"/>
  <c r="G42" i="24"/>
  <c r="G3" i="8"/>
  <c r="G290" i="21"/>
  <c r="G18" i="49"/>
  <c r="G39" i="20"/>
  <c r="G10" i="21"/>
  <c r="G10" i="22"/>
  <c r="G3" i="24"/>
  <c r="G3" i="18"/>
  <c r="G17" i="23"/>
  <c r="G10" i="24"/>
  <c r="G7" i="49"/>
  <c r="G3" i="20"/>
  <c r="G34" i="20"/>
  <c r="G3" i="14"/>
  <c r="G132" i="24"/>
  <c r="G63" i="8"/>
  <c r="G42" i="12"/>
  <c r="G68" i="8"/>
  <c r="G94" i="10"/>
  <c r="G14" i="8"/>
  <c r="G77" i="9"/>
  <c r="G100" i="13"/>
  <c r="G84" i="15"/>
  <c r="G106" i="14"/>
  <c r="G68" i="14"/>
  <c r="G191" i="18"/>
  <c r="G184" i="18"/>
  <c r="G98" i="24"/>
  <c r="G99" i="10"/>
  <c r="G79" i="10"/>
  <c r="G117" i="14"/>
  <c r="G112" i="14"/>
  <c r="G224" i="14" s="1"/>
  <c r="G150" i="23"/>
  <c r="G93" i="11"/>
  <c r="G93" i="24"/>
  <c r="G97" i="11"/>
  <c r="G68" i="13"/>
  <c r="G67" i="15"/>
  <c r="G73" i="13"/>
  <c r="G100" i="14"/>
  <c r="G189" i="21"/>
  <c r="G49" i="11"/>
  <c r="G94" i="13"/>
  <c r="G79" i="24"/>
  <c r="G74" i="12"/>
  <c r="G146" i="11"/>
  <c r="G10" i="18"/>
  <c r="G32" i="21"/>
  <c r="G24" i="23"/>
  <c r="G17" i="18"/>
  <c r="G28" i="20"/>
  <c r="G41" i="18"/>
  <c r="G3" i="21"/>
  <c r="G285" i="21"/>
  <c r="G314" i="21" s="1"/>
  <c r="G102" i="17"/>
  <c r="G277" i="21"/>
  <c r="G31" i="49"/>
  <c r="G44" i="20"/>
  <c r="G44" i="21"/>
  <c r="G14" i="14"/>
  <c r="G142" i="11"/>
  <c r="G25" i="24"/>
  <c r="G297" i="21"/>
  <c r="G229" i="20"/>
  <c r="G5" i="17"/>
  <c r="G79" i="13"/>
  <c r="G72" i="22"/>
  <c r="G57" i="22"/>
  <c r="G155" i="23"/>
  <c r="G115" i="23"/>
  <c r="G171" i="21"/>
  <c r="G33" i="27"/>
  <c r="G38" i="26"/>
  <c r="G32" i="26"/>
  <c r="G86" i="22"/>
  <c r="G189" i="9"/>
  <c r="G169" i="23"/>
  <c r="G162" i="23"/>
  <c r="G141" i="23"/>
  <c r="G25" i="27"/>
  <c r="G81" i="11"/>
  <c r="G79" i="15"/>
  <c r="G43" i="22"/>
  <c r="G110" i="23"/>
  <c r="G49" i="27"/>
  <c r="G44" i="26"/>
  <c r="G196" i="9"/>
  <c r="G167" i="18"/>
  <c r="G109" i="24"/>
  <c r="G48" i="13"/>
  <c r="G84" i="23"/>
  <c r="G102" i="24"/>
  <c r="G122" i="8"/>
  <c r="G110" i="15"/>
  <c r="G90" i="15"/>
  <c r="G184" i="21"/>
  <c r="G164" i="21"/>
  <c r="G79" i="22"/>
  <c r="G10" i="23"/>
  <c r="G38" i="21"/>
  <c r="G117" i="9"/>
  <c r="G135" i="11"/>
  <c r="G156" i="49"/>
  <c r="G171" i="14"/>
  <c r="G108" i="10"/>
  <c r="G143" i="14"/>
  <c r="G122" i="48"/>
  <c r="G241" i="20"/>
  <c r="G3" i="49"/>
  <c r="G204" i="20"/>
  <c r="G257" i="21"/>
  <c r="F210" i="49"/>
  <c r="G209" i="49" s="1"/>
  <c r="G288" i="18" l="1"/>
  <c r="G111" i="17"/>
  <c r="G135" i="8"/>
  <c r="G137" i="8" s="1"/>
  <c r="G266" i="49"/>
  <c r="G254" i="20"/>
  <c r="G166" i="11"/>
  <c r="G112" i="17"/>
  <c r="G150" i="22"/>
  <c r="G267" i="49"/>
  <c r="G283" i="18"/>
  <c r="G151" i="22"/>
  <c r="G311" i="21"/>
  <c r="G282" i="18"/>
  <c r="G284" i="18"/>
  <c r="G285" i="18"/>
  <c r="G309" i="21"/>
  <c r="G307" i="21"/>
  <c r="G253" i="20"/>
  <c r="G252" i="20"/>
  <c r="G256" i="20"/>
  <c r="G251" i="20"/>
  <c r="G247" i="10"/>
  <c r="G130" i="8"/>
  <c r="G139" i="24"/>
  <c r="G110" i="17"/>
  <c r="G220" i="48"/>
  <c r="G224" i="48"/>
  <c r="G140" i="24"/>
  <c r="G243" i="25"/>
  <c r="G241" i="25"/>
  <c r="G69" i="26"/>
  <c r="G223" i="48"/>
  <c r="G258" i="20"/>
  <c r="G250" i="10"/>
  <c r="G172" i="11" s="1"/>
  <c r="G245" i="25"/>
  <c r="G286" i="18"/>
  <c r="G125" i="12"/>
  <c r="H19" i="5" s="1"/>
  <c r="G319" i="23"/>
  <c r="G320" i="23"/>
  <c r="G318" i="23"/>
  <c r="G227" i="14"/>
  <c r="G132" i="8"/>
  <c r="G214" i="15"/>
  <c r="G308" i="21"/>
  <c r="G222" i="9"/>
  <c r="G228" i="14"/>
  <c r="G136" i="8"/>
  <c r="G184" i="13"/>
  <c r="G265" i="49"/>
  <c r="G126" i="12"/>
  <c r="G230" i="14"/>
  <c r="G153" i="22"/>
  <c r="G131" i="8"/>
  <c r="G268" i="49"/>
  <c r="G168" i="11"/>
  <c r="G245" i="10"/>
  <c r="G312" i="21"/>
  <c r="G169" i="11"/>
  <c r="G220" i="9"/>
  <c r="G221" i="48"/>
  <c r="G264" i="49"/>
  <c r="G93" i="27"/>
  <c r="G95" i="27" s="1"/>
  <c r="G244" i="25"/>
  <c r="G281" i="18"/>
  <c r="G317" i="23"/>
  <c r="G210" i="15"/>
  <c r="G315" i="23"/>
  <c r="G216" i="9"/>
  <c r="G217" i="9"/>
  <c r="G218" i="9"/>
  <c r="G244" i="10"/>
  <c r="G219" i="9"/>
  <c r="G167" i="11"/>
  <c r="G219" i="48"/>
  <c r="G180" i="13"/>
  <c r="G141" i="24"/>
  <c r="G243" i="10"/>
  <c r="G138" i="24"/>
  <c r="G183" i="13"/>
  <c r="G222" i="48"/>
  <c r="G255" i="20"/>
  <c r="G155" i="22"/>
  <c r="G316" i="23"/>
  <c r="G262" i="49"/>
  <c r="G211" i="15"/>
  <c r="G287" i="18"/>
  <c r="G212" i="15"/>
  <c r="G242" i="25"/>
  <c r="G229" i="14"/>
  <c r="G170" i="11"/>
  <c r="G248" i="10"/>
  <c r="G246" i="10"/>
  <c r="G181" i="13"/>
  <c r="G226" i="14"/>
  <c r="G270" i="49"/>
  <c r="G215" i="9"/>
  <c r="G152" i="22"/>
  <c r="G263" i="49"/>
  <c r="G179" i="13"/>
  <c r="G310" i="21"/>
  <c r="G182" i="13"/>
  <c r="G165" i="11"/>
  <c r="G133" i="8" l="1"/>
  <c r="G221" i="9"/>
  <c r="G289" i="18"/>
  <c r="G321" i="23"/>
  <c r="G225" i="48"/>
  <c r="H12" i="5" s="1"/>
  <c r="G269" i="49"/>
  <c r="H16" i="5" s="1"/>
  <c r="G257" i="20"/>
  <c r="H15" i="5" s="1"/>
  <c r="I15" i="5" s="1"/>
  <c r="E15" i="5" s="1"/>
  <c r="G15" i="5" s="1"/>
  <c r="I19" i="5"/>
  <c r="E19" i="5" s="1"/>
  <c r="G19" i="5" s="1"/>
  <c r="H20" i="5"/>
  <c r="G113" i="17"/>
  <c r="H13" i="5" s="1"/>
  <c r="G249" i="10"/>
  <c r="H10" i="5" s="1"/>
  <c r="I10" i="5" s="1"/>
  <c r="G154" i="22"/>
  <c r="H21" i="5" s="1"/>
  <c r="I21" i="5" s="1"/>
  <c r="E21" i="5" s="1"/>
  <c r="G21" i="5" s="1"/>
  <c r="H8" i="5"/>
  <c r="G171" i="11"/>
  <c r="H11" i="5" s="1"/>
  <c r="I11" i="5" s="1"/>
  <c r="B19" i="5"/>
  <c r="D19" i="5" s="1"/>
  <c r="H9" i="5"/>
  <c r="I9" i="5" s="1"/>
  <c r="E9" i="5" s="1"/>
  <c r="G9" i="5" s="1"/>
  <c r="G142" i="24"/>
  <c r="H14" i="5"/>
  <c r="G246" i="25"/>
  <c r="G225" i="14"/>
  <c r="G231" i="14" s="1"/>
  <c r="G215" i="15"/>
  <c r="H17" i="5" s="1"/>
  <c r="I17" i="5" s="1"/>
  <c r="G185" i="13"/>
  <c r="G313" i="21"/>
  <c r="H18" i="5" s="1"/>
  <c r="I18" i="5" s="1"/>
  <c r="E18" i="5" s="1"/>
  <c r="G18" i="5" s="1"/>
  <c r="C19" i="5" l="1"/>
  <c r="AI19" i="5" s="1"/>
  <c r="AK19" i="5" s="1"/>
  <c r="F15" i="5"/>
  <c r="AJ15" i="5" s="1"/>
  <c r="F18" i="5"/>
  <c r="AJ18" i="5" s="1"/>
  <c r="F9" i="5"/>
  <c r="AJ9" i="5" s="1"/>
  <c r="F21" i="5"/>
  <c r="AJ21" i="5" s="1"/>
  <c r="F19" i="5"/>
  <c r="AJ19" i="5" s="1"/>
  <c r="I16" i="5"/>
  <c r="E16" i="5" s="1"/>
  <c r="G16" i="5" s="1"/>
  <c r="H23" i="5"/>
  <c r="B23" i="5" s="1"/>
  <c r="D23" i="5" s="1"/>
  <c r="B21" i="5"/>
  <c r="D21" i="5" s="1"/>
  <c r="H22" i="5"/>
  <c r="B22" i="5" s="1"/>
  <c r="D22" i="5" s="1"/>
  <c r="B17" i="5"/>
  <c r="D17" i="5" s="1"/>
  <c r="E11" i="5"/>
  <c r="G11" i="5" s="1"/>
  <c r="E10" i="5"/>
  <c r="G10" i="5" s="1"/>
  <c r="G217" i="48"/>
  <c r="G226" i="48" s="1"/>
  <c r="I12" i="5" s="1"/>
  <c r="B11" i="5"/>
  <c r="D11" i="5" s="1"/>
  <c r="B13" i="5"/>
  <c r="D13" i="5" s="1"/>
  <c r="B14" i="5"/>
  <c r="D14" i="5" s="1"/>
  <c r="B12" i="5"/>
  <c r="D12" i="5" s="1"/>
  <c r="B15" i="5"/>
  <c r="D15" i="5" s="1"/>
  <c r="B16" i="5"/>
  <c r="D16" i="5" s="1"/>
  <c r="B18" i="5"/>
  <c r="D18" i="5" s="1"/>
  <c r="B9" i="5"/>
  <c r="D9" i="5" s="1"/>
  <c r="B20" i="5"/>
  <c r="D20" i="5" s="1"/>
  <c r="B10" i="5"/>
  <c r="D10" i="5" s="1"/>
  <c r="G312" i="23"/>
  <c r="G204" i="15"/>
  <c r="G206" i="15"/>
  <c r="G108" i="17"/>
  <c r="G279" i="18"/>
  <c r="G207" i="15"/>
  <c r="G313" i="23"/>
  <c r="G208" i="15"/>
  <c r="G205" i="15"/>
  <c r="C15" i="5" l="1"/>
  <c r="AI15" i="5" s="1"/>
  <c r="AK15" i="5" s="1"/>
  <c r="C17" i="5"/>
  <c r="AI17" i="5" s="1"/>
  <c r="AK17" i="5" s="1"/>
  <c r="C16" i="5"/>
  <c r="AI16" i="5" s="1"/>
  <c r="AK16" i="5" s="1"/>
  <c r="C13" i="5"/>
  <c r="AI13" i="5" s="1"/>
  <c r="AK13" i="5" s="1"/>
  <c r="C23" i="5"/>
  <c r="C20" i="5"/>
  <c r="AI20" i="5" s="1"/>
  <c r="AK20" i="5" s="1"/>
  <c r="C18" i="5"/>
  <c r="AI18" i="5" s="1"/>
  <c r="AK18" i="5" s="1"/>
  <c r="C14" i="5"/>
  <c r="AI14" i="5" s="1"/>
  <c r="AK14" i="5" s="1"/>
  <c r="C21" i="5"/>
  <c r="AI21" i="5" s="1"/>
  <c r="AK21" i="5" s="1"/>
  <c r="C22" i="5"/>
  <c r="C10" i="5"/>
  <c r="AI10" i="5" s="1"/>
  <c r="AK10" i="5" s="1"/>
  <c r="F11" i="5"/>
  <c r="AJ11" i="5" s="1"/>
  <c r="F10" i="5"/>
  <c r="AJ10" i="5" s="1"/>
  <c r="C9" i="5"/>
  <c r="AI9" i="5" s="1"/>
  <c r="AK9" i="5" s="1"/>
  <c r="C12" i="5"/>
  <c r="AI12" i="5" s="1"/>
  <c r="AK12" i="5" s="1"/>
  <c r="C11" i="5"/>
  <c r="AI11" i="5" s="1"/>
  <c r="AK11" i="5" s="1"/>
  <c r="F16" i="5"/>
  <c r="AJ16" i="5" s="1"/>
  <c r="G216" i="15"/>
  <c r="E17" i="5" s="1"/>
  <c r="G17" i="5" s="1"/>
  <c r="G290" i="18"/>
  <c r="I14" i="5" s="1"/>
  <c r="E14" i="5" s="1"/>
  <c r="G14" i="5" s="1"/>
  <c r="G322" i="23"/>
  <c r="I20" i="5" s="1"/>
  <c r="E20" i="5" s="1"/>
  <c r="G20" i="5" s="1"/>
  <c r="G114" i="17"/>
  <c r="I13" i="5" s="1"/>
  <c r="E13" i="5" s="1"/>
  <c r="G13" i="5" s="1"/>
  <c r="E35" i="5" l="1"/>
  <c r="D34" i="5"/>
  <c r="F34" i="5"/>
  <c r="G34" i="5"/>
  <c r="B34" i="5"/>
  <c r="E34" i="5"/>
  <c r="E33" i="5"/>
  <c r="F33" i="5"/>
  <c r="D33" i="5"/>
  <c r="G33" i="5"/>
  <c r="B33" i="5"/>
  <c r="AJ22" i="5"/>
  <c r="AI22" i="5"/>
  <c r="AK22" i="5" s="1"/>
  <c r="F36" i="5" s="1"/>
  <c r="G35" i="5"/>
  <c r="B35" i="5"/>
  <c r="D35" i="5"/>
  <c r="F35" i="5"/>
  <c r="F14" i="5"/>
  <c r="AJ14" i="5" s="1"/>
  <c r="F17" i="5"/>
  <c r="AJ17" i="5" s="1"/>
  <c r="F20" i="5"/>
  <c r="AJ20" i="5" s="1"/>
  <c r="F13" i="5"/>
  <c r="AJ13" i="5" s="1"/>
  <c r="E12" i="5"/>
  <c r="G12" i="5" s="1"/>
  <c r="B8" i="5"/>
  <c r="D8" i="5" s="1"/>
  <c r="E32" i="5" s="1"/>
  <c r="I8" i="5"/>
  <c r="E36" i="5" l="1"/>
  <c r="G36" i="5"/>
  <c r="D36" i="5"/>
  <c r="B36" i="5"/>
  <c r="C8" i="5"/>
  <c r="F12" i="5"/>
  <c r="AJ12" i="5" s="1"/>
  <c r="E8" i="5"/>
  <c r="G8" i="5" s="1"/>
  <c r="G32" i="5" s="1"/>
  <c r="I27" i="5"/>
  <c r="B27" i="5" s="1"/>
  <c r="I24" i="5"/>
  <c r="E24" i="5" s="1"/>
  <c r="G24" i="5" s="1"/>
  <c r="I29" i="5"/>
  <c r="B29" i="5" s="1"/>
  <c r="I28" i="5"/>
  <c r="B28" i="5" s="1"/>
  <c r="C28" i="5" l="1"/>
  <c r="D28" i="5"/>
  <c r="C27" i="5"/>
  <c r="D27" i="5"/>
  <c r="D29" i="5"/>
  <c r="C29" i="5"/>
  <c r="AI8" i="5"/>
  <c r="AK8" i="5" s="1"/>
  <c r="D32" i="5"/>
  <c r="B32" i="5"/>
  <c r="F8" i="5"/>
  <c r="F24" i="5"/>
  <c r="F32" i="5" l="1"/>
  <c r="AJ8" i="5"/>
</calcChain>
</file>

<file path=xl/sharedStrings.xml><?xml version="1.0" encoding="utf-8"?>
<sst xmlns="http://schemas.openxmlformats.org/spreadsheetml/2006/main" count="3622" uniqueCount="2776">
  <si>
    <t xml:space="preserve">To meet all their life history requirements, most amphibians require uplands in close proximity to, or interspersed within, suitable wetlands.  Uplands that are dominated by natural vegetation usually provide the most suitable microclimates and habitat structure.  When radiotracked frogs were released inside clusters of trees amidst otherwise unsuitable habitat (clearcuts), the proportion of frogs abandoning the tree cluster was greater the smaller the cluster.  Frogs were less likely to leave tree patches intersected by a running stream or where neighborhood stream density was high.  Scattered tree patches of 2.0 to 3.7 acres, preferably in stream locations, were the minimum needed to allow successful overland passage of one frog species (Chan-McLeod &amp; Moy 2007).  However, as noted by Cushman (2006), “The suggestion that forest cover in the [buffer] landscape benefits amphibians may not apply to all species that are fully aquatic or that depend on nonforested upland habitat.” </t>
  </si>
  <si>
    <t>F10</t>
  </si>
  <si>
    <t>F18</t>
  </si>
  <si>
    <t>F65</t>
  </si>
  <si>
    <t>F12</t>
  </si>
  <si>
    <t>F46</t>
  </si>
  <si>
    <t>F</t>
  </si>
  <si>
    <t>V</t>
  </si>
  <si>
    <t>Function Score for Pollinator Habitat</t>
  </si>
  <si>
    <t>Function Score for Songbird, Raptor, &amp; Mammal Habitat</t>
  </si>
  <si>
    <t>Wetlands with greater plant richness are likely to be more valuable to pollinators if other factors already suggest the wetland has high capacity to support pollinators.</t>
  </si>
  <si>
    <t>Greater microtopography implies greater heterogeneity of water, vegetation, and disturbance regimes, which together should indicate higher capacity to support a wide variety of invertebrates.</t>
  </si>
  <si>
    <t>Public enjoyment of wetlands is assumed to be greater when most of the wetland can be seen without obstruction by dense shrubs or other features.</t>
  </si>
  <si>
    <t>Public ownership generally implies greater public use.</t>
  </si>
  <si>
    <t>The provision of trails, access for people with disabilities, and interpretive signs encourages greater public use of wetlands.</t>
  </si>
  <si>
    <t>The portion of a wetland that is accessible to visitors is assumed to be an important determinant of frequence of visitation</t>
  </si>
  <si>
    <t>If accessible, wetlands closer to roads are likely to be visited by more people on foot.</t>
  </si>
  <si>
    <t>Collection of long term data from wetlands is in the public interest partly because it can lead to more effective and fair regulations.</t>
  </si>
  <si>
    <t>Mitigation wetlands represent an investment of funds in the public's interest, which should not be wasted.</t>
  </si>
  <si>
    <t>Prior public investment for these purposes requires greater protection.</t>
  </si>
  <si>
    <t>If vegetation cover in a wetland is already sparse, it is often more susceptible to further loss from erosion and altered microclimate.</t>
  </si>
  <si>
    <t xml:space="preserve">In riverine wetlands, overall “average” methane emission from hydrologically pulsed sites may be less than that from sites where inundation is permanent (Mitsch et al. 2005, Altor &amp; Mitsch 2008). </t>
  </si>
  <si>
    <t xml:space="preserve">Amphibians require upland habitat as well as aquatic habitat. Uplands that are dominated by natural vegetation usually provide the most suitable microclimates and habitat structure. Unvegetated or artificially vegetated surfaces can inhibit movements of some species to productive upland habitats.  </t>
  </si>
  <si>
    <t xml:space="preserve">Function Score for Phosphorus Retention </t>
  </si>
  <si>
    <t>Function Score for Nitrate Removal</t>
  </si>
  <si>
    <t>Values Score for Nitrate Removal</t>
  </si>
  <si>
    <t xml:space="preserve">Values Score for Phosphorus Retention </t>
  </si>
  <si>
    <t>Values Score for Sediment Retention &amp; Stabilization</t>
  </si>
  <si>
    <t>Values Score for Water Storage</t>
  </si>
  <si>
    <t>Nitrate Removal &amp; Retention (NR)</t>
  </si>
  <si>
    <t>Because actual data on phosphorus loads are lacking for many wetland watersheds, this approximation based on a host of phosphorus-generating activities is included as well.</t>
  </si>
  <si>
    <t>These features cumulatively decelerate runoff, thus allowing for more deposition of phosphorus-containing suspended sediments to occur, although usually only to a minor degree.</t>
  </si>
  <si>
    <t>Score for Wetland Sensitivity</t>
  </si>
  <si>
    <t>Score for Stressors to Wetland</t>
  </si>
  <si>
    <r>
      <t xml:space="preserve">This directly estimates the relative amount of </t>
    </r>
    <r>
      <rPr>
        <b/>
        <sz val="10"/>
        <rFont val="Arial Narrow"/>
        <family val="2"/>
      </rPr>
      <t>vertical</t>
    </r>
    <r>
      <rPr>
        <sz val="10"/>
        <rFont val="Arial Narrow"/>
        <family val="2"/>
      </rPr>
      <t xml:space="preserve"> space in which precipitation and runoff are being stored, at least temporarily.</t>
    </r>
  </si>
  <si>
    <t>F2</t>
  </si>
  <si>
    <t>F3</t>
  </si>
  <si>
    <t>Populations of some amphibians (e.g., four-toed salamander, foothill yellow-legged frogs) seem to thrive best in fishless wetlands;  predatory fish (especially, exotic species) can cause extirpations of native species (Pearl et al. 2005).</t>
  </si>
  <si>
    <t>F69</t>
  </si>
  <si>
    <t>F70</t>
  </si>
  <si>
    <t>Scores for occurrence, proximity, certainty of rare species or communities:</t>
  </si>
  <si>
    <t xml:space="preserve">Dense vegetation offers frictional resistance to runoff, promoting deposition of organic nitrogen and resisting erosion. Vegetation takes up nitrate at least seasonally and plant roots can promote denitrification by providing a carbon source and oxidizing otherwise anoxic subsurface soils.  However, shade from plants reduces soil temperature which slows the denitrification rate (Hogg &amp; Lieffers 1991), and emissions of harmful nitrous oxide can be greater in wetlands with denser vegetation. </t>
  </si>
  <si>
    <t>Although wooded wetlands tend to be less productive than herbaceous wetlands, the carbon they fix (as decay-resistant wood or deep roots) is kept out of the atmosphere for longer periods. Plants that routinely shift much of their annual production belowground (as roots), rather than aboveground (as leaves) potentially allow more carbon to be sequestered (Crow &amp; Wieder 2005). Also, trees and deep-rooted herbs such as Equisetum bring to the soil surface nutrients from deeper soil horizons that otherwise are unavailable to shallow-rooted herbaceous plants (Marsh et al. 2000), and thus increase plant community productivity overall. Belowground tissue is less subject to erosion and rapid decomposition, and living roots can minimize methane emissions by oxidizing the soil (however, roots of some species may facilitate movement of methane from deep soil to the surface). Most trees and shrubs also tend to grow more rapidly in wetlands that are less prone to long duration flooding, and thus are less likely to emit much methane. However, lso inhibit methane generation in anaerobic sediments by translocating oxygen from the surface to their roots. One study (Smialek et al. 2006) found willow enhanced methane emissions more than soft rush (Juncus effusus). But deep-rooted plants can also inhibit methane generation in anaerobic sediments by translocating oxygen from the surface to their roots.</t>
  </si>
  <si>
    <t xml:space="preserve"> A 30-ft wide buffer along perennial streams in British Columbia was found to be insufficient to protect stream invertebrate communities from clear-cut logging, although the terrestrial insects the buffer provided were noted as a potentially important food source for fish using the streams (Hoover et al. 2007). Another study of BC perennial streams found uncut riparian buffers of at least 30 ft were needed to limit changes from clear-cut logging to aquatic life in headwater forested watersheds; those changes included increase abundance of aquatic invertebrates and algae (Kiffney et al. 2003). Increased sunlight from vegetation removal can increase stream and wetland productivity and thus the density of some invertebrate groups, where nutrients and elevation (stream temperature) are not severely limiting (Moldenke &amp; Linden 2007).</t>
  </si>
  <si>
    <t>Comparing data from multiple regions, Utz et al. (2009) reported that once urbanization in a watershed reached 60%, all taxa remaining responded either neutrally or positively with respect to continued urbanization. Most were harmed at much lower levels. The importance of streamside vegetation, especially trees, for sustaining the health of aquatic systems has been documented in the Pacific Northwest (e.g., Gregory et al. 1991, Naiman et al. 2000, Richardson et al. 2005, Wipfli et al. 2007). Streams adjoined by natural vegetation support richer and healthier aquatic invertebrate communities (Richards et al. 1996), and the same should be true of wetlands. However, the effects of buffers and/or tree canopy closure on aquatic life in perennial streams can be variable, with some studies showing little effect on native fish (Roy et al. 2005, Fischer et al. 2009) and others a positive effect especially when buffer width was at least 100 ft (Frimpong et al. 2005, Horwitz et al. 2008).</t>
  </si>
  <si>
    <t xml:space="preserve">Dependency of nesting waterbirds on this wetland increases if no other natural herbaceous vegetation of comparable or greater extent is available in the vicinity. </t>
  </si>
  <si>
    <t>Because actual data on sediment loads are lacking for many wetland watersheds, this approximation (which is based on a host of sediment-generating activities) is included as well.</t>
  </si>
  <si>
    <t>F55</t>
  </si>
  <si>
    <t>Function Score for Amphibian &amp; Reptile Habitat</t>
  </si>
  <si>
    <t>Values Score for Amphibian &amp; Reptile Habitat</t>
  </si>
  <si>
    <t>Public Use &amp; Recognition (PU)</t>
  </si>
  <si>
    <t>Values Score for Songbird, Raptor, &amp; Mammal Habitat</t>
  </si>
  <si>
    <t>Biotic Resistance/ Sensitivity</t>
  </si>
  <si>
    <t>Abiotic Resistance/ Sensitivity</t>
  </si>
  <si>
    <t>Resilience/ Recovery Duration - Veg Growth Rate Influence</t>
  </si>
  <si>
    <t>Resilience/ Recovery Duration - Colonizer  Availability Influence</t>
  </si>
  <si>
    <t>Tree cover is slower to recover than cover of herbaceous plants, making wetland resilience less.</t>
  </si>
  <si>
    <t>Such factors potentially result in smothering or erosion of vegetation, and facilitate the invasion by exotic species.</t>
  </si>
  <si>
    <t>Aquatic Structure</t>
  </si>
  <si>
    <t>LiveStore</t>
  </si>
  <si>
    <t>Friction</t>
  </si>
  <si>
    <t>Wetlands with greater plant richness are likely to be more valuable to supporting a variety of songbirds and mammals if other factors already suggest the wetland has high capacity to support those.</t>
  </si>
  <si>
    <t>Organic Nutrient Export (OE)</t>
  </si>
  <si>
    <t>Wetlands located close to other wetlands are more likely to be used by frogs and aquatic salamanders, because many species in these groups commonly need to disperse among wetlands.</t>
  </si>
  <si>
    <t>F4</t>
  </si>
  <si>
    <t>F6</t>
  </si>
  <si>
    <t>F17</t>
  </si>
  <si>
    <t>F20</t>
  </si>
  <si>
    <t>F22</t>
  </si>
  <si>
    <t>F24</t>
  </si>
  <si>
    <t>F29</t>
  </si>
  <si>
    <t>F30</t>
  </si>
  <si>
    <t>F33</t>
  </si>
  <si>
    <t>F36</t>
  </si>
  <si>
    <t>F47</t>
  </si>
  <si>
    <t>F52</t>
  </si>
  <si>
    <t>F53</t>
  </si>
  <si>
    <t>Wells or water bodies that currently provide drinking water are:</t>
  </si>
  <si>
    <t>F57</t>
  </si>
  <si>
    <t>F61</t>
  </si>
  <si>
    <t>F64</t>
  </si>
  <si>
    <t>S5</t>
  </si>
  <si>
    <t>F8</t>
  </si>
  <si>
    <t>F9</t>
  </si>
  <si>
    <t>Pollinators are especially valuable if the wetland contains a rare plant species dependent on insect pollination.</t>
  </si>
  <si>
    <t>Values Score for Pollinator Habitat</t>
  </si>
  <si>
    <t>Function Score for Aquatic Invertebrate Habitat</t>
  </si>
  <si>
    <t>Wetlands that contain surface water only seasonally are more susceptible to year-to-year differences in precipitation, runoff, and flow.  They also are more vulnerable to invasion by non-native upland plants (Magee &amp; Kentula 2005).  In contrast, persistently-inundated wetlands tend to be deeper and have more "buffer" against annual variation in available water.</t>
  </si>
  <si>
    <t>Severe (3 pts)</t>
  </si>
  <si>
    <t>Medium (2 pts)</t>
  </si>
  <si>
    <t>Mild (1 pt)</t>
  </si>
  <si>
    <t>Vegetation provides more food and cover to invertebrates than do bare areas, so invertebrate density and diversity is typically greater.</t>
  </si>
  <si>
    <t>Carbon Sequestration (CS)</t>
  </si>
  <si>
    <t>Aquatic Invertebrate Habitat (INV)</t>
  </si>
  <si>
    <t>Pollinator Habitat (POL)</t>
  </si>
  <si>
    <t>Function Score for Carbon Sequestration</t>
  </si>
  <si>
    <t>Values Score for Carbon Sequestration</t>
  </si>
  <si>
    <t>Soil or sediment texture, and especially clay content of soil, is one of the most important predictors of phosphorus retention. Excessive organic matter buildup in soils can inhibit plant germination and growth by acidifying the soil, which restricts nutrient availability and thus plant capacity to take up and retain phosphorus (Prescott et al. 2000). However, phosphorus can also form complexes with soil organic matter and thus be retained.</t>
  </si>
  <si>
    <t>Wetlands that lack outlets retain all phosphorus that enters them. Wetlands that connect to downslope water bodies for only part of the year may export less phosphorus annually than those with persistent outflow.</t>
  </si>
  <si>
    <t xml:space="preserve">Soils with a thick organic layer have the most carbon available for export. However, moderately coarse soils (silts, loams) are better-aerated, less acidic, and thus can have greater plant productivity. Very coarse soils, unless flooded regularly by rivers, tend to be nutrient-poor thus limiting plant productivity. Their presence may indicate periodic exposure to water currents capable of exporting carbon. </t>
  </si>
  <si>
    <t>These features cumulatively decelerate runoff, thus allowing for more sedimentation to occur, although usually only to a minor degree.</t>
  </si>
  <si>
    <t>F66</t>
  </si>
  <si>
    <t>Date:</t>
  </si>
  <si>
    <t>F39</t>
  </si>
  <si>
    <t>F40</t>
  </si>
  <si>
    <t>F41</t>
  </si>
  <si>
    <t>F42</t>
  </si>
  <si>
    <t>F43</t>
  </si>
  <si>
    <t>F49</t>
  </si>
  <si>
    <t>F50</t>
  </si>
  <si>
    <t>F51</t>
  </si>
  <si>
    <t>F54</t>
  </si>
  <si>
    <t>A direct indicator of value, at least for some species.</t>
  </si>
  <si>
    <t>Higher productivity of aquatic insects ultimately helps support higher productivity of amphibians.  Those conditions are described by increasing number of GDD.</t>
  </si>
  <si>
    <t>These wetland species are particularly valued because of their rarity and/or declining populations as listed by agencies.</t>
  </si>
  <si>
    <t>Data</t>
  </si>
  <si>
    <t xml:space="preserve">Dense vegetation offers frictional resistance to runoff, promoting sedimentation of suspended particles and reducing erosion. This promotes phosphorus retention because phosphorus is typically adsorbed to soil particles. </t>
  </si>
  <si>
    <t>Partly because of the greater nutrient levels and hydrologic stability of most groundwater, several plant species thrive best where a wetland's surface water originates most directly from groundwater (e.g., Radies et al. 2009).</t>
  </si>
  <si>
    <t>Phosphorus Retention (PR)</t>
  </si>
  <si>
    <t>Because of its ability to fertilize soil, alder can speed biological recovery following disturbance [Gomi et al. 2006].  Wetlands without alder may be slower to recover and thus more sensitive.</t>
  </si>
  <si>
    <t>Although scattered open spots provide feeding opportunities for some species, most songbirds and mammals prefer dense ground cover as concealment from predators.</t>
  </si>
  <si>
    <t>Function Score for Water Storage</t>
  </si>
  <si>
    <t>Function Score for Sediment Retention &amp; Stabilization</t>
  </si>
  <si>
    <t>Values Score for Aquatic Invertebrate Habitat</t>
  </si>
  <si>
    <t>See above.</t>
  </si>
  <si>
    <t>The maximum annual areal cover of herbaceous plants is:</t>
  </si>
  <si>
    <t>#</t>
  </si>
  <si>
    <t>Landscape</t>
  </si>
  <si>
    <t>Hydroperiod</t>
  </si>
  <si>
    <t>Structure</t>
  </si>
  <si>
    <t>Productivity</t>
  </si>
  <si>
    <t>HydroRegime</t>
  </si>
  <si>
    <t>Waterscape</t>
  </si>
  <si>
    <t>Suspended sediment is more likely to be filtered and stranded in vegetation if water levels fluctuate. However, in some soil types, large water level fluctuations cause erosion that results in more sediment being exported than retained.</t>
  </si>
  <si>
    <t>As a wetland's surface water area expands seasonally, water velocity is often reduced due to increased friction, and material suspended in the expanding water body is more likely to be deposited. The model ignores this indicator if the wetland has no outlet (channel or overbank), because then all water and sediment suspended in it is stored.</t>
  </si>
  <si>
    <t>Human presence can attract crows and ravens, which prey on nests. Dogs and house cats which prey on wetland songbirds and mammals also tend to be more prevalent in areas frequently visited by humans.</t>
  </si>
  <si>
    <t>Humans visiting wetlands commonly bring dogs, which potentially harass waterbirds, and human presence can attract crows and ravens, which prey on nests. Even the simple presence of people on foot and without dogs will cause many waterbirds to take flight. Repeated intrusions that drain the energy of waterbirds are especially damaging during the period when adult birds are searching for food to feed their young.</t>
  </si>
  <si>
    <t>See above. Corridors can be important to ducks that must walk overland with their young to find other wetlands in which to feed or molt.</t>
  </si>
  <si>
    <t>Species - Area</t>
  </si>
  <si>
    <t>Wetting and drying of sediments, as happens especially in wetlands with large and frequent water level fluctuations (because a wider area is subject to wetting-drying and associated aerobic-anaerobic shift), increases the loss of nitrate via denitrification. In Oregon, decreased total nitrogen in streams was associated with increased stream flashiness that had resulted from urbanization (Waite et al. 2006).</t>
  </si>
  <si>
    <t xml:space="preserve">Tillage and regrading accelerate the decay of soil organic matter rather than supporting sequestration. Farming of drained hydric soils is a particular concern, because such soils typically have substantial organic matter that converts to greenhouse gases when tilled and planted annually. However, tillage of compacted soils can reduce methane emissions (Willey &amp; Chameides 2007). Despite associated soil disturbance, selective logging in forested wetlands in some cases may eventually increase carbon sequestration if the tree stands and other components of the forest ecosystem become more productive after thinning (Li et al. 2004). </t>
  </si>
  <si>
    <t>Prolonged inundation can stifle plant productivity, whereas seasonal inundation encourages it, and is often associated with exporting hydrologic conditions, e.g., river floods. Seasonally high water levels promote decomposition (Bayley &amp; Mewhort, 2004) and thus facilitate the export of carbon.</t>
  </si>
  <si>
    <t>More extensive ground cover may imply more organic matter is available for export. Excessive litter buildup implies a lack of significant exporting forces, e.g., currents.</t>
  </si>
  <si>
    <t>Groundwater often brings nutrients to the surface, supporting greater plant production. Groundwater-fed wetlands also remain ice-free for longer, thus lengthening the growing season and plant production, and increasing the potential for organic matter to be exported if the wetland is connected to other water bodies.</t>
  </si>
  <si>
    <t>Within or near the AA, there is an interpretive center, trails with interpretive signs or brochures, and/or regular guided interpretive tours.</t>
  </si>
  <si>
    <t xml:space="preserve">Wetlands are likely to be more resilient (less sensitive, thus lower weighting factor) if large and/or surrounded by other natural landscapes, and/or if they are near other wetlands of the same type, because if an impact occurs to the wetland's vegetation, plant propagules from the surrounding landscape may speed recovery.  Presence of natural vegetation in the surrounding landscape also may also help the wetland avoid the impact before it happens, by mitigating hydrologic and water quality alterations.  </t>
  </si>
  <si>
    <t>F19</t>
  </si>
  <si>
    <t>F21</t>
  </si>
  <si>
    <t>Rationale</t>
  </si>
  <si>
    <t>Wetlands that lack outlets retain all sediment that enters them. Wetlands that connect to downslope water bodies for only part of the year may export less sediment annually than those with persistent outflow.</t>
  </si>
  <si>
    <t>Other factors being equal, wetlands in a headwater position are more valuable for influencing waters over a longer downstream area, where most flooding of property tends to occur. Watersheds can be defined at many spatial scales, and all are important to assessing the significance of this function when it is provided by a wetland or wetlands cumulatively.</t>
  </si>
  <si>
    <t>Wetlands that lack outlets retain or remove all nitrate that enters them. Wetlands that connect to downslope water bodies for only part of the year may export less nitrate annually than those with persistent outflow.</t>
  </si>
  <si>
    <t>Soil compaction seals up pores in the soil that serve as habitat space for denitrifying bacteria, as well as causing a larger proportion of the precipitation to leave as runoff rather than infiltrate into subsurface areas where denitrification is greatest. Soil erosion often results in loss of carbon-rich upper soil layers that are important to denitrification.</t>
  </si>
  <si>
    <t>Denser stands of vegetation, although sometimes less productive than more open stands, typically sequester a larger proportion of their organic matter. However, methane emissions per unit area also can be high in floating mats of vegetation (Moosavi et al. 1996) and in shallow areas with dense cover of vascular plants (Smith et al. 2000, Cheng et al. 2007) whose roots facilitate the movement of methane from soils to the surface, as compared with lower methane emissions in areas of open water (Rose &amp; Crumpton 2006) or mats of submersed aquatic vegetation (Smith et al. 2000).</t>
  </si>
  <si>
    <t>Wetlands that lack outlets retain most carbon that enters them or is produced within. However, methane emissions may be higher due to greater likelihood of anaerobic conditions developing. Wetlands that connect to downslope water bodies for only part of the year would be expected to export less carbon annually than those with persistent outflow.</t>
  </si>
  <si>
    <t xml:space="preserve">Flowers from forbs provide the most opportunities for a diverse array of pollinator species, but some graminoids (e.g., native bunchgrasses) are used as well. </t>
  </si>
  <si>
    <t xml:space="preserve">The parts of a wetland that are inundated only seasonally may contain water long enough for many invertebrates to complete their life cycle, while providing fresh food resources (e.g., plant litter). They also tend to be shallower and less deficient in dissolved oxygen, making them suitable for a wider range of species. </t>
  </si>
  <si>
    <t>Function Score for Water Cooling</t>
  </si>
  <si>
    <t>The need to cool surface waters is likely to be greatest at locations lower in a watershed.</t>
  </si>
  <si>
    <t>Value Score for Water Cooling</t>
  </si>
  <si>
    <t>Wetlands that have no outflow are likely to have only minimal effect on temperature of other water bodies.</t>
  </si>
  <si>
    <t>CURRENT PRODUCTIVITY:</t>
  </si>
  <si>
    <t>NestSites</t>
  </si>
  <si>
    <t>Investment</t>
  </si>
  <si>
    <t>Under natural unimpacted conditions, many but not all wetlands will have extensive microtopography.</t>
  </si>
  <si>
    <t>Lack of vegetative cover suggests a wetland may be in poor condition as a result of human-related impacts, but could also be the result of natural limitations or events.</t>
  </si>
  <si>
    <t>&gt;6%</t>
  </si>
  <si>
    <t>Competition/ Light</t>
  </si>
  <si>
    <t>Hydro Regime</t>
  </si>
  <si>
    <t>Large water level fluctuations during the nesting season (late spring and early summer), can flood the nests of birds that nest along wetland edges. However, annual fluctuations (described here) do not necessarily parallel propensity of water levels to fluctuate during the nesting season.</t>
  </si>
  <si>
    <t>Pollen Onsite</t>
  </si>
  <si>
    <t>Pollen Offsite</t>
  </si>
  <si>
    <t>Coarse soils tend to be less productive and in some cases this results in reduced species richness of wetland plants. Wetland soils with higher organic content often support greater plant species richness (e.g., Alsfeld et al. 2009) but only if not too acidic (e.g., fens are not). However, when organic soils are acidic (e.g., bogs) they often support species uncommon in wetlands elsewhere.</t>
  </si>
  <si>
    <t>Although not all invasive upland plants are capable of establishing sustained populations in wetlands, many can. When they do they reduce plant diversity.</t>
  </si>
  <si>
    <t>Seeds of non-native plants commonly are carried by humans and their pets. Non-native plants can decrease plant species richness of the wetland.</t>
  </si>
  <si>
    <t xml:space="preserve">Large habitat patches support more species. Depending on their shape, forest patches sized about 10 acres or larger may provide habitat capable of sustaining a diverse array of bryophyte functional groups in temperate rainforest landscapes. (Baldwin &amp; Bradfield 2007). A leveling off of the plant species-area accumulation curve in Alberta forests appeared at a forest patch size of about 27 acres (Gignac &amp; Dale 2007). Blocks of forest smaller than about 9 acres may be less capable of supporting the expected array of mosses in British Columbia (Baldwin &amp; Bradfield 2007), although a study in Washington found that forest patches as small as 2.5 acres, if not narrow, may be large enough to have a microclimate supportive of most plants and animals (Heithecker &amp; Halperin 2007). </t>
  </si>
  <si>
    <t>Tree roots can extend the subsurface zone of denitrification by oxidizing deeper subsurface areas, as well as retaining drifting snow which helps sustain soil moisture necessary for denitrification. Trees also take up and temporarily retain nitrate, as well as adding carbon to the soil, which promotes denitrification.  However, less canopy cover increases soil warming in spring (Hennon et al. 2010) which could accelerate denitrification.</t>
  </si>
  <si>
    <t>Complex microtopography provides many suitable microclimates important to survival of adult amphibians during the late summer, fall, and winter.</t>
  </si>
  <si>
    <t>Stressors</t>
  </si>
  <si>
    <t>F48</t>
  </si>
  <si>
    <t xml:space="preserve">  Score the following 2 rows only if the altered inputs began within past 10 years, and only for the part of the AA that experiences those.</t>
  </si>
  <si>
    <t>F11</t>
  </si>
  <si>
    <t>F16</t>
  </si>
  <si>
    <t>F23</t>
  </si>
  <si>
    <t>F25</t>
  </si>
  <si>
    <t>F26</t>
  </si>
  <si>
    <t>F27</t>
  </si>
  <si>
    <t>F28</t>
  </si>
  <si>
    <t>F34</t>
  </si>
  <si>
    <t>F35</t>
  </si>
  <si>
    <t xml:space="preserve">If a wetland lacks surface water outflow, nearly all contaminants that enter it will remain and be accumulated over time (Oberts 1977).  This is particularly true of runoff-borne sediment, which can eventually fill a wetland and thus destroy it (Whited 2001, Whigham &amp; Jordan 2003, Leibowitz 2003). </t>
  </si>
  <si>
    <t>F1</t>
  </si>
  <si>
    <t>F5</t>
  </si>
  <si>
    <t>Road corridors are a significant vector for non-native plants that can reduce native plant richness if they invade nearby wetlands.</t>
  </si>
  <si>
    <t>Specific Functions or Values:</t>
  </si>
  <si>
    <t>Many studies have highlighted the importance of subsurface (hyporheic) flow, or groundwater discharge, to denitrification rates in both riverine (Clilverd et al. 2008) and non-riverine (e.g., Kroeger &amp; Charette 2008) wetlands. Groundwater is often iron-rich, and addition or removal of nitrate can significantly affect the ecological mobility of iron and perhaps some other metals in wetland soils (Shrestha et al. 2011).</t>
  </si>
  <si>
    <t>Constructed (and some restored) wetlands typically have lower soil organic matter (Shaffer &amp; Ernst 1999), and that deficit limits denitrification that otherwise removes nitrate. Thus, new wetlands would be expected to release the most nitrate to downstream waters. However, the proportion of incoming nitrate that is exported in some cases is greater in soils that are more fertile, i.e., nearing nitrate saturation, with a C:N ratio lower than 25 (e.g., Gundersen et al. 2006).</t>
  </si>
  <si>
    <t xml:space="preserve">Wetlands that are more geographically isolated from each other are likely to have lower plant species richness than those close together (Nekola 1999). Although urbanization typically reduces the diversity of plants in the forest understory, plant community composition in a Wisconsin study was better explained by the amount of surrounding forest than by environmental factors within the studied forests (Rogers et al. 2009). In Ontario, forested wetlands with the most plant species were those with the largest areas and the largest proportion of upland forest within ~ 800 ft of the wetlands (Houlahan et al. 2006). </t>
  </si>
  <si>
    <t>Dependency of wetland plants on this particular wetland increases if no other natural vegetation of comparable or greater extent is available in the vicinity, thus conferring greater value to this wetland. If the site is in a landscape that typically does not support trees (rangeland, prairie), only the first choice is counted by the model.</t>
  </si>
  <si>
    <t>Annual export of accumulated organic matter to downslope water bodies is greater in wetlands with outlets, especially those with persistent outflow.  Nonetheless, even wetlands that lack outlets may export variable amounts of dissolved carbon via subsurface infiltration and "pipes" created by decayed subsurface peat and tree roots which cannot be evaluated in a rapid assessment.</t>
  </si>
  <si>
    <t xml:space="preserve">Soil organic matter is slow to accumulate in constructed wetlands (Alsfeld et al. 2009), so might be less to be available for export. </t>
  </si>
  <si>
    <t xml:space="preserve">The total proportion of the land that is natural land cover, as well as its proximity, can affect songbird and mammal richness in wetlands. In Ohio, migrant songbirds had the strongest positive correlation with natural land cover near streams when it was measured within ~820 ft of streams, rather than in areas closer or farther. Some migrant songbirds were much less likely to occur where there were many buildings within that distance of streams (Pennington 2008). However, one study found that migrant bird abundance was statistically unrelated to either percent urbanized land or percent forest cover within 0.6 mile (Rodewald &amp; Mathews 2005). </t>
  </si>
  <si>
    <t xml:space="preserve">Many songbirds and mammals occur only in larger tracts of natural land cover. Fragmentation of wooded riparian areas by residential development or clearcuts can, over the long term, reduce the diversity of songbirds nesting in the remaining patches (e.g., Smith &amp; Wachob 2006). Breeding wetland birds sometimes do persist in small disturbed wetlands as long as much larger undisturbed wetlands nearby remain productive (e.g., Vermaat et al. 2008). Theoretical and limited empirical data suggest that 30% or more forest cover across a large area is the threshold value above which landscapes might provide sufficient habitat and connectivity for many forest species, allowing those species' populations to survive even in small remaining patches (Andren 1994).  However, a study in British Columbia found patch size had little to do with the abundance or diversity of birds in patches of old growth forest (Schieck et al. 1995). </t>
  </si>
  <si>
    <t>Although they are often stable, channels that are steeper are somewhat more likely to erode and contribute sediment to connected downstream wetlands. Wetlands that receive suspended sediment from those streams are more likely to retain it because of the large differential in current velocities, which promotes deposition in the wetland.</t>
  </si>
  <si>
    <t>These features cumulatively decelerate runoff, thus allowing for more biological processing and deposition of nitrate-containing suspended sediments, although usually only to a minor degree. The presence of soil cracks implies a potential downward extension of the aerobic zone, interspersing it with anaerobic areas, which should lead to greater denitrification. Studies of wastewater treatment wetlands have shown greater nitrate removal where pockets of deeper water are interspersed with shallower areas (i.e., diverse microtopography).</t>
  </si>
  <si>
    <t>Fish access to wetlands is better if an outlet is present and outflows from the wetland are persistent. Although isolated wetlands with persistent surface water can support some resident fish, a permanent connection to other surface waters increases the ability of fish to move among wetlands and other surface waters in search of food and other needs. Connectivity between tributaries and more permanent mainstem streams is important to several native fish.</t>
  </si>
  <si>
    <t>Longer growing seasons imply hotter air and water temperatures, increasing the need for cooling of surface waters necessary to support aquatic functions.</t>
  </si>
  <si>
    <t>Warmth</t>
  </si>
  <si>
    <t>Traffic poses a hazard to songbirds and mammals that attempt to cross roads (Forman et al. 2002, Clevenger et al. 2003, Massey et al. 2008, Minor &amp; Urban 2010, Tremblay &amp; St. Clair 2010, and see reviews by Fahrig &amp; Rytwinski 2009, Benitez-Lopez et al. 2010). Roadsides also may channel the movements of predators. Noise from heavy traffic interferes with bird reproduction because some birds cannot hear singing of prospective mates (Wood &amp; Yezerinac 2006, Slabbekoorn &amp; Ripmeester 2008, Barber et al. 2010) and road noise can restrict habitat use by bats (Schaub et al. 2008).</t>
  </si>
  <si>
    <t>Longer wetland-upland edge relative to wetland area (i.e., convoluted edge) implies a wetland may be more vulnerable to invasive species, higher evapotranspiration, and other disturbances associated with adjoining uplands.</t>
  </si>
  <si>
    <t>Wetland Sensitivity (SEN)</t>
  </si>
  <si>
    <t>Wetland Stressors (STR)</t>
  </si>
  <si>
    <t xml:space="preserve">Roads and/or traffic are a significant barrier to dispersing amphibians (Mader 1984, Fahrig et al. 1995, and see review by Fahrig &amp; Rytwinski 2009).  In Ontario (Eigenbrod 2008a) and Virginia (Marsh 2007), “accessible habitat” -- defined as the habitat available to pond-dwelling amphibians without individuals needing to cross a major road -- was a better predictor of amphibian species richness than simply the amount of habitat within some distance of breeding ponds (Eigenbrod 2008b).  Narrow roads gated to exclude traffic were crossed more often than roads with traffic by terrestrial salamanders in Virginia (Marsh 2007).  Remarkably, even some narrow logging roads that had long been abandoned continued to impair movements and densities of salamanders in North Carolina; the road effect appeared to extend about 115 ft into the adjoining woods on both sides of the road (Semlitsch et al. 2007). </t>
  </si>
  <si>
    <t>Very large water level fluctuations can reduce plant productivity, but small seasonal fluctuations are important to maintaining fertility of a wetland, and thus its ability to store carbon. Maintaining steadily moist soil conditions may minimize methane releases (Tuittila et al. 2000, Price et al. 2003).</t>
  </si>
  <si>
    <t>Function Score for Resident Fish Habitat</t>
  </si>
  <si>
    <t>Values Score for Resident Fish Habitat</t>
  </si>
  <si>
    <t>At least in nutrient-poor water bodies, the leaves of nitrogen-fixing plants such as alder have been shown to support higher densities and richness of aquatic and terrestrial invertebrates (Wipfli 2007, Wipfli &amp; Musselwhite 2004, Hernandez et al. 2005, LeSage et al. 2005). On a per-surface-area basis, deciduous trees often support higher levels of insect biomass than conifers, at least among nocturnal flying insects [Ober and Hayes 2008).</t>
  </si>
  <si>
    <t xml:space="preserve">Water table depth and duration of saturation affect redox and thus influence N cycling (D’Amore et al. 2009). Denitrification rates are highest at the interface between aerobic and anaerobic conditions. Such conditions often develop where a ponded area expands seasonally into vegetated areas. In addition, levels of soil organic matter are often higher in seasonal wetlands than in permanently inundated ones (Shaffer &amp; Ernst 1999), and organic matter is key to supporting denitrification. </t>
  </si>
  <si>
    <t>Methane emissions are partially suppressed in waters with higher salinities.</t>
  </si>
  <si>
    <t>Structure &amp; Size</t>
  </si>
  <si>
    <t xml:space="preserve">The germination of many plant species is triggered by the interaction of water conditions and season (light). Homogenization or alteration of the natural water regime can thus encourage invasive species at the expense of native flora. Inundation at aberrant times of the year can reduce native plant diversity because most native species have evolved in close synchronization with natural seasonal water regimes. Monthly timing of first soil moistening may be more important than duration of moist period before inundation and length of inundation for determining the number of plants and number of species that germinate (Bliss &amp; Zedler 1997). Any development that involves increasing the area of lawn or impervious surface is likely to increase runoff amount and concentrate it within shorter time periods, i.e. “pulses” “flashiness” (Booth &amp; Jackson 1997, Booth et al. 2002, DeGasperi et al. 2009). This has been shown to make wetlands more susceptible to invasion by non-native plants (Magee &amp; Kentula 2005). However, one study found that forested wetlands in developed landscapes had community composition and structure similar to those in undeveloped landscapes, with number of exotic species being no greater (Ehrenfeld 2005). </t>
  </si>
  <si>
    <t xml:space="preserve">The presence of peat or muck implies the presence (at least historically) of a microclimate favorable to long-term retention of particulate carbon. Peat is also a poor substrate for methanogenesis (White et al. 2008), as is true also of typically well-oxygenated coarse soils. However, in very coarse soils the annual productivity of plants is often less than in clay/ loam soils because unless the coarse soils are flooded regularly by rivers, they tend to be nutrient-poor (Boss 1983).  Moderately coarse soils (silts, loams), especially those with a large component of soil aggregates in the 2-8 mm range (Hossler &amp; Bouchard 2010), tend to have neutral pH and support greater plant biomass and thus produce more soil organic carbon. </t>
  </si>
  <si>
    <t>Wetlands with naturally fluctuating water levels tend to have greater plant species richness (Pollock et al. 1998). Duration, frequency, and timing of inundation may be more important than magnitude of fluctuation, but cannot be estimated during a single visit to an ungaged wetland. Prolonged deep flooding can reduce plant species richness (Bayley &amp; Guimond 2009).</t>
  </si>
  <si>
    <t>Wetlands with extensive seasonal flooding tend to have greater plant species richness, provided flooding is not of long duration (Pollock et al. 1998). Seasonal inundation brings in external nutrients to riverine wetlands, and is necessary in all wetlands for seed germination of many wetland plant species.</t>
  </si>
  <si>
    <t>Different plant species occur under different moisture regimes, which correlate with different elevations (Samonil et al. 2010), so a greater diversity of elevations (i.e., complex microtopography) often supports a wider variety of plants. Adding small ridges and furrows to constructed depressional wetlands was found in one study to increase their percent cover of obligate wetland species (Alsfeld et al. 2009). Especially In floodplains, wetlands with more varied topography tend to have greater plant species richness because this creates different flood frequencies within the wetland (Pollock et al. 1998).</t>
  </si>
  <si>
    <t>The initial sparseness of vegetation in new wetlands suggests that overall carbon stores are less than in some of the more mature wetlands with greater plant cover, diversity, and structural complexity. Aboveground production and soil organic matter have been shown to be less in lands newly restored to wetland conditions than in long-established wetlands (Fennessy et al. 2008).  “New” inundation can increase the amount of carbon exported as methane and sometimes, as CO2 (Kelly et al. 1997, Petrone et al. 2005, Blodau et al. 2007, Tuittila et al. 2000, Price et al. 2003). For example, new inundation resulting from beaver activity has been shown to increase methane emissions (Roulet et al. 1997).  However, many pioneering plants in new wetlands (especially on fertile soils) grow rapidly and thus are fixing large amounts of carbon per plant per unit time.  And although most wetlands become more enriched in nutrients as they age, leading to increased biological production, decomposition rates may also increase, thus resulting in less net gain in sequestered carbon.  Moreover, some wetlands become more dilute and acidic with time as vegetation and soils mature (Engstrom et al. 2000) and this can inhibit further plant growth and consequently carbon sequestration.</t>
  </si>
  <si>
    <t>Organic: includes muck, mucky peat, peat, and mucky mineral soils (blackish or grayish).  Exclude live roots unless they are moss.</t>
  </si>
  <si>
    <t>Mudflats in this region are often the result of a more-prolonged drawdown of water levels during the spring and summer.</t>
  </si>
  <si>
    <t>Wooded wetlands and wetlands surrounded by trees tend to be used less by most waterbird species.  Nest predation from corvids (crow, raven, magpie) that typically nest in trees and shrubs is potentially greater.</t>
  </si>
  <si>
    <t>F38</t>
  </si>
  <si>
    <t>F37</t>
  </si>
  <si>
    <t>F71</t>
  </si>
  <si>
    <t>F72</t>
  </si>
  <si>
    <t>Wetlands that are never inundated cannot directly support resident fish, and ones that are inundated for just a few days only allow brief opportunities for resident fish to visit and feed.</t>
  </si>
  <si>
    <t>If a wetland contains a vegetation forrm that is locally uncommon and that form is altered, recolonization by that vegetation form is likely to be slower due to relative lack of propagules and/or favorable geomorphic conditions.</t>
  </si>
  <si>
    <t>Flatter gradients result in more deposition of suspended sediments that are often phosphorus-rich, thus increasing retention.</t>
  </si>
  <si>
    <t>Inflowing waters transport sediment and associated phosphorus into a wetland, thus improving opportunity for processing and retention.</t>
  </si>
  <si>
    <t>Steeper input channels are likely to transport more sediment and associated phosphorus into a wetland.</t>
  </si>
  <si>
    <t>Flat gradients result in longer detention times, which enhance processing of nitrate and support anaerobic conditions that increase the extent of denitrification.</t>
  </si>
  <si>
    <t>Methane Limitation</t>
  </si>
  <si>
    <t>Historical Accumulation</t>
  </si>
  <si>
    <t>Export Potential</t>
  </si>
  <si>
    <t>see above.</t>
  </si>
  <si>
    <t>Frozen Duration</t>
  </si>
  <si>
    <t>Plant Cover</t>
  </si>
  <si>
    <t>Some invertebrates, such as amphipods, are highly sensitive to pesticides.</t>
  </si>
  <si>
    <t>Productivity of most amphibian species is greater in fresh rather than saline water.</t>
  </si>
  <si>
    <t>Most amphibian species prefer ponded rather than flowing-water habitats, and ponding is more likely to occur in wetlands with minimal gradient.</t>
  </si>
  <si>
    <t>Amphibian survival may be greater in wetter regions because of greater moisture in nonbreeding habitats as well as more small wetlands for breeding and dispersal.</t>
  </si>
  <si>
    <t>These species contribute disproportionately to regional biodiversity because they are relatively rare in this region.</t>
  </si>
  <si>
    <t>Most of these areas have been recognized based on regular use by waterbird species that are regionally rare or sensitive.</t>
  </si>
  <si>
    <t>Sloping wetlands typically lack ponded surface water and thus are seldom used by most waterbird species.</t>
  </si>
  <si>
    <t>Many mammals and songbirds are more dependent upon wetlands and water availability in parts of the region with the least precipitation.</t>
  </si>
  <si>
    <t>A longer growing season supports generally higher productivity and diversity of songbirds and mammals.</t>
  </si>
  <si>
    <t>Intermediate levels of tree cover provide conditions suitable to the most songbird, raptor, and mammal species.</t>
  </si>
  <si>
    <t xml:space="preserve">Many wetland-dependent songbirds, raptors, and mammals also require undeveloped uplands nearby, and prefer perennial cover to annual cropland, water, or other non-perennial cover. </t>
  </si>
  <si>
    <t>The vegetation in a wetland may be considered more valuable if it is the only such patch of vegetation of its size within a large area.</t>
  </si>
  <si>
    <t>Wetlands in the driest parts of the region may be the most sensitive to activities that affect wetland water regimes.</t>
  </si>
  <si>
    <t>Especially in the warmer and drier climate of the southern region, the sustainability of many moss-covered wetlands may be hydrologically precarious, making them more sensitive.</t>
  </si>
  <si>
    <t>Wetlands without vegetated upland buffers, or with only narrow buffers, are more vulnerable to a wide variety of contaminants and disturbances.</t>
  </si>
  <si>
    <t>Upland perennial cover can provide a source of organisms for recolonising wetlands that have been temporarily damaged.</t>
  </si>
  <si>
    <t>Other wetlands, if located nearby, can provide a source of organisms for recolonising wetlands that have been temporarily damaged.</t>
  </si>
  <si>
    <t>Intensely developed areas are less able to provide organisms for recolonising damaged wetlands.</t>
  </si>
  <si>
    <t xml:space="preserve">Organic soils are particularly sensitive because slight changes in the water table can cause rapid decomposition and/or compaction (subsidence) of this substrate, resulting in major shifts in characteristic plants and animal species as well as biogeochemical processes. Both organic and clay soils are highly sensitive to compaction from off-road vehicles.  Although coarse soils are most resistant to compaction, they are less moisture-retentive and dry out quickly, imperiling their wetland flora and fauna.  </t>
  </si>
  <si>
    <t>Wetlands not already dominated by invasive species are likely to be more sensitive to impacts of invasives (Werner et al. 2002, Wigand 2003, Stohlgren et al. 2002).</t>
  </si>
  <si>
    <t>By some standards, a reduction in the normal height of vegetation implies that a wetland has been degraded.</t>
  </si>
  <si>
    <t>Wetlands with extensive areas that flood only seasonally (or with soils that remain saturated without being covered by surface water) in some cases typify unaltered conditions, more so than wetlands whose entire area remains water-covered throughout the year.</t>
  </si>
  <si>
    <t>At high tide during most of the year, the daily salinity in most of the inundated part of the AA is:</t>
  </si>
  <si>
    <t>From the above list, the number of macrophyte groups that comprise &gt;5% of the vegetated area in the specified zone during late summer is:</t>
  </si>
  <si>
    <t>F15</t>
  </si>
  <si>
    <t>Waterbird Nesting Habitat (WBN)</t>
  </si>
  <si>
    <t>Waterbird Feeding Habitat (WBF)</t>
  </si>
  <si>
    <t>Anadromous Fish Habitat (FA)</t>
  </si>
  <si>
    <t>Resident Fish Habitat (FR)</t>
  </si>
  <si>
    <t>Aquatic Invertebrate Habitat</t>
  </si>
  <si>
    <t>The greatest financial damage in the floodplain is (or would be) to:</t>
  </si>
  <si>
    <t>Most of the edge between the AA's wetland and upland is (select one):</t>
  </si>
  <si>
    <r>
      <rPr>
        <b/>
        <sz val="10"/>
        <rFont val="Arial Narrow"/>
        <family val="2"/>
      </rPr>
      <t xml:space="preserve">Hot spring </t>
    </r>
    <r>
      <rPr>
        <sz val="10"/>
        <rFont val="Arial Narrow"/>
        <family val="2"/>
      </rPr>
      <t>(anywhere in Oregon): a wetland where discharging groundwater in summer is &gt;10 degrees (F) warmer than the expected water temperature.</t>
    </r>
  </si>
  <si>
    <r>
      <rPr>
        <b/>
        <sz val="10"/>
        <rFont val="Arial Narrow"/>
        <family val="2"/>
      </rPr>
      <t>Native wet prairie</t>
    </r>
    <r>
      <rPr>
        <sz val="10"/>
        <rFont val="Arial Narrow"/>
        <family val="2"/>
      </rPr>
      <t xml:space="preserve"> (west of the Cascade crest): a seasonally inundated wetland, usually without a naturally-occurring  inlet or outlet, and dominated primarily by native graminoids often including species in column E.</t>
    </r>
  </si>
  <si>
    <r>
      <rPr>
        <b/>
        <sz val="10"/>
        <rFont val="Arial Narrow"/>
        <family val="2"/>
      </rPr>
      <t xml:space="preserve">Vernal pool </t>
    </r>
    <r>
      <rPr>
        <sz val="10"/>
        <rFont val="Arial Narrow"/>
        <family val="2"/>
      </rPr>
      <t>(Modoc basalt &amp; Columbia Plateau): a seasonally inundated wetland, usually without a naturally-occurring inlet or outlet, located on shallow basalt bedrock and often having species in column E.</t>
    </r>
  </si>
  <si>
    <r>
      <rPr>
        <b/>
        <sz val="10"/>
        <rFont val="Arial Narrow"/>
        <family val="2"/>
      </rPr>
      <t>Ultramafic soil wetland</t>
    </r>
    <r>
      <rPr>
        <sz val="10"/>
        <rFont val="Arial Narrow"/>
        <family val="2"/>
      </rPr>
      <t xml:space="preserve"> (mainly southwestern Oregon): a low-elevation wetland, usually with a sponge-like organic soil layer, occurring in an area with exposed serpentine or peridotite rock, and/or in soils with very low Ca:Mg ratios.</t>
    </r>
  </si>
  <si>
    <t>T1</t>
  </si>
  <si>
    <t>T2</t>
  </si>
  <si>
    <t>T3</t>
  </si>
  <si>
    <t>T4</t>
  </si>
  <si>
    <t>T5</t>
  </si>
  <si>
    <t>T6</t>
  </si>
  <si>
    <t>T7</t>
  </si>
  <si>
    <t>T8</t>
  </si>
  <si>
    <t>T9</t>
  </si>
  <si>
    <t>T10</t>
  </si>
  <si>
    <t>T11</t>
  </si>
  <si>
    <t>T12</t>
  </si>
  <si>
    <t>T13</t>
  </si>
  <si>
    <t>T14</t>
  </si>
  <si>
    <t>T15</t>
  </si>
  <si>
    <t>T16</t>
  </si>
  <si>
    <t>T17</t>
  </si>
  <si>
    <t>T18</t>
  </si>
  <si>
    <t>T19</t>
  </si>
  <si>
    <t>T20</t>
  </si>
  <si>
    <t>T22</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</si>
  <si>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</si>
  <si>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</si>
  <si>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</si>
  <si>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</si>
  <si>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</si>
  <si>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</si>
  <si>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</si>
  <si>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</si>
  <si>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</si>
  <si>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</si>
  <si>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</si>
  <si>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</si>
  <si>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</si>
  <si>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</si>
  <si>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</si>
  <si>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</si>
  <si>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</si>
  <si>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</si>
  <si>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</si>
  <si>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</si>
  <si>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</si>
  <si>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</si>
  <si>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</si>
  <si>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Within the form identified as the predominant macrophyte, the 2 most common native species together comprise:</t>
  </si>
  <si>
    <t>Coarse: includes sand, loamy sand, gravel, cobble, stones, boulders, fluvents, fluvaquents, riverwash.</t>
  </si>
  <si>
    <t>Clayey: includes clay, clay loam, silty clay, silty clay loam, sandy clay, sandy clay loam.</t>
  </si>
  <si>
    <t>T21</t>
  </si>
  <si>
    <t>The extent of driftwood on the land surface is:</t>
  </si>
  <si>
    <t xml:space="preserve">&lt; 5 ft, or none.  </t>
  </si>
  <si>
    <t>The maximum percentage of the wetland that is visible from the best vantage point on public roads, public parking lots, public buildings, or public maintained trails that intersect, adjoin, or are within 300 ft of the AA (select one) is:</t>
  </si>
  <si>
    <t>Some fish species, salmonids in particular, are adversely affected by warm water because it can retain less dissolved oxygen.  Wetlands that maintain or cool the water temperature are especially beneficial to these fish species.</t>
  </si>
  <si>
    <t>Plant diversity is often greater without the shading and nutrient-competitive effects of trees (Hanley &amp; Brady 1997). Thus, intermediate canopy cover usually supports the most diverse native plant assemblages.  Wetter soils tend to have smaller trees and support less tree cover, and the trees that survive are also more prone to being blown down.</t>
  </si>
  <si>
    <t>See above</t>
  </si>
  <si>
    <t>Man-made wetlands typically have less diverse vegetation and limited soil carbon, making them more sensitive to extreme natural events and slower to recover.</t>
  </si>
  <si>
    <t>Trees along a water edge are especially attractive to songbirds and raptors. Some openings are valued by aerial foragers such as bats and swallows, and raptors that hunt from perches.  Gaps also increase the richness of plants, thus diversifying birds and mammals.  Logs associated with tree cover provide shelter for dispersing amphibians. Woody vegetation usually supports a wider diversity of songbirds, raptors, and mammals than does herbaceous vegetation, partly because it provides more vertical structure and produces downed wood snags that have other habitat benefits. Woody vegetation helps shelter the water in wetlands from high winds, facilitating the aerial foraging activities of birds and bats (Whitaker et al. 2000)</t>
  </si>
  <si>
    <t xml:space="preserve">Comparing data from multiple regions, Utz et al. (2009) reported that aquatic invertebrates sensitive to impervious cover were generally lost when impervious cover was in the range of 3% (most sensitive taxa) to 23%. Macroinvertebrate and fish community composition is impacted beginning at about 5% impervious surface, a number that varies depending on the proportion of agricultural land as well (e.g., Waite et al. 2006). </t>
  </si>
  <si>
    <t xml:space="preserve">Wetlands that comprise a large portion of their contributing area have a greater potential to control the runoff arriving from that lmited area. </t>
  </si>
  <si>
    <t>The need for (and value of) storage potentially provided by wetlands is greater when upland runoff is rapid, as occurs when much of the contributing area contains impervious surface (Laenen 1980, Waite et al. 2006). In contributing areas with extensive impervious surface, the proportion of stream flow due to surface runoff can be as much as five times that seen in forested contributing areas (Arnold &amp; Gibbons 1996). Surface (as opposed to subsurface) runoff is much less common in undeveloped watersheds (Booth &amp; Jackson 1997). Increased surface runoff causes a shortening of the lag time between precipitation and stream flow response (Hirsch et al. 1990). The effect is higher peak flows but of shorter duration than those in forested contributing areas receiving comparable rainfall (Leopold 1968).</t>
  </si>
  <si>
    <t xml:space="preserve">Water bodies whose contributing areas have less perennial cover and narrower vegetated buffers have higher temperatures.  However, overall vegetation patterns in a watershed frequently have an equal or greater influence on stream temperature and aquatic productivity than vegetation just within buffer areas adjoining a shoreline (Brosofske et al. 1997, Sridhar et al. 2004, Stephenson &amp; Morin 2009).  One study found that maximum air temperature within a 100-ft wooded buffer was only slightly cooler than in a 16-ft wide wooded buffer (Meleason &amp; Quinn 2004).  </t>
  </si>
  <si>
    <t>Wetlands that are in the lower part of their watershed (including most that are small relative to the size of their contributing area) are likely to receive proportionally more sediment and be subject to more erosive floods, thus increasing the value of their capacity to intercept and stabilize suspended sediment. Watersheds can be defined at multiple scalesl, and all are important to assessing the significance of this function when it is provided by a wetland or by wetlands cumulatively.</t>
  </si>
  <si>
    <t>The need for (and value of) sediment-trapping capacity (which is potentially provided by wetlands) is greater when upland runoff is rapid and erosive, as occurs when much of the contributing area contains unvegetated surface. Other factors being equal, wetlands in developed watersheds (with little remaining natural cover) tend to receive higher loads of sediment. Their sediment-trapping role could thus be considered to be more essential and valuable for protecting waters further downstream.</t>
  </si>
  <si>
    <t>Wetlands with relatively large contributing areas are likely to receive more sediment and nutrient inputs, providing opportunity for processing and retention.</t>
  </si>
  <si>
    <t>Wetlands high in a watershed are likely to be more sensitive to any pollution introduced upslope because they usually are large relative to the size of their contributing area, and the pollution source is likely to be closer.  This is supported by hydrologic studies of BC wetlands (Fitzgerald et al. 2003).  Being at the upper end also means fewer opportunities for waterborne plant propagules to recolonize following any impacts.</t>
  </si>
  <si>
    <t>Unless impounded, steeply sloping wetlands retain less surface runoff and precipitation, and for shorter periods.</t>
  </si>
  <si>
    <t xml:space="preserve">Wetlands fed constantly by groundwater are likely to have only limited subsurface storage space for storing additional precipitation.  </t>
  </si>
  <si>
    <t xml:space="preserve">Emergent wetland plants trap drifting snow (thus retaining water onsite) and reduce water volume via transpiration.  Bare ground or sparse plant cover is less effective for capturing and retaining drifting snow, and water losses due to  evapotranspiration are less.  </t>
  </si>
  <si>
    <t>Large variation in elevations within a wetland suggest greater potential for trapping and retaining snow and other precipitation, sufficiently long to allow infiltration or evaporation.  Rough surfaces also allow for more runoff interception and infiltration.</t>
  </si>
  <si>
    <t>On a per unit area, in most regions infrastructure is more expensive to replace than crops.</t>
  </si>
  <si>
    <t>Wetlands that are small relative to their runoff-contributing areas are provided with greater opportunity to retain runoff, thus increasing their potential value.</t>
  </si>
  <si>
    <t>Trees along the wetland-upland fringe often transpire large amounts of water, reducing the opportunity for the wetland to perform this function.</t>
  </si>
  <si>
    <t>Wetlands that flow into water bodies that have violated temperature standards are potentially more valuable, if they also cool or maintain runoff water temperature.</t>
  </si>
  <si>
    <t>Wetlands connected for longer to downstream water bodies have greater potential to influence the temperature in those water bodies.</t>
  </si>
  <si>
    <t>The need for (and value of) the water cooling function potentially provided by wetlands is greater when upland runoff is rapid, as occurs when much of the contributing area contains impervious surface.  Such unshaded dark surfaces also are more likely to export heated water.</t>
  </si>
  <si>
    <t>Densely vegetated areas within a wetland have the greatest potential for providing shade which cools or maintains temperature of runoff.</t>
  </si>
  <si>
    <t>The total sediment load reaching wetlands is greater for wetlands comprising a small portion of a large contributing area.</t>
  </si>
  <si>
    <t>Tributaries provide a means for eroded soils to move into a wetland, thus providing more opportunity for retention.</t>
  </si>
  <si>
    <t>Vegetated areas reduce erosion, so the greater the proportion of a wetland's perimeter they cover, the less suspended sediment will reach a wetland, and the less opportunity the wetland will have to perform this function.</t>
  </si>
  <si>
    <t>Runoff velocity is greater in steeper wetlands, thus inhibiting their capacity to retain suspended sediment, and increasing erosion.</t>
  </si>
  <si>
    <t>Dense vegetation offers frictional resistance to water flow, promoting sedimentation of suspended particles, as well as reducing the resuspension of bottom sediments by waves and currents, and anchoring soil with roots.</t>
  </si>
  <si>
    <t>Wetlands that flow into water bodies that have violated turbidity or suspended sediment standards are potentially more valuable for protecting those water bodies, if they also retain sediment and/or associated toxic substances.</t>
  </si>
  <si>
    <t>Wetlands that receive water that has violated turbidity, suspended sediment, or toxic substance standards are potentially more valuable, if they also have the capacity to retain the sediment.</t>
  </si>
  <si>
    <t>Soils that are more erodible provide wetlands with more opportunity to retain that sediment and associated toxic substances.</t>
  </si>
  <si>
    <t>Conditions that foster the transport of eroded sediment from uplands to wetlands increase the opportunity for wetlands to retain that sediment.</t>
  </si>
  <si>
    <t>The need for (and value of) sediment retention provided by wetlands may be expected to increase the most in the future where zoning allows higher-intensity development, because such development typically increases sediment inputs to wetlands.</t>
  </si>
  <si>
    <t>The need for (and value of) water temperature maintenance and cooling provided by wetlands may be expected to increase the most in the future where zoning allows higher-intensity development, because such development typically increases runoff water temperature.</t>
  </si>
  <si>
    <t xml:space="preserve">Tidal wetlands that are extensively flooded on nearly all high tides, i.e., are mostly at low marsh elevation, tend to accrete waterborne sediment most rapidly.  </t>
  </si>
  <si>
    <t>Not applicable.  Nearly all of the AA remains inundated even at daily low tide.</t>
  </si>
  <si>
    <t>Wetlands that contribute water to water bodies that are overenriched due to P are potentially more valuable, if they also have the capacity to retain P.</t>
  </si>
  <si>
    <t>Wetlands that are in the lower part of their watershed (including most that are small relative to the size of their contributing area) are likely to receive proportionally more phosphorus, thus increasing the value of their capacity to process P. Watersheds can be defined at multiple scales, and all are important to assessing the significance of this function when it is provided by a wetland or by wetlands cumulatively.</t>
  </si>
  <si>
    <t xml:space="preserve">Tidal wetlands that are extensively flooded on nearly all high tides, i.e., are mostly at low marsh elevation, tend to accrete waterborne sediment and its associated P most rapidly.  </t>
  </si>
  <si>
    <t>Waves tend to erode the outer edges of wetlands, thus removing their capacity to trap sediment and the associated phosphorus.</t>
  </si>
  <si>
    <t>Wider vegetated areas provide more area for sediment particles borne in runoff to be filtered and deposited, and with them, considerable amounts of phosphorus.</t>
  </si>
  <si>
    <t>Dense vegetation offers frictional resistance to water flow, promoting sedimentation of suspended particles and associated P, as well as reducing the resuspension of bottom sediments and associated P by waves and currents.</t>
  </si>
  <si>
    <t>At least 2 studies that spanned a salinity gradient reported greater phosphorus adsorption in less saline wetlands (Sundareshwar &amp; Morris 1999, Jordan et al. 2008).  Another study found no difference between tidal and non-tidal wetlands with regard to phosphorus cycling rates (Verhoeven et al. 2001).  Clay particles flocculate and settle out disproportionately at the salt/fresh water interface, particularly in the range 2 to 5 ppt, and high levels of P are often associated with such particles (Rochford 1953).</t>
  </si>
  <si>
    <t>At least 2 studies reported greater phosphorus adsorption in upper than lower parts of an estuary (Sundareshwar &amp; Morris 1999, Jordan et al. 2008).</t>
  </si>
  <si>
    <t>Nitrate is a potentially serious contaminant of drinking water due to health effects on infants. Thus, when wetlands remove it before it contaminates surface water or groundwater, the wetlands are performing an especially valued service.</t>
  </si>
  <si>
    <t>Higher salt content represses methane production and thus loss of carbon via that route (Magenheimer et al. 1996, Baldwin et al. 2006, White et al. 2008).</t>
  </si>
  <si>
    <t xml:space="preserve">Flatter wetlands are more likely than steep ones to slow runoff, facilitating more deposition of organic matter that is associated with it.  However, methane emissions may be less from sloping wetlands, due to greater aeration of their soils (Tauchnitz et al. 2008). </t>
  </si>
  <si>
    <t>Wider bands of vegetation represent more biomass to be sequestered, and are more effective in trapping organic matter carried to the wetland by upland runoff or tidal currents.</t>
  </si>
  <si>
    <t>Among tidal wetlands, annual production of vascular plants tends to be greater in brackish or fresh parts of estuaries, so more carbon may be available for export.  Wetlands lower in an estuary may experience stronger tides, currents, and wave action which facilitates carbon export to nearby marine waters.</t>
  </si>
  <si>
    <t>Wetlands lower in an estuary may experience stronger tides, currents, and wave action which facilitates carbon export to nearby marine waters. However, productivity may be less than in fresher upriver parts of the estuary.</t>
  </si>
  <si>
    <t>Plant production from low marsh elevations is more likely to be exported due to longer inundation times.  However, intermediate marsh elevations may support greater productivity.</t>
  </si>
  <si>
    <t>Steeper gradients imply a greater likelihood that whatever organic matter is produced will be transported offsite.</t>
  </si>
  <si>
    <t>Annual export of accumulated organic matter to downslope water bodies is greater in wetlands with outlets, especially those with persistent outflow.  Nonetheless, even wetlands that lack outlets may export variable amounts of dissolved carbon via subsurface infiltration and "pipes" created by decayed subsurface peat and this cannot be evaluated in a rapid assessment.</t>
  </si>
  <si>
    <t>Narrow outlets limit water outflow from a wetland and its downstream or downslope movement, thus limiting export of organic matter. The types of outlets described here are ones that typically are more constricted than natural channels, which usually have adjusted over time to local tidal regimes and thus are wider relative to volume of flow received.</t>
  </si>
  <si>
    <t>Channels increase the edge length between vegetation and water, and thus provide a mode for transporting organic matter out of a wetland.</t>
  </si>
  <si>
    <t>Water energy capable of exporting organic matter from wetlands is often greatest where tidal wetlands are intersected by tributaries or are bordered on their upslope side by freshwater wetlands.</t>
  </si>
  <si>
    <t>Steeper tributaries increase the energy available in a tidal wetland for exporting the wetland's organic matter.</t>
  </si>
  <si>
    <t>Water energy capable of exporting organic matter from wetlands is greatest where tidal wetlands are located on shorelines with more wave exposure.</t>
  </si>
  <si>
    <t>Where a large portion of the water surface is overhung by vegetation, this implies greater opportunity for plant material to fall into the water and be exported downcurrent.</t>
  </si>
  <si>
    <t>In general, macroalgae and eelgrass tend to be less productive than other plant forms.  Herbaceous plants are highly productive in tidal settings.  In tidal wetlands, woody plants may produce less carbon per unit area than herbaceous plants, but do so for longer periods of time.</t>
  </si>
  <si>
    <t xml:space="preserve">Moss wetlands (peatlands) tend to have relatively low productivity and rates of carbon sequestration.  Peatlands and forested wetlands also tend to have lower methane emissions than fens, marshes, and other wetlands with standing surface water for longer periods (Liblik et al. 1997). Methane emissions are especially large from wetlands that are fertile and have plants partially submerged in water for long periods (Hines et al. 2008).  </t>
  </si>
  <si>
    <t>More persistent flows of polluted water into the AA increase the risk of exposure to toxic substances.</t>
  </si>
  <si>
    <t>The most diverse invertebrate communities may occur where there exists a spatial continuum of salinity and inundation regimes, as is likely to occur where tidal wetlands adjoin nontidal wetlands or contain freshwater tributaries.</t>
  </si>
  <si>
    <t>Populations of some native invertebrates could be displaced by exotic species.  Those are often associated with increased traffic of boats, especially those that have traveled from distant regions of similar latitude.</t>
  </si>
  <si>
    <t>Overhanging vegetation provides organic matter (detritus) that helps support a greater biomass and diversity of aquatic invertebrates.</t>
  </si>
  <si>
    <t>Different invertebrate groups thrive on different food sources, which correlate with vegetation forms. Thus, a variety of vegetation groups promotes greater invertebrate richness for the wetland as a whole.</t>
  </si>
  <si>
    <t>Tidal wetlands that are richer in plant species can be assumed to also be richer in invertebrate species, because many invertebrates require a variety of sources of food and cover.</t>
  </si>
  <si>
    <t>Large woody debris in channels provides vertical attachment surfaces that support greater total invertebrate biomass.</t>
  </si>
  <si>
    <t>Although important to clams and some burrowing invertebrates, sand substrates tend to be less stable and usually support lower biomass and diversity of tidal invertebrates, compared with other substrates.</t>
  </si>
  <si>
    <t>Function Score for Feeding Waterbird Habitat</t>
  </si>
  <si>
    <t>Values Score for Feeding Waterbird Habitat</t>
  </si>
  <si>
    <t>Function Score for Nesting Waterbird Habitat</t>
  </si>
  <si>
    <t>Values Score for Nesting Waterbird Habitat</t>
  </si>
  <si>
    <t>Fish access to wetlands is better if an outlet is present and outflows from the wetland are persistent. Although isolated wetlands with persistent surface water can support some anadromous fish, a permanent connection to other surface waters increases the ability of fish to move among wetlands and other surface waters in search of food and other needs. Connectivity between tributaries and more permanent mainstem streams is important to several native fish.</t>
  </si>
  <si>
    <t xml:space="preserve">Life histories of anadromous fish are closely synchronized to natural hydrologic patterns. Wetlands where that has been disrupted will have lower capacity to support anadromous fish. </t>
  </si>
  <si>
    <t>Wetlands that are never inundated cannot directly support anadromous fish, and ones that are inundated for just a few days only allow brief opportunities for anadromous fish to visit and feed.  Those periods, however, may be critically important.</t>
  </si>
  <si>
    <t>Especially in riverine wetlands, groundwater (hyporheic flow) that discharges into wetlands is extremely important to salmonids because of its cooler temperature.  However, in some instances groundwater is deficient in oxygen critical to salmonids.  Groundwater influx is sometimes indicated by an orange stain, indicating the presence of iron oxidizing bacteria (Dickman &amp; Rygiel 1998).</t>
  </si>
  <si>
    <t>Non-native fish, once they invade a wetland, compete with and prey upon some anadromous species.  Carp are especially detrimental so they are assessed separately.</t>
  </si>
  <si>
    <t xml:space="preserve">Streams adjoined by natural vegetation provide shade that helps maintain water temperature, as well as supporting richer and healthier aquatic invertebrate communities.  The same should be true of anadromous fish in wetlands. </t>
  </si>
  <si>
    <t>Even when not immediately adjoining fish-occupied waters, perennial vegetation helps maintain or cool the temperature of runoff and processes pollutants before they reach occupied waters.</t>
  </si>
  <si>
    <t>Forest cover in particular helps maintain or cool the temperature of runoff and processes pollutants before they reach occupied waters.</t>
  </si>
  <si>
    <t>In the Seattle area, coho salmon were dominant only in streams whose contributing areas contained less than 5% impervious surface. Coho were essentially absent from streams draining areas with more than 35% impervious surfaces (May et al. 1997).</t>
  </si>
  <si>
    <t>Presence of contaminant sources suggests the potential for long-term harm to anadromous fish populations.</t>
  </si>
  <si>
    <t>Presence of large sources of sediment suggests the potential for long-term harm to spawing and rearing areas for anadromous fish.</t>
  </si>
  <si>
    <t>This is the most reliable predictor of salmon use in the vicinity, although not necessarily of a specific wetland.  Regardless of the accessibility and quality of a wetland, if anadromous fish cannot access the larger watershed of which it is a part, the wetland will be unable to currently support anadromous fish.</t>
  </si>
  <si>
    <t>Wetlands flooded at high tide provide a large amount of invertebrate foods for anadromous fish.  Width is an indicator of their extent.</t>
  </si>
  <si>
    <t>More frequent tidal connections support greater opportunity for anadromous fish to use tidal wetlands.</t>
  </si>
  <si>
    <t>Large woody debris helps protect young fish from aerial predators and strong currents.</t>
  </si>
  <si>
    <t xml:space="preserve">Waters adjoined by extensive perennial vegetation support a greater abundance of insects important to foraging juvenile salmonids.  </t>
  </si>
  <si>
    <t>The most durable surface water connection (outlet channel, ditch, tidegate, pipe, overbank water exchange) between the AA and marine waters, which allows fish passage, is:</t>
  </si>
  <si>
    <t xml:space="preserve">Wetlands lower in a river basin are closer to marine waters and are more likely to have flows that allow them to be constantly accessible to anadromous fish. Aquatic productivity also tends to be higher due to the associated milder temperatures, less acidic conditions (Eilers et al. 1993), and higher fertility.  However, thermal stress, contaminants, and competing non-native fish are also more prevalent lower in a river basin. </t>
  </si>
  <si>
    <t>Fish are valued as a key food for many waterbird species.</t>
  </si>
  <si>
    <t xml:space="preserve">Corridors of perennial vegetation that connect wetlands help protect pond-breeding amphibians during their nonbreeding phase as they disperse to other wetlands.  In B.C., scattered tree patches of 2.0 to 3.7 acres, preferably in stream locations, were the minimum needed to allow successful overland passage of one frog species (Chan-McLeod &amp; Moy 2007). </t>
  </si>
  <si>
    <t>Although many frogs and turtles benefit from warmer temperatures associated with sparser ground cover within a wetland, dense ground cover provides better protection from predators and maintains a moist microclimate.  Thus, intermediate levels are scored highest.</t>
  </si>
  <si>
    <r>
      <t xml:space="preserve">Humans visiting wetlands commonly bring dogs, which are known to prey on native turtles and frogs.  Increased visitation by humans and pets can increase the spread of </t>
    </r>
    <r>
      <rPr>
        <i/>
        <sz val="10"/>
        <rFont val="Arial Narrow"/>
        <family val="2"/>
      </rPr>
      <t>Batrachochytrium dendrobatidis</t>
    </r>
    <r>
      <rPr>
        <sz val="10"/>
        <rFont val="Arial Narrow"/>
        <family val="2"/>
      </rPr>
      <t xml:space="preserve"> (BD), a fungus lethal to many amphibians.</t>
    </r>
  </si>
  <si>
    <t>When vegetation height is reduced by grazing or mowing throughout a wetland, cover that maintains a moist wetland microclimate and helps protect adult amphibians from predators is reduced.</t>
  </si>
  <si>
    <t>Humans visiting wetlands commonly bring dogs, which potentially harass waterbirds, and human presence can attract crows and ravens, which prey on nests. Even the simple presence of people on foot and without dogs will cause many waterbirds to take flight. Repeated intrusions that drain the energy of waterbirds are especially damaging during the period when adult birds are searching for food to feed their young, or are making short stops during long intercontinental migrations.</t>
  </si>
  <si>
    <t xml:space="preserve">See above. </t>
  </si>
  <si>
    <t>Most N removal occurs at the interface of oxic and anoxic surfaces.  Those conditions are most likely to occur at the transition between wetland and upland.  Thus, longer edge to area ratio suggests the potential for more N removal per unit area.</t>
  </si>
  <si>
    <t>Tidal Wetland (TidalT)</t>
  </si>
  <si>
    <t>&lt;0.01 acre (&lt; 400 sq.ft) or none.</t>
  </si>
  <si>
    <r>
      <t xml:space="preserve">Within parts of the AA having herbaceous cover (excluding SAV), the areal cover of </t>
    </r>
    <r>
      <rPr>
        <b/>
        <sz val="10"/>
        <rFont val="Arial Narrow"/>
        <family val="2"/>
      </rPr>
      <t>forbs</t>
    </r>
    <r>
      <rPr>
        <sz val="10"/>
        <rFont val="Arial Narrow"/>
        <family val="2"/>
      </rPr>
      <t xml:space="preserve"> reaches an annual maximum of:</t>
    </r>
  </si>
  <si>
    <t xml:space="preserve">&lt;5% of the herbaceous part of the AA. </t>
  </si>
  <si>
    <t>Wetlands in regions with shorter growing seasons may be more sensitive because they are ice-covered for longer and plant growth is slower.</t>
  </si>
  <si>
    <t>Loamy: includes silt, silt loam, loam, sandy loam.</t>
  </si>
  <si>
    <t>There are NO other wetlands.</t>
  </si>
  <si>
    <t>There are other wetlands (or a wetland), and ALL are connected to the AA by the type of corridor described.</t>
  </si>
  <si>
    <t>There are other wetlands (or a wetland), and ONE or MORE (but not all) are connected to the AA by the type of corridor described.</t>
  </si>
  <si>
    <t/>
  </si>
  <si>
    <t>Distance to Extensive Perennial Cover (DistPerCov)</t>
  </si>
  <si>
    <t>Distance to Tidal Waters (DistTidal)</t>
  </si>
  <si>
    <t>Distance to Ponded Water (DistPond)</t>
  </si>
  <si>
    <t>Distance to Herbaceous Open Land (DistOpenL)</t>
  </si>
  <si>
    <t>Distance to Nearest Busy Road (DistRd)</t>
  </si>
  <si>
    <t>Size of Largest Nearby Patch of Perennial Cover (SizePerenn)</t>
  </si>
  <si>
    <t>Wetland Type Local Uniqueness (UniqPatch)</t>
  </si>
  <si>
    <t>Perennial Cover Percentage (PerCovPct)</t>
  </si>
  <si>
    <t>Forest Percentage (ForestPct)</t>
  </si>
  <si>
    <t>Herbaceous Open Land Percentage (OpenLpct)</t>
  </si>
  <si>
    <t>Non-anadromous Fish Species of Conservation Concern (RareFR)</t>
  </si>
  <si>
    <t>Amphibian or Reptile of Conservation Concern (AmphRare)</t>
  </si>
  <si>
    <t>Feeding (Non-breeding) Waterbird Species of Conservation Concern (RareWBF)</t>
  </si>
  <si>
    <t>Nesting Waterbird Species of Conservation Concern (RareWBN)</t>
  </si>
  <si>
    <t>Invertebrate Species of Conservation Concern (RareInvert)</t>
  </si>
  <si>
    <t>Historically Lacking Trees (HistVeg)</t>
  </si>
  <si>
    <t>Floodable Property (FloodProp)</t>
  </si>
  <si>
    <t>Type of Flood Damage (DamageType)</t>
  </si>
  <si>
    <t>Input Water - Recognized Quality Issues (WQin)</t>
  </si>
  <si>
    <t>Downslope Water Quality Issues (ContamDown)</t>
  </si>
  <si>
    <t>Drinking Water Source (DEQ) (DWsource)</t>
  </si>
  <si>
    <t>Groundwater Risk Designations (GWrisk)</t>
  </si>
  <si>
    <t>Relative Elevation in Watershed (Elev)</t>
  </si>
  <si>
    <t>Runoff Contributing Area (RCA) - Wetland as % of (WetPctRCA)</t>
  </si>
  <si>
    <t>Unvegetated % in the RCA (ImpervRCA)</t>
  </si>
  <si>
    <t>Upslope Soil Erodibility Risk (ErodeUp)</t>
  </si>
  <si>
    <t>Transport From Upslope (TransRCA)</t>
  </si>
  <si>
    <t>Unvegetated % in the SCA (ImpervSCA)</t>
  </si>
  <si>
    <t>Upland Edge Shape Complexity (EdgeShape)</t>
  </si>
  <si>
    <t>Zoning (Zoning)</t>
  </si>
  <si>
    <t>Growing Degree Days (GDD)</t>
  </si>
  <si>
    <t>Flooded Persistently - % of AA (PermW)</t>
  </si>
  <si>
    <t>Water Regime (Hydropd)</t>
  </si>
  <si>
    <t>Ponded Open Water Distribution - (Driest)  (WaterMixDry)</t>
  </si>
  <si>
    <t>Width of Vegetated Zone (Driest)  (WidthDry)</t>
  </si>
  <si>
    <t>Floating Algae &amp; Duckweed (Algae)</t>
  </si>
  <si>
    <t xml:space="preserve">Floating-leaved &amp; Submerged Aquatic Vegetation (SAV)  </t>
  </si>
  <si>
    <t>Beaver (Beaver)</t>
  </si>
  <si>
    <t>Isolated Island (Island)</t>
  </si>
  <si>
    <t>Depth Class (Predominant)  (DepthDom)</t>
  </si>
  <si>
    <t>Depth Class Distribution (DepthEven)</t>
  </si>
  <si>
    <t>Outflow Duration (OutDura)</t>
  </si>
  <si>
    <t>Outflow Confinement (Constric)</t>
  </si>
  <si>
    <t>Input Channel Gradient (SlopeInChan)</t>
  </si>
  <si>
    <t>Ice-free (IceDura)</t>
  </si>
  <si>
    <t>Fish &amp; Waterborne Pests (FishAcc)</t>
  </si>
  <si>
    <t>Non-native Aquatic Animals (PestAnim)</t>
  </si>
  <si>
    <t>Salinity, Alkalinity, Conductance (Salin)</t>
  </si>
  <si>
    <t>% Emergent Plants (EmPct)</t>
  </si>
  <si>
    <t>Emergent Plants -- Area (EmArea)</t>
  </si>
  <si>
    <t>Mowing, Grazing, Fire (VegCut)</t>
  </si>
  <si>
    <t>Moss Wetland (Moss)</t>
  </si>
  <si>
    <t>Shorebird Feeding Habitats (Shorebd)</t>
  </si>
  <si>
    <t>Internal Gradient (Gradient)</t>
  </si>
  <si>
    <t>Unshaded Herbaceous Vegetation (Extent)  (HerbExpos)</t>
  </si>
  <si>
    <t>Forb Cover (Forb)</t>
  </si>
  <si>
    <t>Species Dominance - Herbaceous (HerbDom)</t>
  </si>
  <si>
    <t>Woody Extent (WoodyPct)</t>
  </si>
  <si>
    <t>Woody Diameter Classes (TreeDiams)</t>
  </si>
  <si>
    <t>Snags (Snags)</t>
  </si>
  <si>
    <t>Downed Wood (WoodDown)</t>
  </si>
  <si>
    <t>Abovewater Wood (WoodOver)</t>
  </si>
  <si>
    <t>N Fixers (Nfix)</t>
  </si>
  <si>
    <t>Wetland Type of Conservation Concern (RareType)</t>
  </si>
  <si>
    <t>Upland Perennial Cover - % of Perimeter (PerimPctPer)</t>
  </si>
  <si>
    <t>Upland Perennial Cover - Width (Buffer)  (BuffWidth)</t>
  </si>
  <si>
    <t>Upland Trees as % of All Perennial Cover (UpTreePctPer)</t>
  </si>
  <si>
    <t>Weeds - % of Upland Edge (UpWeed)</t>
  </si>
  <si>
    <t>Bare Ground &amp; Accumulated Plant Litter (Gcover)</t>
  </si>
  <si>
    <t>Cliffs or Banks (Cliff)</t>
  </si>
  <si>
    <t>Ownership (Ownership)</t>
  </si>
  <si>
    <t>Conservation Investment (ConsInvest)</t>
  </si>
  <si>
    <t>Special Protected Area Designation (Desig)</t>
  </si>
  <si>
    <t>Sustained Scientific Use (SciUse)</t>
  </si>
  <si>
    <t>Visibility (Visibil)</t>
  </si>
  <si>
    <t>Non-consumptive Uses - Actual or Potential (RecPoten)</t>
  </si>
  <si>
    <t>Core Area 1 (VisitNo)</t>
  </si>
  <si>
    <t>Core Area 2 (VisitOften)</t>
  </si>
  <si>
    <t>Consumptive Uses (Provisioning Services)  (Hunt)</t>
  </si>
  <si>
    <t>Domestic Wells (Wells)</t>
  </si>
  <si>
    <t>Accelerated Inputs of Nutrients (NutrLoad)</t>
  </si>
  <si>
    <t>Salinity (SalinT)</t>
  </si>
  <si>
    <t>Low Marsh (LowMarshT)</t>
  </si>
  <si>
    <t>Width of Vegetated Zone at Daily High Tide (WidthHiT)</t>
  </si>
  <si>
    <t>Width of Vegetated Zone at Daily Low Tide (WidthLoT)</t>
  </si>
  <si>
    <t>Internal Gradient (GradientT)</t>
  </si>
  <si>
    <t>Outflow Duration (OutDuraT)</t>
  </si>
  <si>
    <t>Outflow Confinement (ConstricT)</t>
  </si>
  <si>
    <t>Waves (WavesT)</t>
  </si>
  <si>
    <t>Shorebird Feeding Area (ShorebdT)</t>
  </si>
  <si>
    <t>Waterborne Pests (AqPestT)</t>
  </si>
  <si>
    <t>Overhanging Vegetation at High Tide (ShadeHiT)</t>
  </si>
  <si>
    <t>Overhanging Vegetation at Low Tide (ShadeLoT)</t>
  </si>
  <si>
    <t>Vegetation Forms Significantly Present (VegformsT)</t>
  </si>
  <si>
    <t>Vegetation Form- Predominant (VegFormDomT)</t>
  </si>
  <si>
    <t>Vegetation Form Diversity (VegFormDivT)</t>
  </si>
  <si>
    <t>Species Dominance (VegSpDomT)</t>
  </si>
  <si>
    <t>Emergent Plants -- Area (EmAreaT)</t>
  </si>
  <si>
    <t>Forb Cover (ForbT)</t>
  </si>
  <si>
    <t>Invasive or Non-native - % of Herbaceous Area (InvasT)</t>
  </si>
  <si>
    <t>Driftwood (DriftwoodT)</t>
  </si>
  <si>
    <t>Large Woody Debris (LwdT)</t>
  </si>
  <si>
    <t>Upland Perennial Cover - % of AA's Edge (PerimPctPerT)</t>
  </si>
  <si>
    <t>Upland Perennial Cover - Width (Buffer)  (BuffWidthT)</t>
  </si>
  <si>
    <t>Mowing or Grazing (VegCutT)</t>
  </si>
  <si>
    <t>Bare Ground &amp; Accumulated Plant Litter (GcoverT)</t>
  </si>
  <si>
    <t>Ground Irregularity (GirregT)</t>
  </si>
  <si>
    <t>Flight Hazards (FlightHazT)</t>
  </si>
  <si>
    <t>Non-consumptive Uses - Actual or Potential (RecPotenT)</t>
  </si>
  <si>
    <t>Consumptive Uses (Provisioning Services) (UsesT)</t>
  </si>
  <si>
    <t>Ownership (OwnershipT)</t>
  </si>
  <si>
    <t>Conservation Investment (ConsInvestT)</t>
  </si>
  <si>
    <t>Compensation Wetland (MitWetT)</t>
  </si>
  <si>
    <t>Sustained Scientific Use (SciUseT)</t>
  </si>
  <si>
    <t>Wetland Type of Conservation Concern (RareTypeT)</t>
  </si>
  <si>
    <t>Blind Channels - total length and branching (BlindChT)</t>
  </si>
  <si>
    <t>Tidal-Nontidal Hydro- connectivity (TnonT)</t>
  </si>
  <si>
    <t>Compensation Wetland (MitWet)</t>
  </si>
  <si>
    <t>Core Area 1 (VisitNoT)</t>
  </si>
  <si>
    <t>Core Area 2 (VisitOftenT)</t>
  </si>
  <si>
    <t>Distance to Lake (DistLake)</t>
  </si>
  <si>
    <t>Landscape Wetland Connectivity (ConnScapeW)</t>
  </si>
  <si>
    <t>Local Wetland Connectivity (ConnLocalW)</t>
  </si>
  <si>
    <t>Conservation Designations of the AA or Local Area (ConDesig)</t>
  </si>
  <si>
    <t>Wetland Number &amp; Diversity Uniqueness (HUCbest)</t>
  </si>
  <si>
    <t>Streamflow Contributing Area (SCA) - Wetland as % of (WetPctSCA)</t>
  </si>
  <si>
    <t>Throughflow Complexity (ThruFlo)</t>
  </si>
  <si>
    <t>Estuarine Position (EstPosT)</t>
  </si>
  <si>
    <t>Plant Species of Conservation Concern (RarePspp)</t>
  </si>
  <si>
    <t>Maintained roads, parking areas, or foot-trails are within 30 ft of the AA, or the AA can be accessed most of the year by boat.</t>
  </si>
  <si>
    <t>Water Storage &amp; Delay</t>
  </si>
  <si>
    <t>The effectiveness for maintaining or reducing summertime water temperature, and in some cases, for moderating winter water temperature.</t>
  </si>
  <si>
    <t>Sediment Retention &amp; Stabilization</t>
  </si>
  <si>
    <t>The effectiveness for intercepting and filtering suspended inorganic sediments, thus allowing their deposition, as well as reducing energy of waves and currents, resisting excessive erosion, and stabilizing underlying sediments or soil.</t>
  </si>
  <si>
    <t>The effectiveness for retaining phosphorus for long periods (&gt;1 growing season) as a result of chemical adsorption, or from translocation by plants to belowground zones with less potential for physically or chemically  remobilizing phosphorus into the water column.</t>
  </si>
  <si>
    <t xml:space="preserve">Nitrate Removal &amp; Retention </t>
  </si>
  <si>
    <t xml:space="preserve">The effectiveness for retaining both incoming particulate and dissolved carbon, and through the photosynthetic process converting carbon dioxide gas to organic matter (particulate or dissolved), and then retaining that organic matter on a net annual basis for long periods while emitting little or no methane (a potent “greenhouse gas”).  </t>
  </si>
  <si>
    <t>Carbon Sequestration</t>
  </si>
  <si>
    <t xml:space="preserve">The effectiveness for producing and subsequently exporting organic matter, either particulate or dissolved.
</t>
  </si>
  <si>
    <t xml:space="preserve">The capacity to support an abundance and diversity of invertebrate animals which spend all or part of their life cycle underwater or in moist soil.  Includes dragonflies, midges, crabs, clams, snails, water beetles, shrimp, aquatic worms, and others important to supporting salmon and other species.  
</t>
  </si>
  <si>
    <t xml:space="preserve">The capacity to support an abundance of native anadromous fish (chiefly salmonids) for functions other than spawning.  </t>
  </si>
  <si>
    <t>Anadromous Fish Habitat</t>
  </si>
  <si>
    <t>Resident Fish Habitat</t>
  </si>
  <si>
    <t xml:space="preserve">The capacity to support an abundance and diversity of feeding waterbirds, primarily outside of the usual nesting season.  </t>
  </si>
  <si>
    <t>Waterbird Feeding Habitat</t>
  </si>
  <si>
    <t>Waterbird Nesting Habitat</t>
  </si>
  <si>
    <t>Songbird, Raptor, &amp; Mammal Habitat</t>
  </si>
  <si>
    <t>The capacity to support a diversity of native, hydrophytic, vascular plant species, communities, and/or functional groups, at either the site scale or through contribution to regional-scale native plant diversity.</t>
  </si>
  <si>
    <t>The capacity to support pollinating insects, such as bees, wasps, butterflies, moths, flies, and beetles.</t>
  </si>
  <si>
    <t>Pollinator Habitat</t>
  </si>
  <si>
    <t>Public Use &amp; Recognition</t>
  </si>
  <si>
    <t>Prior designation of the wetland, by a natural resource or environmental protection agency, as some type of special protected area.  Also, the potential and actual use of a wetland for low-intensity outdoor recreation, education, or research.</t>
  </si>
  <si>
    <t xml:space="preserve">A wetland's lack of intrinsic resistance and resilience to human and natural stressors (higher score = more sensitive).
</t>
  </si>
  <si>
    <t>WETLAND SENSITIVITY</t>
  </si>
  <si>
    <t>Wetland Ecological Condition</t>
  </si>
  <si>
    <t>The degree to which the wetland is or has recently been altered by, or exposed to risk from, primarily human-related factors capable of reducing one or more of its functions.</t>
  </si>
  <si>
    <t>Score for Wetland Ecological Condition</t>
  </si>
  <si>
    <t>Redox</t>
  </si>
  <si>
    <t>NOTE: No indicators addressing VALUES of this function are currently proposed because its benefits are diffused throughout the entire planet.</t>
  </si>
  <si>
    <t>NOTE: No indicators addressing VALUES of this function are proposed because its benefits are diffused throughout all receiving water bodies.</t>
  </si>
  <si>
    <t>Function Score for Anadromous Fish Habitat</t>
  </si>
  <si>
    <t>Values Score for Anadromous Fish Habitat</t>
  </si>
  <si>
    <t>The capacity to support an abundance and diversity of native songbird, raptor, and mammal species and functional groups, especially those that are most dependent on wetlands or water.  Examples include marsh wren, northern harrier, muskrat.</t>
  </si>
  <si>
    <t>The integrity or health of a wetland, as defined operationally by its vegetation composition.  More broadly, the similarity of a wetland's structure, composition, and function with that of reference a wetland of the same type and landscape setting, operating within the bounds of natural or historical disturbance regimes.</t>
  </si>
  <si>
    <t>The capacity to support an abundance and diversity of native non-anadromous fish (both resident and visiting species).  Accurate rapid indicators could not be identified for tidal wetlands.</t>
  </si>
  <si>
    <t>Subsurface</t>
  </si>
  <si>
    <t xml:space="preserve"> </t>
  </si>
  <si>
    <t xml:space="preserve">The effectiveness for retaining particulate nitrate and converting soluble nitrate and ammonium to nitrogen gas, primarily through the microbial process of denitrification, while generating little or no nitrous oxide (a potent “greenhouse gas”).  </t>
  </si>
  <si>
    <t>Function Subindices</t>
  </si>
  <si>
    <t>Cool Water</t>
  </si>
  <si>
    <t>Duration of Connection Beween Problem Area &amp; the AA (ConnecUp)</t>
  </si>
  <si>
    <t>The capacity to support an abundance and diversity of wetland-breeding waterbirds, such as ducks, grebes, bitterns, and rails. No model is provided for tidal wetlands because waterbirds in Oregon seldom nest in them.</t>
  </si>
  <si>
    <t>Tidal</t>
  </si>
  <si>
    <t>Subindices</t>
  </si>
  <si>
    <t>Score for Public Use &amp; Recognition</t>
  </si>
  <si>
    <t>Disturbance Stressors</t>
  </si>
  <si>
    <t>Hydrologic Stressors</t>
  </si>
  <si>
    <t>Water QualityStressors</t>
  </si>
  <si>
    <t>Species Conservation Scores</t>
  </si>
  <si>
    <t>In the future, the need for (and value of) water storage provided by wetlands may increase the most where zoning allows higher-intensity development, because such development typically alters the amount, rate, and/or timing of water delivered downslope.</t>
  </si>
  <si>
    <t xml:space="preserve">&lt;5% of the vegetated AA, but more than 10 trees are present. </t>
  </si>
  <si>
    <t>Score for Songbird, Raptor, and Mammal Habitat Function</t>
  </si>
  <si>
    <t>Score for Pollinator Habitat Function</t>
  </si>
  <si>
    <t>Neither of above.  There are 3 or more depth classes and none occupy &gt;50%.</t>
  </si>
  <si>
    <t>Parts of wetlands that remain flooded most of the time will support fewer small mammals and songbirds. However, wetlands with at least a little persistent water are important to aerially-foraging swallows, swifts, and flycatchers, as well as bats, muskrat, beaver, moose, and many other mammals.</t>
  </si>
  <si>
    <t>Wetlands comprised almost entirely of persistent water usually have much less vegetation cover, so fewer plants per unit area are available to pollinators.</t>
  </si>
  <si>
    <t>T47</t>
  </si>
  <si>
    <t>Special Protected Area Designation (DesigT)</t>
  </si>
  <si>
    <r>
      <t xml:space="preserve">Water Inputs </t>
    </r>
    <r>
      <rPr>
        <b/>
        <sz val="10"/>
        <rFont val="Arial Narrow"/>
        <family val="2"/>
      </rPr>
      <t>(Yield1)</t>
    </r>
  </si>
  <si>
    <r>
      <t xml:space="preserve">Flood Damage </t>
    </r>
    <r>
      <rPr>
        <b/>
        <sz val="10"/>
        <rFont val="Arial Narrow"/>
        <family val="2"/>
      </rPr>
      <t>(Fdam1)</t>
    </r>
  </si>
  <si>
    <t>Not applicable.  All of the AA is inundated throughout most years.</t>
  </si>
  <si>
    <t xml:space="preserve">Denitrification rates are often limited by the amount of available carbon. Organic soils have the most carbon, and coarse soils usually have the least. Denitrification enzyme activity, on a per gram basis, is typically greater in organic soils than mineral soils (Van Hoewyk et al. 2000). However, the acidic nature of many organic soils can limit denitrification, the major process for nitrate removal. Soils having less than 65% silt and clay have very limited capacity to remove nitrate via denitrification (Pinay et al. 2003). Clay soils retain moisture better, which enhances anaerobic processes and denitrification.  Emissions of nitrous oxide (a detrimental greenhouse gas) are most likely to occur in soils that are poor in organic matter but rich in nitrogen (e.g., the carbon-nitrogen ratio is less than 25, Hunt et al. 2007). </t>
  </si>
  <si>
    <t>River Proximity (RiverProx)</t>
  </si>
  <si>
    <t>Hydrologic Connectivity</t>
  </si>
  <si>
    <t>Live Storage</t>
  </si>
  <si>
    <t>Adsorption</t>
  </si>
  <si>
    <t>Desorption</t>
  </si>
  <si>
    <t>Larger contributing areas, relative to size of a wetland, provide greater opportunity for delivery of more sediment, and thus sediment-retaining wetlands in such settings may provide more benefits.</t>
  </si>
  <si>
    <t>Waves and boat wakes erode shorelines.  Wetlands that are in a position to intercept these have greater opportunity to maintain stable shorelines, with potential benefits related to shoreline infrastructure protection.</t>
  </si>
  <si>
    <t xml:space="preserve">Interception and/or Erosion Resistance </t>
  </si>
  <si>
    <t>Organic Content</t>
  </si>
  <si>
    <t>Generally correlated with salinity.  See below.</t>
  </si>
  <si>
    <t>Restored Wetland (RestoredT)</t>
  </si>
  <si>
    <t>Wetlands lower in watersheds experience more water flow and consequently greater export of organic matter (Fitzgerald et al. 2003). They also are likely to have shorter duration of ice cover that otherwise potentially impedes export. However, in some situations ice may scour vegetation and thus facilitate export of organic matter.</t>
  </si>
  <si>
    <t>Stressors (Lack of)</t>
  </si>
  <si>
    <t>Landscape Functional Deficit (GISscore)</t>
  </si>
  <si>
    <t>Water Regime (Hydro)</t>
  </si>
  <si>
    <t>Complex microtopography supports diverse water regimes and provides more extensive habitat for small mammals and some songbirds.</t>
  </si>
  <si>
    <t>The model considers that if moss is present, it decreases the score, but if absent it is considered to have no effect on the score for feeding waterbirds.</t>
  </si>
  <si>
    <t>Ground Irregularity (Girreg)</t>
  </si>
  <si>
    <t>Songbird, Raptor, Mammal Species of Conservation Concern (RareSBM)</t>
  </si>
  <si>
    <r>
      <t xml:space="preserve">Ponded Open Water </t>
    </r>
    <r>
      <rPr>
        <b/>
        <sz val="10"/>
        <rFont val="Arial Narrow"/>
        <family val="2"/>
      </rPr>
      <t>Area</t>
    </r>
    <r>
      <rPr>
        <sz val="10"/>
        <rFont val="Arial Narrow"/>
        <family val="2"/>
      </rPr>
      <t xml:space="preserve"> (Driest)  (OWareaDry)</t>
    </r>
  </si>
  <si>
    <r>
      <t xml:space="preserve">Ponded Open Water </t>
    </r>
    <r>
      <rPr>
        <b/>
        <sz val="10"/>
        <rFont val="Arial Narrow"/>
        <family val="2"/>
      </rPr>
      <t>Distribution</t>
    </r>
    <r>
      <rPr>
        <sz val="10"/>
        <rFont val="Arial Narrow"/>
        <family val="2"/>
      </rPr>
      <t xml:space="preserve"> - Wettest  (WaterMixWet)</t>
    </r>
  </si>
  <si>
    <t>Width of Vegetated Zone - Wettest  (WidthWet)</t>
  </si>
  <si>
    <t>Water Shading by AA's Woody Vegetation - Driest  (WoodyDryShade)</t>
  </si>
  <si>
    <t>Convenience &amp; Outputs</t>
  </si>
  <si>
    <r>
      <rPr>
        <b/>
        <sz val="10"/>
        <rFont val="Arial Narrow"/>
        <family val="2"/>
      </rPr>
      <t>IF((Tidal</t>
    </r>
    <r>
      <rPr>
        <sz val="10"/>
        <rFont val="Arial Narrow"/>
        <family val="2"/>
      </rPr>
      <t xml:space="preserve">=1), MAX(DesigT,MitWetT,ConsInvestT,SciUseT), </t>
    </r>
    <r>
      <rPr>
        <b/>
        <sz val="10"/>
        <rFont val="Arial Narrow"/>
        <family val="2"/>
      </rPr>
      <t>ELSE:</t>
    </r>
    <r>
      <rPr>
        <sz val="10"/>
        <rFont val="Arial Narrow"/>
        <family val="2"/>
      </rPr>
      <t xml:space="preserve"> MAX(Desig,MitWet,ConsInvest,SciUse))</t>
    </r>
  </si>
  <si>
    <t>(MAX(LowMarshT,WidthHiT,WidthLoT) + AVERAGE(WavesT,SalinT,GcoverT)) /2</t>
  </si>
  <si>
    <t>AVERAGE(WoodyPct,GDD,Groundw)</t>
  </si>
  <si>
    <t>(3*AVERAGE(SoilTex,Moss,EmPct) + AVERAGE(SoilDisturb,NewWet)) /4</t>
  </si>
  <si>
    <t>AVERAGE(GDD,Groundw)</t>
  </si>
  <si>
    <t>AVERAGE(WidthWet,AVERAGE(Gcover,MAX(WoodyPct,EmPct),DepthDom))</t>
  </si>
  <si>
    <t>AVERAGE(SoilTex, Moss)</t>
  </si>
  <si>
    <t>AVERAGE(FrozDur,PlantCov,NutrAvail)</t>
  </si>
  <si>
    <t>AVERAGE(WoodyDryShade,ForestPct,UpTreePctPer, Groundw,Elev)</t>
  </si>
  <si>
    <t>MAX(ConsDesig_ESH, AVERAGE(GISscoreFishV,Zoning,FscoreWBF)))</t>
  </si>
  <si>
    <t>MAX(RareFish, AVERAGE(RareFish,FscoreWBFv,Fishing,Zoning)))</t>
  </si>
  <si>
    <t>AVERAGE(DistOpenL,OpenLpct, UpTreePctPer,PerimPctPer)</t>
  </si>
  <si>
    <t>MAX(RareWBF, ConDesigIBA, AVERAGE(UniqPatch,RareWBF,Visibil,Zoning))</t>
  </si>
  <si>
    <t>MAX(RareWBN, ConDesigIBA, AVERAGE(RareWBN,UniqPatch,GISscoreWBv,Visibil,Arid,Zoning)))</t>
  </si>
  <si>
    <t>AVERAGE(SeasPct,WidthWet, GDD)</t>
  </si>
  <si>
    <t>Fragmentation Stressors</t>
  </si>
  <si>
    <t>Wetlands existing in landscapes whose other wetlands perform this function to only a limited extent may be considered to be more valuable because scarcity typically increases value.</t>
  </si>
  <si>
    <t>Most flooding of property occurs from rivers, so wetlands that retain floodwaters and are next to rivers or part of their floodplain would be expected to be most valuable.</t>
  </si>
  <si>
    <t>Sediment deposition efficiency can be predicted largely by the ratio of the volume of a storage basin to the volume of runoff entering the basin (Heinemann 1981). This indicator addresses the latter, and thus describes opportunity to perform the function.  Wetland area is considered a surrogate for wetland water storage volume.</t>
  </si>
  <si>
    <t>Presence of a longer duration connection can mean that sediment will be provided for longer during the year, thus increasing wetland opportunity to perform the retention function.</t>
  </si>
  <si>
    <t>In the future, the need for (and value of) phosphorus retention as provided by wetlands may increase the most where zoning allows higher-intensity development, because such development often increases nutrient runoff.  Thus, wetlands surrounded by potentially developable lands should be considered more valuable.</t>
  </si>
  <si>
    <t>In the future, the need for (and value of) open space as provided by wetlands may increase the most where zoning allows higher-intensity development, because such development often reduces or impairs open space and recreational opportunities.  Thus, wetlands surrounded by potentially developable lands should be considered more valuable.</t>
  </si>
  <si>
    <t>Wetlands connected for longer to upstream water bodies that are overloaded with suspended sediment have greater potential to influence the sediment and/or toxic substance concentrations in the water they receive from those water bodies.</t>
  </si>
  <si>
    <t>Wetlands connected for longer to upstream water bodies that are overloaded with P have greater potential to influence the P concentrations in the water they receive from those water bodies.</t>
  </si>
  <si>
    <t>Areas with longer growing season, if not subject to frequent drought, may sustain a higher level of productivity overall.</t>
  </si>
  <si>
    <t>Although productivity of herbaceous plants is often greater, woody plants typically store carbon for the longest periods.</t>
  </si>
  <si>
    <t>Denser vegetation, although sometimes less productive than more open patches, typically sequesters a larger proportion of the organic matter produced.</t>
  </si>
  <si>
    <t xml:space="preserve">Aquatic invertebrates produced by wetlands are important foods for animals in  all these other groups.  Thus, invertebrates are potentially more valuable in wetlands having better habitat for those groups. </t>
  </si>
  <si>
    <t>Without access, fish cannot use a wetland.</t>
  </si>
  <si>
    <t>Among anadromous species, salmonids are particularly valued, at least in the Pacific Northwest, so wetlands that may support these species may be considered to be of greater value.</t>
  </si>
  <si>
    <t>Ponded areas tend to be more suitable for wetland-associated amphibians than flowing waters.</t>
  </si>
  <si>
    <t>Because amphibians depend heavily on the presence of many wetlands in close proximity, small watersheds with extensive or numerous wetlands are likely to help support amphibian production in wetlands individually.</t>
  </si>
  <si>
    <t>Wetlands are scarcer in drier parts of the region.  Thus, amphibians there might be assumed to be especially dependent on whatever few wetlands are present, making those wetlands more valuable.</t>
  </si>
  <si>
    <t>Many species shorebirds, ducks, and geese favor wetlands situated in agricultural or other open landscapes, which offer additional foods (e.g., waste grain) and where advancing predators are easier to detect (Lovorrn et al., Taft &amp; Haig 2003).  Although they will fly much farther than 2 miles to reach such areas, 2 miles is used as a practical distance for assessing such features in aerial images.</t>
  </si>
  <si>
    <t>See #14 below.</t>
  </si>
  <si>
    <t>Waterbirds prefer landscapes where multiple wetlands are present in close proximity, so that if birds are disturbed in one area, they can fly to alternate sites that serve as refuge and which may provide different but complementary water regimes and foods.  Although they will fly much farther than 2 miles to reach other wetlands and water bodies (Haig et al. 1997), 2 miles is used as a practical distance for assessing such features in aerial images.</t>
  </si>
  <si>
    <t>Larger ponded areas are preferred by swans, loons, grebes, cormorants, and some other waterbird species.  That is because they provide greater buffer against predators, are more likely to have productive fish populations, and are sufficiently long enough for waterbird species that cannot take flight by leaping directly upward.</t>
  </si>
  <si>
    <t>Non-tidal wetlands located in close proximity to tidal wetlands may receive more waterbird use because they support a complementary variety of foods important to waterbirds, increasing the availability of foods at all times.</t>
  </si>
  <si>
    <t>Feeding waterbirds are supported to a greater degree when large numbers, type diversity, and cumulative area of wetlands are present within a small area.  Birds are more likely to find feeding opportunities and refuge from disturbance somewhere within such complexes for longer periods during migration and winter.</t>
  </si>
  <si>
    <t>Most waterbird species prefer ponded areas, due to usually greater food availability and reduced energy expenditures to maintain position in space.</t>
  </si>
  <si>
    <t>To feed effectively, waterbirds require at least a few inches of water depth.  Tidal wetlands that flood more extensively and for longer during each tidal cycle are thus more likely to support feeding waterbirds.</t>
  </si>
  <si>
    <t>Wider wetlands provide feeding waterbirds with more buffer against disturbances occurring in adjacent uplands.</t>
  </si>
  <si>
    <t>Many wetland birds make greater use of tidal wetlands that are close to non-tidal (generally fresher) wetlands, because they provide fresh drinking water, roosting sites protected from extreme coastal windstorms, and can support amphibians and some fish that do not tolerate saline conditions.</t>
  </si>
  <si>
    <t>Shorebirds are a major component of waterbird diversity, and generally prefer to feed in unvegetated mudflats.</t>
  </si>
  <si>
    <t>The calculation takes into account both the type of forms present and the diversity of these forms present, and considers the two metrics to be of equal importance.</t>
  </si>
  <si>
    <t>Other factors being equal, intertidal emergent wetlands tend to attract a greater density of waterbirds, partly because they are likely to have more habitat niches and provide a larger buffer against disturbance from uplands.</t>
  </si>
  <si>
    <t>Human enjoyment of waterbirds (birding, hunting) is facilitated where wetlands are largely visible from major access points.  This increases the value of any level of feeding waterbird function.</t>
  </si>
  <si>
    <t>This is a direct measure of one way that wetland waterbirds are valued.</t>
  </si>
  <si>
    <t>Moss-dominated wetlands tend to be less fertile and thus may support lower numbers of nesting waterbirds.  However, moss wetlands fringing on lakes can provide important cover for some species.</t>
  </si>
  <si>
    <t>Herbaceous vegetation usually is the most attractive nesting cover for waterbirds.</t>
  </si>
  <si>
    <t>Waterbirds (particularly swans) collide frequently with these features and are killed. The model considers that if such hazards are present, they decrease the score, but if absent they are considered to have no effect on the score for feeding waterbirds.</t>
  </si>
  <si>
    <t>Wetlands are scarcer in drier parts of the region.  Thus, waterbirds nesting in wetlands there might be assumed to be especially dependent on whatever few wetlands are present, making those wetlands more valuable.</t>
  </si>
  <si>
    <t>Perennial cover is essential for concealing the nests of breeding waterbirds, and for sheltering young birds from predation and the elements.  These are the distances at which nests of upland-nesting waterbirds are most often found.</t>
  </si>
  <si>
    <t>Corridors of mostly undisturbed perennial vegetation are essential to the overland movements of some waterfowl hens with their broods.</t>
  </si>
  <si>
    <t>Vegetated buffers that completely encircle wetlands provide visual screening of upland activities that otherwise can disrupt waterbird feeding in some cases.</t>
  </si>
  <si>
    <t>At least for most forest-dwelling bird species, linear clearings should cause no gap in the forest canopy wider than about 100 feet (Belisle &amp; Desrochers 2002, Tremblay &amp; St. Clair 2010) or bird movements will be measurably hindered. The 2 mile scale is more appropriate for raptors and mammals.</t>
  </si>
  <si>
    <t xml:space="preserve">Habitat gaps caused by placement of roads, driveways, or homes – as well as by natural features such as rockslides and wide channels -- can impact movements of mammals and birds (Trombulak &amp; Frissell 2000, Ortega &amp; Capen 2002). This is especially true when the gaps are wider than about 100 feet (Rich et al. 1994, Rail et al. 1997, St. Clair et al. 1998, Belisle &amp; Desrochers 2002, Laurance et al. 2004, Tremblay &amp; St. Clair 2010), and definitely when wider than 200 ft (Creegan &amp; Osborne 2005, Bosschieter &amp; Goedhart 2005, Awade &amp; Metzger 2008, Lees &amp; Peres 2009). Species that prefer low vegetation may be particularly reluctant to cross forest clearings. The presence of small clusters of trees scattered within very wide forest gaps may be sufficient to encourage some forest bird species to cross those gaps (Robertson &amp; Radford 2009). </t>
  </si>
  <si>
    <t>Wetland-dependent songbirds, raptors, and mammals are supported to a greater degree when large numbers, type diversity, and cumulative area of wetlands are present within a small area.  Larger birds are more likely to find feeding opportunities and refuge from disturbance somewhere within such complexes for longer periods.</t>
  </si>
  <si>
    <t>Overgrazing or frequent fire reduces the vertical structural diversity of vegetation in wetlands, and thus can reduce use by some songbirds and mammals.</t>
  </si>
  <si>
    <t>Value generally correlates with scarcity, and these wetland types are among the least common types in the region according to local experts.</t>
  </si>
  <si>
    <t xml:space="preserve">Human enjoyment of songbirds, raptors, and large mammals is facilitated where wetlands are largely visible from major access points. </t>
  </si>
  <si>
    <t>In the future, the need for (and value of) songbird, raptor, and mammal habitat as provided by wetlands may increase the most where zoning allows higher-intensity development, because such development often reduces or impairs this habitat function.  Thus, wetlands surrounded by potentially developable lands could be considered more valuable.</t>
  </si>
  <si>
    <t>In the future, the need for (and value of) waterbird habitat as provided by wetlands may increase the most where zoning allows higher-intensity development, because such development often reduces or impairs waterbird habitat.  Thus, wetlands surrounded by potentially developable lands could be considered more valuable.</t>
  </si>
  <si>
    <t>In the future, the need for (and value of) amphibian habitat as provided by wetlands may increase the most where zoning allows higher-intensity development, because such development often reduces or impairs amphibian habitat.  Thus, wetlands surrounded by potentially developable lands could be considered more valuable.</t>
  </si>
  <si>
    <t>In the future, the need for (and value of) fish habitat as provided by wetlands may increase the most where zoning allows higher-intensity development, because such development often reduces or impairs fish habitat.  Thus, wetlands surrounded by potentially developable lands could be considered more valuable.</t>
  </si>
  <si>
    <t>In the future, the need for (and value of) aquatic invertebrate habitat as provided by wetlands may increase the most where zoning allows higher-intensity development, because such development often reduces habitat.  Thus, wetlands surrounded by potentially developable lands could be considered more valuable.</t>
  </si>
  <si>
    <t>Sustainable use of a wetland's natural resources can be considered to contribute value to the wetland.</t>
  </si>
  <si>
    <t>Many wetland-dependent species require ponded water.  The farther a particular wetland is from such waters, the more sensitive it could be considered to be.</t>
  </si>
  <si>
    <t>A large number and diversity of wetland types provides functional resilience at a watershed scale.  If wetlands are few and mostly similar, any one of those wetlands is likely to be less resilient to stress, slower to be recolonized after disturbance, and thus more sensitive.</t>
  </si>
  <si>
    <t>Presence of any of these species or groups is commonly accepted as evidence that a wetland has been degraded in other ways, e.g., altered water regime.</t>
  </si>
  <si>
    <t>Low marsh contains relatively few insect pollinated plant species, and plants are submerged for long periods.</t>
  </si>
  <si>
    <t>A wider variety of plant species suggests greater availability of pollen and nectar throughout the year.</t>
  </si>
  <si>
    <t>Herbaceous openlands tend to support more forbs that provide pollen to pollinating insects.</t>
  </si>
  <si>
    <t>Perennial cover usually provides more pollen sources than other cover types, and exposure to pesticides is less.</t>
  </si>
  <si>
    <t>Tidal marsh width often correlates with greater extent of high marsh, and high marsh tends to have more forbs important to pollinators than does low marsh.</t>
  </si>
  <si>
    <t>Such areas can provide shelter for pollinator nests and mud for hive construction. If present they contribute positively to the score, but if absent do not detract from it (the spreadsheet sets the score to blank).</t>
  </si>
  <si>
    <t xml:space="preserve">if this is the only wetland that provides habitat suitable to pollinators,the value of whatever habitat it provides to pollinators could be considered to be greater. </t>
  </si>
  <si>
    <t xml:space="preserve">In some cases these designations are partly due to outstanding levels of functions that wetlands provide in supporting biodiversity. </t>
  </si>
  <si>
    <t>Narrow wetlands tend to be more susceptible to erosion from waves and currents.  Their microclimate also is more precarious (Martin &amp; Grotenfendt 2007, Bahuguna et al. 2010), and their wildlife may be more susceptible to predation. In narrow strips or small patches of vegetation, the native plant communities are more vulnerable to invasion from non-native species from adjoining lands (Hennings &amp; Edge 2003).</t>
  </si>
  <si>
    <t>Although not common in most jurisdictional intertidal wetlands, eelgrass tends to be particularly sensitive.  Especially in tidal wetlands, trees and shrubs often survive precariously in this region, and when lost their recolonization and re-establishment time is long.</t>
  </si>
  <si>
    <t xml:space="preserve">Organic soils are particularly sensitive because slight changes in the water table can cause rapid decomposition and/or compaction (subsidence) of this substrate, resulting in major shifts in characteristic plants and animal species as well as biogeochemical processes. Both organic and clay soils are highly sensitive to compaction from off-road vehicles.  Although coarse soils are most resistant to compaction, they are less moisture-retentive and dry out quickly, in some cases (e.g., high marsh) imperiling some of their wetland flora and fauna.  </t>
  </si>
  <si>
    <t>Forests provide additional vertical habitat structure for nesting songbirds and perches for raptors.  Wetlands in areas dominated by forest generally support more diverse songbird and mammal assemblages, especially in landscapes where forest historically was the dominant land cover.</t>
  </si>
  <si>
    <t>Wider vegetated zones within wetlands provide more habitat space and structure for songbirds and mammals.  Where vegetated width is large even at high tide, it indicates the tidal wetland is mainly high marsh, and high marsh provides better nesting habitat for songbirds than does regularly flooded low marsh.</t>
  </si>
  <si>
    <t>Many wetland songbirds and mammals make greater use of tidal wetlands that are close to non-tidal (generally fresher) wetlands, because the non-tidal wetlands are more likely to contain woody cover as well as drinkable water. The non-tidal wetlands also provide diversified foods and shelter during storms.</t>
  </si>
  <si>
    <t>In intertidal wetlands, a variety of vegetation forms is likely to provide a wider and more seasonally constant source of foods to songbirds and mammals.</t>
  </si>
  <si>
    <t>Although some intertidal wetlands that are vegetatively homogeneous can support many wetland songbirds, those which have multiple native plant species (none strongly dominant) are expected to support a wider variety of songbirds and mammals.</t>
  </si>
  <si>
    <t>The diversity of songbirds and mammals in tidal wetlands is likely to increase with increasing wetland size due to the usually correlated increase in microhabitat and water regime diversity.</t>
  </si>
  <si>
    <t>Larger pieces of driftwood provide perches for raptors, and other driftwood can be a source of insect prey for wetland songbirds and mammals.</t>
  </si>
  <si>
    <t xml:space="preserve">Upland cover with perennial vegetation is very important to many songbirds and mammals that occur in wetlands or along a wetland's upland edge. Wetlands that contain or are close to natural land cover, and not separated from that by roads that interfere with movements across the landscape, are more likely to support a wide variety of species. Wider riparian buffers in British Columbia supported a greater density of deciduous trees important to wildlife diversity(Shirley 2004). </t>
  </si>
  <si>
    <t>Some of these features are important to bank-living beavers, swallows, and kingfisher.</t>
  </si>
  <si>
    <t>Some of these features are important to bank-nesting swallows and kingfisher.</t>
  </si>
  <si>
    <t>Overgrazing simplifies or eliminates the vertical structure of vegetation, typically reducing the diversity of native species that are regularly present in tidal marshes.</t>
  </si>
  <si>
    <t>Plant species richness commonly parallels plant form richness, which is assessed by this indicator.</t>
  </si>
  <si>
    <t>Dominance by one or a few species is a direct indicator of reduced overall plant species richness.</t>
  </si>
  <si>
    <t>The less that perennial vegetation surrounds a wetland, the more likely it is that water quality and plant richness in the wetland will be impaired.</t>
  </si>
  <si>
    <t>AVERAGE(WidthWet, EmArea, BuffWidth,PerimPctPer, SeasPct)</t>
  </si>
  <si>
    <t>Wider vegetated areas provide more area and time for biological processing of nitrate.</t>
  </si>
  <si>
    <t xml:space="preserve">Coarse soils are tend to be nutrient-poor and thus potentially support less production.  In many tidal areas, coarse sediments also indicate greater exposure to waves and currents that result in organic matter being exported rather than retained.  However, coarser soils tend to be better-aeriated.  Particularly in tidal wetlands, aeration significantly increases plant productivity, although aeration may also enhance decomposition which results in less carbon sequestration.  </t>
  </si>
  <si>
    <t>This is direct evidence of the function.</t>
  </si>
  <si>
    <t>Dependency of amphibians on a particular wetland increases if no other natural vegetation of comparable or greater extent is available in the vicinity. If any of these cover types is very limited in a localized area but is significantly present in the wetland, it imbues the wetland with greater importance and value to the species that use and depend on it.</t>
  </si>
  <si>
    <t>If any of these cover types is very limited in a localized area but is significantly present in the wetland, it imbues the wetland with greater importance and value to the species that use and depend on it.</t>
  </si>
  <si>
    <t>Amphibians produced by wetlands are important foods for some waterbird species, e.g., herons.  Thus, wetlands that have good amphibian habitat are more valuable if they also support better waterbird habitat.</t>
  </si>
  <si>
    <t xml:space="preserve">Dependency of nesting waterbirds on this wetland increases if no other natural herbaceous vegetation of comparable or greater extent is available in the vicinity.   </t>
  </si>
  <si>
    <t>In the future, the need for (and value of) waterbird habitat as provided by wetlands may increase the most where zoning allows higher-intensity development, because such development often reduces or impairs waterbird habitat.  Thus, wetlands surrounded by potentially developable lands could be considered more valuable.  However, agricultural lands provide some feeding habitat for waterbirds.</t>
  </si>
  <si>
    <t>Nesting cover for most waterbirds is not provided by wetlands whose vegetation has been grazed or mowed intensely and repeatedly.  However, limited grazing can create gaps in dense cover that benefits plant productivity and diversity (Keith 1961).</t>
  </si>
  <si>
    <t>In herbaceous wetlands, the type of adjoining upland cover is very important to many nesting waterbird species. Most upland-nesting waterfowl nest within about 1000 ft of wetlands. Maintaining mostly non-woody but natural vegetation in such areas makes it difficult for predators to find nests, and hinders frequent intrusions by humans.</t>
  </si>
  <si>
    <t>Dependency of wetland-dependent songbirds, raptors, and mammals on this wetland increases if no other natural vegetation of comparable or greater extent is available in the vicinity, thus conferring greater value to this wetland.  The score gives equal weight to the number of locally unique types and the weights of those types.</t>
  </si>
  <si>
    <t xml:space="preserve">When vegetation is not achieving its normal height (e.g., due to excessive grazing) this often is accompanied by reduced native plant diversity. However, mowing,  mild grazing, and occasional low-intensity fires can sometimes increase such diversity. Fire reduces woody cover (shade) and plant litter.  In some cases this can increase the germination of a wider variety of plant species, particularly forbs (Pendergrass et al. 1998, Clark &amp; Wilson 2001).  </t>
  </si>
  <si>
    <t xml:space="preserve">When there are only one or two dominant species, this implies there are fewer species overall and fewer left to lose, in turn implying more resistance to further change (Werner et al. 2002, Wigand et al. 2003).  By itself, increased species richness in a wetland does not always confer increased resistance (decreased sensitivity) of a wetland’s functions to artificial changes (e.g., Engelhardt &amp; Kadlec 2001).  </t>
  </si>
  <si>
    <t>The AA's surface water is mostly:</t>
  </si>
  <si>
    <t>The AA's relative position in the estuary is:</t>
  </si>
  <si>
    <t>IF((Tidal=1),TidalScoreOE, IF((NoOutlet=1),0, ELSE: (3*ExportPot + 2*Productiv + HistAccum) /6))</t>
  </si>
  <si>
    <t>Normalize</t>
  </si>
  <si>
    <t>Points</t>
  </si>
  <si>
    <t>Rationales</t>
  </si>
  <si>
    <t>The percent slope of the land between the AA and the most extensive disturbed upslope area (i.e., unvegetated or non-perennial cover) is mostly:</t>
  </si>
  <si>
    <t>These are recognized as the rarest of the tidal wetland types in this region, so higher value can be assumed.</t>
  </si>
  <si>
    <r>
      <rPr>
        <b/>
        <sz val="10"/>
        <rFont val="Arial Narrow"/>
        <family val="2"/>
      </rPr>
      <t>Intermediate</t>
    </r>
    <r>
      <rPr>
        <sz val="10"/>
        <rFont val="Arial Narrow"/>
        <family val="2"/>
      </rPr>
      <t>: Wetland's shape is (a) ovoid, or (b) mildly ragged edge, and/or (c) contains a lesser amount of artificially straight edge.</t>
    </r>
  </si>
  <si>
    <t>Ponded Condition (Lentic)</t>
  </si>
  <si>
    <t>Tributary or Overbank Inflow (Inflow)</t>
  </si>
  <si>
    <r>
      <t xml:space="preserve">All </t>
    </r>
    <r>
      <rPr>
        <b/>
        <sz val="10"/>
        <rFont val="Arial Narrow"/>
        <family val="2"/>
      </rPr>
      <t xml:space="preserve">Ponded </t>
    </r>
    <r>
      <rPr>
        <sz val="10"/>
        <rFont val="Arial Narrow"/>
        <family val="2"/>
      </rPr>
      <t>Water as Percentage - Wettest (PondWpctWet)</t>
    </r>
  </si>
  <si>
    <t>many SAV plants present, but impossible to select from the above categories.</t>
  </si>
  <si>
    <t>Given the same cover density, taller vegetation tends to trap runoff-borne sediment slightly more effectively because it is less likely to be completely submerged during high runoff events. In addition it may be more effective than shorter vegetation in protecting soils from erosion by wind.  If wetland is ungrazed, this indicator is ignored in the calculations, while if grazing is present, it decreases the score.</t>
  </si>
  <si>
    <t>Stressor subscore=</t>
  </si>
  <si>
    <t>AVERAGE(Fluctu,SeasPct)</t>
  </si>
  <si>
    <t>OF1</t>
  </si>
  <si>
    <t>OF3</t>
  </si>
  <si>
    <t>OF4</t>
  </si>
  <si>
    <t>OF5</t>
  </si>
  <si>
    <t>OF6</t>
  </si>
  <si>
    <t>OF7</t>
  </si>
  <si>
    <t>OF9</t>
  </si>
  <si>
    <t>OF10</t>
  </si>
  <si>
    <t>OF11</t>
  </si>
  <si>
    <t>OF13</t>
  </si>
  <si>
    <t>OF14</t>
  </si>
  <si>
    <t>OF16</t>
  </si>
  <si>
    <t>OF17</t>
  </si>
  <si>
    <t>OF19</t>
  </si>
  <si>
    <t>OF20</t>
  </si>
  <si>
    <t>OF21</t>
  </si>
  <si>
    <t>OF22</t>
  </si>
  <si>
    <t>OF23</t>
  </si>
  <si>
    <t>OF24</t>
  </si>
  <si>
    <t>OF25</t>
  </si>
  <si>
    <t>OF26</t>
  </si>
  <si>
    <t>OF27</t>
  </si>
  <si>
    <t>OF28</t>
  </si>
  <si>
    <t>OF29</t>
  </si>
  <si>
    <t>OF30</t>
  </si>
  <si>
    <t>OF31</t>
  </si>
  <si>
    <t>OF32</t>
  </si>
  <si>
    <t>OF33</t>
  </si>
  <si>
    <t>OF34</t>
  </si>
  <si>
    <t>OF35</t>
  </si>
  <si>
    <t>OF36</t>
  </si>
  <si>
    <t>OF37</t>
  </si>
  <si>
    <t>OF38</t>
  </si>
  <si>
    <t>OF39</t>
  </si>
  <si>
    <t>OF40</t>
  </si>
  <si>
    <t>OF41</t>
  </si>
  <si>
    <t>OF43</t>
  </si>
  <si>
    <t>AVERAGE(OutDura,Constric)</t>
  </si>
  <si>
    <t>AVERAGE(OutDura,AVERAGE(Gradient,Constric,PondWpctWet)))</t>
  </si>
  <si>
    <t>Z</t>
  </si>
  <si>
    <t>Function Scores of Dependent Groups</t>
  </si>
  <si>
    <t>Function Score of Dependent Group</t>
  </si>
  <si>
    <t>Physical &amp; WQ Stressors (Lack of)</t>
  </si>
  <si>
    <t>Bio Stressors (Lack of)</t>
  </si>
  <si>
    <t xml:space="preserve">Wetlands with extensive persistent water provide more habitable space for waterbirds, but wetlands that flood only seasonally tend to be more productive, thus providing more food to breeding waterbirds, if there are also nearby wetlands with more persistent water.  </t>
  </si>
  <si>
    <t xml:space="preserve">Wetlands with extensive persistent water provide more habitable space for waterbirds, but wetlands that flood only seasonally tend to be more productive, thus providing more food to breeding waterbirds, if there are also nearby wetlands with more persistent water. </t>
  </si>
  <si>
    <t>Consider just the area that has surface water for &gt;1 week during the growing season.  Herbaceous plants (not moss, not woody) whose foliage extends above a water surface in this area (i.e., emergents) cumulatively occupy an annual maximum of:</t>
  </si>
  <si>
    <t>Score for Dependent Group</t>
  </si>
  <si>
    <t>Hydrologic connection to other waters tends to increase onsite plant richness unless invasive species are prevalent in the catchment.</t>
  </si>
  <si>
    <t>Aquatic Fertility</t>
  </si>
  <si>
    <t>In Oregon tidal wetlands, plant diversity is often greatest along tidal channels (Adamus 2005), perhaps partly because soils are often better-oxygenated (Weilhoefer et al. 2013) and diversified microtopography creates diverse inundation regimes (Howes et al. 1981). Thus, more tidal channel complexity is expected to support greater plant diversity within a tidal wetland.</t>
  </si>
  <si>
    <t>Among Oregon tidal marshes, plant richness increases slightly with increasing salinity (Adamus 2005, Weilhoefer et al. 2013), which is greater closer to the ocean. Invasive plants in Oregon may reach their greatest dominance in the mid-estuary (Weilhoefer et al. 2013).</t>
  </si>
  <si>
    <t>Alteration of a wetland's tidal inundation regime is often followed by invasion by non-native species, making these an indicator of past or ongoing alteration. Invasive species reduce the diversity of species overall.</t>
  </si>
  <si>
    <t>Oregon tidal wetlands with wider vegetated areas are more likely to contain more plant species (Adamus 2005, Weilhoefer et al. 2013) and perhaps rarer and more sensitive plants, as well as being more insulated from some upland disturbances.</t>
  </si>
  <si>
    <t>See above.  The composition of plant communities among tidal wetlands of the Oregon Coast is correlated more with land cover measured within 100 m (~300 ft) than with land cover measured within 250 and 1000 m (Weilhoefer et al. 2013).  Unexpectedly, species richness is less in tidal wetlands where surrounding areas (within 250 m) are undeveloped and are more than 60% comprised of other wetlands (Weilhoefer et al. 2013).</t>
  </si>
  <si>
    <t>Tidal incursions of ocean waters into Oregon estuaries are a major source of dissolved inorganic nitrogen to most of these estuaries during most of the year (Lee &amp; Brown 2009).  This increases the opportunity for N-removal by tidal marshes and thus their value.</t>
  </si>
  <si>
    <t xml:space="preserve">Saline (&gt;25 ppt salinity, undiluted seawater).  </t>
  </si>
  <si>
    <t xml:space="preserve">Microbes responsible for most of the nitrate removal in wetlands thrive best at warmer soil or sediment temperatures (e.g., Beutel et al. 2009).  A large number of Growing Degree Days is one indicator of the likelihood of this condition. </t>
  </si>
  <si>
    <t xml:space="preserve">For invertebrates, groundwater provides a relatively steady input of nutrients that supports algal production. It also provides relatively warm temperatures during cool periods, and cool temperatures during warm periods (Brown et al. 2007, 2011).  Groundwater also helps sustain low flows, potentially increasing the annual production of aquatic invertebrates </t>
  </si>
  <si>
    <t>Wetlands that receive water that is overenriched with P (or suspended sediments that typically have high P concentrations) are potentially more valuable to downstream waters, if they also have the capacity to retain the P.  Concentrations of P within the range of 0.01–0.3 ppm are associated with rapidly increased algal growth.</t>
  </si>
  <si>
    <t>When perennial cover is replaced by impervious surfaces or annual cover, exports of sediment and associated phosphorus to wetlands typically increase.  In Oregon, forested areas and some other perennial covers are least likely to export phosphorus and nitrate (Nash et al. 2009).</t>
  </si>
  <si>
    <t>Unless (or even when) new wetlands are sown with native wetland plants, the number of species may remain low for years as colonization gradually occurs and diverse plant communities become established.</t>
  </si>
  <si>
    <t>Many studies in the Pacific Northwest have demonstrated the importance to anadromous fish of river floodplains for foraging coho (Baker 2008, Henning et al. 2008) and chinook (Somer et al. 2001, 2005, Teel et al. 2009) as well as the importance of streams and wetlands that are inundated only seasonally, provided fish can enter and exit them then (e.g., Brown &amp; Hartman 1988, Nickelson et al. 1992, Steiner et al. 2005, Wigington et al. 2006, Freeman et al. 2007, Meyer et al. 2007, Welsch &amp; Hodgson 2008, Colvin et al. 2009). Even during brief periods of high water, fish enter those areas and gorge themselves on invertebrates made more available by the flooding. Wetlands that contain water persistently are often dominated by exotic fish that prey on young salmon, whereas this is less an problem in wetlands that flood only seasonally.  Seasonally inundated areas tend to have greater vegetation cover than persistently inundated areas, and this cools the water and provides more cover.  The model applies this indicator only if the wetland is flow-through or fringe, e.g., on a seasonal floodplain.</t>
  </si>
  <si>
    <t>Many wetland invertebrates inhabit the soil, and potentially are harmed by soil disturbance such as from tillage or compaction.  In Oregon's Willamette Valley, farmed wetlands were found to support lower biomass and richness of aquatic invertebrates compared to native wet prairie (Wyss 2011).</t>
  </si>
  <si>
    <t>AVERAGE(GcoverT, MAX(EstPosT,SalinT), AVERAGE(WidthHiT,WidthLoT))</t>
  </si>
  <si>
    <t>Where non-tidal wetlands are contiguous to tidal wetlands, this often provides pockets of lower-salinity water in conjunction with rich food resources important to salmonids, and both are important to juvenile salmon as they transition to ocean environments (Simenstad et al. 2000).</t>
  </si>
  <si>
    <t>In parts of Oregon, alder and other N-fixing plants can be major sources of nitrate to streams and wetlands (Compton et al. 2003, Naymik et al. 2005, Lee &amp; Brown 2009), thus increasing wetland value by providing more opportunity for N-removal.</t>
  </si>
  <si>
    <t>Ewing, K. 1983. Environmental controls in Pacific Northwest intertidal marsh plant communities. Canadian Journal of Botany 61:1105–1116.</t>
  </si>
  <si>
    <t>In many wetlands coarser-grained soils tend to be less fertile. In some cases this results in reduced species richness of wetland plants. Coarser soils often drain faster during each tidal cycle, inducing drought stress among some plants, but also supporting more aerated conditions in sediments which in turn can support greater plant richness, whereas clayey and organic soils tend to be slower-draining and less well oxygenated in the root zones (Eilers 1975, Eilers 1979, Ewing 1983, Bertness and Pennings 2000)</t>
  </si>
  <si>
    <t>Dense vegetation offers frictional resistance to water flow, promoting sedimentation of suspended particles (Wolaver et al. 1988, Boorman et al. 1998), as well as reducing the resuspension of bottom sediments by waves and currents.</t>
  </si>
  <si>
    <t>Tidal wetlands that contain both low and high marsh are more likely to support both terrestrial insects and diverse array of aquatic invertebrates, including species encompassing a wider range of salinity and inundation tolerances (Kneib &amp; Wagner 1994).</t>
  </si>
  <si>
    <t>The median foraging distance of insect pollinators is about 1.5 km (Cane 2001).  In some landscapes, distance to riparian vegetation can measurably influence pollinator occurrence (Wojcik &amp; McBride 2012).</t>
  </si>
  <si>
    <t>Perennial cover provides more pollen sources than many other cover types, and exposure to pesticides is less.  In prairie landscapes, plants in larger, more contiguous blocks of perennial cover may be more successfully pollinated than those in smaller isolated ones (Mannouris &amp; Byers 2013).  However, pollinator diversity does not always correlate with size of prairie or wetland fragments (Hendrix et al. 2010).</t>
  </si>
  <si>
    <t xml:space="preserve">The proportion of surrounding land cover that is relatively natural and has perennial cover is a significant predictor of pollinator density and diversity (Garibaldi et al. 2011). Pesticides can significantly impact pollinator populations (e.g., Mullen et al. 2010, Gradish et al. 2012). Exposure to pesticides is less where cover is mainly perennial (Belden 2012)l.  </t>
  </si>
  <si>
    <t>A small proportion of bare earth is important to some pollinators because it can provide mud and nesting burrows (Rust 1993), which are often limiting.  But too much bare earth comes at the expense of plants that provide pollen.</t>
  </si>
  <si>
    <t>Many pollinating species depend on such microtopographic features for nest sites and cover.  That is because many or most bee species nest underground (Cane 2001).</t>
  </si>
  <si>
    <t>Literature Cited</t>
  </si>
  <si>
    <t>Fiedler, A. K., D. A. Landis, and M. Arduser. 2012. Rapid shift in pollinator communities following invasive species removal. Restoration Ecology 20:593-602.</t>
  </si>
  <si>
    <t>Gardiner, M. A., J. K. Tuell, R. Isaacs, J. Gibbs, J. S. Ascher, and D. A. Landis. 2010. Implications of three biofuel crops for beneficial arthropods in agricultural landscapes. Bioenergy Research 3:6-19.</t>
  </si>
  <si>
    <t>Garibaldi, L. A., I. Steffan-Dewenter, C. Kremen, J. M. Morales, R. Bommarco, S. A. Cunningham, L. G. Carvalheiro, N. P. Chacoff, J. H. Dudenhoffer, S. S. Greenleaf, A. Holzschuh, R. Isaacs, K. Krewenka, Y. Mandelik, M. M. Mayfield, L. A. Morandin, S. G. Potts, T. H. Ricketts, H. Szentgyorgyi, B. F. Viana, C. Westphal, R. Winfree, and A. M. Klein. 2011. Stability of pollination services decreases with isolation from natural areas despite honey bee visits. Ecology Letters 14:1062-1072.</t>
  </si>
  <si>
    <t>Gradish, A. E., C. D. Scott-Dupree, A. J. Frewin, and G. C. Cutler. 2012. Lethal and sublethal effects of some insecticides recommended for wild blueberry on the pollinator Bombus impatiens. Canadian Entomologist 144:478-486.</t>
  </si>
  <si>
    <t>Grundel, R., R. P. Jean, K. J. Frohnapple, G. A. Glowacki, P. E. Scott, and N. B. Pavlovic. 2010. Floral and nesting resources, habitat structure, and fire influence bee distribution across an open-forest gradient. Ecological Applications 20:1678-1692.</t>
  </si>
  <si>
    <t>Hanula, J. L. and S. Horn. 2011. Removing an invasive shrub (Chinese privet) increases native bee diversity and abundance in riparian forests of the southeastern United States. Insect Conservation and Diversity 4:275-283.</t>
  </si>
  <si>
    <t>Hendrix, S. D., K. S. Kwaiser, and S. B. Heard. 2010. Bee communities (Hymenoptera: Apoidea) of small Iowa hill prairies are as diverse and rich as those of large prairie preserves. Biodiversity and Conservation 19:1699-1709.</t>
  </si>
  <si>
    <t>Moron, D., M. Lenda, P. Skorka, H. Szentgyorgyi, J. Settele, and M. Woyciechowski. 2009. Wild pollinator communities are negatively affected by invasion of alien goldenrods in grassland landscapes. Biological Conservation 142:1322-1332.</t>
  </si>
  <si>
    <t>Mullin, C. A., M. Frazier, J. L. Frazier, S. Ashcraft, R. Simonds, D. vanEngelsdorp, and J. S. Pettis. 2010. High levels of miticides and agrochemicals in North American apiaries: Implications for honey bee health. Plos One 5.</t>
  </si>
  <si>
    <t>Wojcik, V. A. and J. R. McBride. 2012. Common factors influence bee foraging in urban and wildland landscapes. Urban Ecosystems 15:581-598.</t>
  </si>
  <si>
    <t>Overhanging vegetation is a source of terrestrial insects important to foraging juvenile salmonids (Romanuk and Levings 2003).</t>
  </si>
  <si>
    <t xml:space="preserve">The longer during each tidal cycle an intertidal area is accessible to salmonids seeking food and cover, the more important it may be (Healey 1982, Salo 1991, Quinn 2005, Simenstad et al. 2000, Young 2009). </t>
  </si>
  <si>
    <t>This is an indicator of the extent of high marsh.  High marsh provides a buffer that helps filter and process polluted runoff before it reaches waters used by anadromous fish. Intertidal vegetation also provides invertebrate foods for several salmon species (Congleton et al. 1982, Levy and Northcote 1982, Salo 1991, and Simenstad et al. (1982, 2000).</t>
  </si>
  <si>
    <t>Beamer, E., A. McBride, C. M. Greene, R. Henderson, G. Hood, K. Wolf, K. Larsen, C. Rice, and K. L. Fresh. 2005. Delta and Nearshore Restoration for the Recovery of Wild Skagit River Chinook Salmon: Linking Estuary Restoration to Wild Chinook Salmon Populations. Supplement to Skagit Chinook Recovery Plan, Skagit River System Cooperative, La Conner, WA.</t>
  </si>
  <si>
    <t>Bottom, D. L., K. K. Jones, T. J. Cornwell, A. Gray, and C. A. Simenstad. 2005. Patterns of chinook salmon migration and residency in the Salmon River estuary, Oregon. Estuarine, Coastal and Shelf Science 64:79-93.</t>
  </si>
  <si>
    <t>Gray, A., C. A. Simenstad, D. L. Bottom, and T. J. Cornwell. 2002. Contrasting functional performance of juvenile salmon habitat in recovering wetlands of the Salmon River estuary, Oregon, USA. Restoration Ecology 10:514-526.</t>
  </si>
  <si>
    <t>Levings, C. D., D. E. Boyle, and T. R. Whitehouse. 1995. Distribution and feeding of juvenile Pacific salmon in freshwater tidal creeks of the lower Fraser River, British Columbia. Fisheries Management and Ecology 2:299-308.</t>
  </si>
  <si>
    <t>Levy, D. A. and T. G. Northcote. 1982. Juvenile salmon residency in a marsh area of the Fraser River estuary. Canadian Journal of Fisheries and Aquatic Sciences 39:270-276.</t>
  </si>
  <si>
    <t>Quinn, T. P. 2005. The Behavior and Ecology of Pacific Salmon and Trout. American Fisheries Society, Bethesda, MD.</t>
  </si>
  <si>
    <t>Simenstad, C. A. and J. D. Cordell. 2000. Ecological assessment criteria for restoring anadromous salmonid habtiat in Pacific Northwest estuaries. Ecological Engineering 15:283-302.</t>
  </si>
  <si>
    <t>On outgoing tides, tidal channels concentrate fish and other animal foods consumed by wading birds and thus improve feeding success and habitat capacity (Lourenco et al. 2005, Lamberson et al.2011).</t>
  </si>
  <si>
    <t xml:space="preserve">Songbird nests are destroyed by tidal flooding, so wetlands with a larger proportion of high marsh that is less susceptible to flooding provide more secure habitat.  Tidal marshes that flood for long duration on each tidal cycle provide shorter feeding opportunities for foraging songbirds and raptors (Martin 1988, Nur et al 1996). </t>
  </si>
  <si>
    <t>Although some brackish marshes attract large numbers of aerial-feeding swallows, no wetland songbirds in this region prefer to nest in saline or moderately saline marshes. Freshwater tidal wetlands may provide more insect prey.</t>
  </si>
  <si>
    <t>Upland cover with perennial vegetation is very important to many songbirds and mammals that occur in wetlands or along a wetland's upland edge. Although upland buffers along tidal marshes have not been studied in this region, other studies of wetland buffers have shown positive benefits for songbirds and mammals.</t>
  </si>
  <si>
    <t>Marzluff, J. M., J. C. Withey, K. A. Whittaker, M. David Oleyar, T. M. Unfried, S. Rullman, and J. Delap. 2007. Consequences of habitat utilization by nest predators and breeding songbirds across multiple scales in an urbanizing landscape. The Condor 109:516-534.</t>
  </si>
  <si>
    <t>Nur, N., C. J. Ralph, S. Laymon, G. Geupel, and D. Evans. 1996. Save Our Songbirds: Songbird Conservation in California’s Riparian Habitats: Populations Assessments and Management Recommendations, Annual Report, Project No. 94-232. National Fish and Wildlife Foundation, Washington, D.C.</t>
  </si>
  <si>
    <t>Martin, T. E. 1988. Habitat and area effects on forest bird assemblages: is nest predation an influence? Ecology 69:74-84.</t>
  </si>
  <si>
    <t>Keer, G. H. and J. B. Zedler. 2002. Salt marsh canopy architecture differs with the number and composition of species. Ecological Applcations 12:456-473.</t>
  </si>
  <si>
    <t xml:space="preserve">Driftwood provides food, cover, and a stable microclimate for many soil-dwelling invertebrates (Brennan et al. 2009).  </t>
  </si>
  <si>
    <t>Generally correlated with salinity (see below), and used where those data are lacking.</t>
  </si>
  <si>
    <t>Complex channel networks within intertidal areas facilitate fish access to invertebrate foods and thermal refugia (Congleton et al. 1982, Levy and Northcote 1982, Simenstad et al. 2000, Gray et al. 2002; Bottom et al. 2005; Beamer et al. 2005; Koski 2009; Craig 2010; Hering et al. 2010, Gewant &amp; Bollens 2012). By providing gaps for sunlight to penetrate dense vegetation cover, they can increase production of epiphytic algae favored by many invertebrate prey.</t>
  </si>
  <si>
    <t xml:space="preserve">Although California studies report reduced plant richness with increasing tidal salinity (Tuxen et al. 2011), among Oregon tidal marshes, plant richness per unit area is either uncorrelated with (Adamus 2005) or increases slightly with (Weilhoefer et al. 2013) increasing salinity . Many freshwater plants begin declining at about 1 ppt salinity, and few can endure more than about  4 ppt salinity (Smith et al. 2009). </t>
  </si>
  <si>
    <t>Prolonged or intense grazing of tidal high marsh increases the extent of bare areas, relative cover of invasive plants, and reduces native plant richness (Wasson &amp; Woolfolk 2011).</t>
  </si>
  <si>
    <t>stressor score=</t>
  </si>
  <si>
    <t>Tidegates and other features that restrict or otherwise alter timing of water inputs typically reduce the richness of tidal wetland plants (Fetscher et al. 2010, Wasson &amp; Woolfolk 2011).</t>
  </si>
  <si>
    <t xml:space="preserve">Life histories of fish are closely synchronized to natural hydrologic patterns. Wetlands where that has been disrupted will have lower capacity to support resident fish. </t>
  </si>
  <si>
    <t>Presence of contaminant sources suggests the potential for long-term harm to fish populations.</t>
  </si>
  <si>
    <t>Presence of large sources of sediment suggests the potential for long-term harm to fish spawing and rearing areas.</t>
  </si>
  <si>
    <t>Arnold, C. L. and C. J. Gibbons. 1996. Impervious surface coverage: The emergence of a key environmental indicator. Journal of the American Planning Association 62:243-258.</t>
  </si>
  <si>
    <t>Booth, D. B. and C. R. Jackson. 1997. Urbanization of aquatic systems: Degradation thresholds, stormwater detection, and the limits of mitigation. JAWRA Journal of the American Water Resources Association 33:1077-1090.</t>
  </si>
  <si>
    <t>Detenbeck, N., C. Elonen, D. Taylor, A. Cotter, F. Puglisi, and W. Sanville. 2002. Effects of agricultural activities and best management practices on water quality of seasonal prairie pothole wetlands. Wetlands Ecology and Management 10:335-354.</t>
  </si>
  <si>
    <t>Hirsch, R. M., J. F. Walker, J. C. Day, and R. Kollio. 1990. The influence of man on hydrologic systems. Pages 329–359 in M. G. Wolaman and H. C. Riggs, editors. Surface Water Hydrology. Geological Society of America, Boulder, CO.</t>
  </si>
  <si>
    <t>Leopold, L. B. 1968. Hydrology for Urban Land Planning—A Guidebook on the Hydrologic Effects of Urban Land Use. United States Department of the Interior, U.S. Geological Survey, Circular 554, Washington, DC.</t>
  </si>
  <si>
    <t>Quinton, W. L. and N. T. Roulet. 1998. Spring and summer runoff hydrology of a subarctic patterned wetland. Arctic and Alpine Research 30:285-294.</t>
  </si>
  <si>
    <t>Roulet, N. T. and M. K. Woo. 1988. Run-off generation in a low arctic drainage-basin. Journal of Hydrology 101:213-226.</t>
  </si>
  <si>
    <t>Spence, C., X. J. Guan, and R. Phillips. 2011. The hydrological functions of a boreal wetland. Wetlands 31:75-85.</t>
  </si>
  <si>
    <t>Brosofske, K. D., J. Chen, R. J. Naiman, and J. F. Franklin. 1997. Harvesting effects on microclimatic gradients from small streams to uplands in western Washington. Ecological Applications 7:1188-1200.</t>
  </si>
  <si>
    <t>Meleason, M. A. and J. M. Quinn. 2004. Influence of riparian buffer width on air temperature at Whangapoua Forest, Coromandel Peninsula, New Zealand. Forest Ecology and Management 191:365-371.</t>
  </si>
  <si>
    <t>Mellina, E., R. D. Moore, S. G. Hinch, J. S. Macdonald, and G. Pearson. 2002. Stream temperature responses to clearcut logging in British Columbia: the moderating influences of groundwater and headwater lakes. Canadian Journal of Fisheries and Aquatic Sciences 59:1886-1900.</t>
  </si>
  <si>
    <t>Reinelt, L. E. and R. R. Horner. 1990. Characterization of the Hydrology and Water Quality of Palustrine Wetlands Affected by Urban Stormwater. King County Resource Planning Section, Seattle, WA.</t>
  </si>
  <si>
    <t>Rounds, S. A. 2007. Temperature Effects of Point Sources, Riparian Shading, and Dam Operations on the Willamette River, Oregon. Scientific Investigations Report 2007–5185. U.S. Department of the Interior, U.S. Geological Survey, Portland, OR.</t>
  </si>
  <si>
    <t>Sridhar, V., A. L. Sansone, J. LaMarche, T. Dubin, and D. P. Lettenmaier. 2004. Prediction of stream temperature in forested watersheds. Journal of the American Water Resources Association 40:197-213.</t>
  </si>
  <si>
    <t>Stephenson, J. M. and A. Morin. 2009. Covariation of stream community structure and biomass of algae, invertebrates and fish with forest cover at multiple spatial scales. Freshwater Biology 54:2139-2154.</t>
  </si>
  <si>
    <t>Alberti, M., D. Booth, K. Hill, B. Coburn, C. Avolio, S. Coe, and D. Spirandelli. 2007. The impact of urban patterns on aquatic ecosystems: An empirical analysis in Puget lowland sub-basins. Landscape and Urban Planning 80:345-361.</t>
  </si>
  <si>
    <t>Amatya, D. M., R. W. Skaggs, J. W. Gilliam, and J. H. Hughes. 2003. Effects of orifice-weir outlet on hydrology and water quality of a drained forested watershed. Southern Journal of Applied Forestry 27:130-142.</t>
  </si>
  <si>
    <t>Dillaha, T. A., J. H. Sherrard, D. Lee, S. Mostaghimi, and V. O. Shanholtz. 1988. Evaluation of vegetative filter strips as a best management practice for feed lots. Journal Water Pollution Control Federation 60:1231-1238.</t>
  </si>
  <si>
    <t>Dillaha, T. A., R. B. Reneau, S. Mostaghimi, and D. Lee. 1989. Vegetative filter strips for agricultural nonpoint source pollution-control. Transactions of the  ASAE 32:513-519.</t>
  </si>
  <si>
    <t>Evans, R. D. and F. H. Rigler. 1983. A test of lead-210 dating for the measurement of whole lake soft sediment accumulation. Canadian Journal of Fisheries and Aquatic Sciences 40:506-515.</t>
  </si>
  <si>
    <t>Hogan, D. M. and M. R. Walbridge. 2007. Urbanization and nutrient retention in freshwater riparian wetlands. Ecological Applications 17:1142-1155.</t>
  </si>
  <si>
    <t>McBride, M. and D. B. Booth. 2005. Urban impacts on physical stream condition: Effects of spatial scale, connectivity, and longitudinal trends. Journal of the American Water Resources Association 41:565-580.</t>
  </si>
  <si>
    <t>Morris, A. W., A. J. Bale, and R. J. M. Howland. 1981. Nutrient distributions in an estuary - evidence of chemical precipitation of dissolved silicate and phosphate. Estuarine Coastal and Shelf Science 12:205-216.</t>
  </si>
  <si>
    <t>Nieswand, G. H., R. M. Hordon, T. B. Shelton, B. B. Chavooshian, and S. Blarr. 1990. Buffer strips to protect water-supply reservoirs - A model and recommendations. Water Resources Bulletin 26:959-966.</t>
  </si>
  <si>
    <t>Nolan, K. M. and D. C. Marron. 1985. Contrast in stream-channel response to major storms in two mountainous areas of California. Geology 13:135-138.</t>
  </si>
  <si>
    <t>Phillips, J. D. 1989. An evaluation of the factors determining the effectiveness of water quality buffer zones. Journal of Hydrology 107:133-145.</t>
  </si>
  <si>
    <t>Polyakov, V., A. Fares, and M. H. Ryder. 2005. Precision riparian buffers for the control of nonpoint source pollutant loading into surface water: A review. Environmental Reviews 13:129-144.</t>
  </si>
  <si>
    <t>Rochford, D. J. and R. S. Spencer. 1953. Oceanographical Station List. CSIRO Australia, 15. CSIRO Division of Fisheries, Australia.</t>
  </si>
  <si>
    <t>Trimble, G. R., Jr. and R. S. Sartz. 1957. How far from a stream should a logging road be located? Journal of Forestry 55:339-341.</t>
  </si>
  <si>
    <t>White, W. J., L. A. Morris, D. B. Warnell, A. P. Pinho, C. R. Jackson, and L. T. West. 2007. Sediment retention by forested filter strips in the Piedmont of Georgia. Journal of Soil and Water Conservation 62:453-463.</t>
  </si>
  <si>
    <t>Wigington, P. J., T. J. Moser, and D. R. Lindeman. 2005. Stream network expansion: a riparian water quality factor. Hydrological Processes 19:1715-1721.</t>
  </si>
  <si>
    <t>Zhang, X., X. Liu, M. Zhang, R. A. Dahlgren, and M. Eitzel. 2010. A review of vegetated buffers and a meta-analysis of their mitigation efficacy in reducing nonpoint source pollution. Journal of Environmental Quality 39:76-84.</t>
  </si>
  <si>
    <t>Aldous, A., P. McCormick, C. Ferguson, S. Graham, and C. Craft. 2005. Hydrologic regime controls soil phosphorus fluxes in restoration and undisturbed wetlands. Restoration Ecology 13:341-347.</t>
  </si>
  <si>
    <t xml:space="preserve">Aldous, A. R., C. B. Craft, C. J. Stevens, M. J. Barry, and L. B. Bach. 2007. Soil phosphorus release from a restoration wetland, Upper Klamath Lake, Oregon. Wetlands 27:1025-1035. </t>
  </si>
  <si>
    <t>Burley, K. L., E. E. Prepas, and P. A. Chambers. 2001. Phosphorus release from sediments in hardwater eutrophic lakes: the effects of redox-sensitive and -insensitive chemical treatments. Freshwater Biology 46:1061-1074.</t>
  </si>
  <si>
    <t>Hoffmann, C. C., C. Kjaergaard, J. Uusi-Kamppa, H. C. B. Hansen, and B. Kronvang. 2009. Phosphorus retention in riparian buffers: Review of their efficiency. Journal of Environmental Quality 38:1942-1955.</t>
  </si>
  <si>
    <t>Jordan, T. E., J. C. Cornwell, W. R. Boynton, and J. T. Anderson. 2008. Changes in phosphorus biogeochemistry along an estuarine salinity gradient: The iron conveyer belt. Limnology and Oceanography 53:172-184.</t>
  </si>
  <si>
    <t>Knox, A. K., R. A. Dahgren, K. W. Tate, and E. R. Atwill. 2008. Efficacy of natural wetlands to retain nutrient, sediment and microbial pollutants. Journal of Environmental Quality 37:1837-1846.</t>
  </si>
  <si>
    <t>Prepas, E. E., B. Pinel-Alloul, D. Planas, G. Méthot, S. Paquet, and S. Reedyk. 2001. Forest harvest impacts on water quality and aquatic biota on the Boreal Plain: Introduction to the TROLS lake program. Canadian Journal of Fisheries and Aquatic Sciences 58:421-436.</t>
  </si>
  <si>
    <t>Prescott, C. E., L. Vesterdal, J. Pratt, K. H. Venner, L. M. de Montigny, and J. A. Trofymow. 2000. Nutrient concentrations and nitrogen mineralization in forest floors of single species conifer plantations in coastal British Columbia. Canadian Journal of Forest Research 30:1341-1352.</t>
  </si>
  <si>
    <t>Snyder, D. T. and J. L. Morace. 1997. Nitrogen and Phosphorus Loading from Drained Wetlands Adjacent to Upper Klamath and Agency Lakes, Oregon. US Geological Survey Water Resources Investigations Report 97-4059. US Geological Survey, Fort Collins, CO.</t>
  </si>
  <si>
    <t>Sundareshwar, P. V. and J. T. Morris. 1999. Phosphorus sorption characteristics of intertidal marsh sediments along an estuarine salinity gradient. Limnology and Oceanography 44:1693-1701.</t>
  </si>
  <si>
    <t>Verhoeven, J. T. A., D. F. Whigham, R. van Logtestijn, and J. O'Neill. 2001. A comparative study of nitrogen and phosphorus cycling in tidal and non-tidal riverine wetlands. Wetlands 21:210-222.</t>
  </si>
  <si>
    <t>Wang, G. P., J. S. Liu, H. Y. Zhao, J. D. Wang, and J. B. Yu. 2007. Phosphorus sorption by freeze-thaw treated wetland soils derived from a winter-cold zone (Sanjiang Plain, Northeast China). Geoderma 138:153-161.</t>
  </si>
  <si>
    <t>White, J. R., K. R. Reddy, and M. Z. Moustafa. 2004. Influence of hydrologic regime and vegetation on phosphorus retention in Everglades stormwater treatment area wetlands. Hydrological Processes 18:343-355.</t>
  </si>
  <si>
    <t>Bedford, B. L., M. R. Walbridge, and A. Aldous. 1999. Patterns in nutrient availability and plant diversity of temperate North American wetlands. Ecology 80:2151-2169.</t>
  </si>
  <si>
    <t>Clilverd, H. M., J. B. Jones, and K. Kielland. 2008. Nitrogen retention in the hyporheic zone of a glacial river in interior Alaska. Biogeochemistry 88:31–46.</t>
  </si>
  <si>
    <t>D’Amore, D. V., P. E. Hennon, P. G. Schaberg, and G. J. Hawley. 2009. Adaptation to exploit nitrate in surface soils predisposes yellow-cedar to climate-induced decline while enhancing the survival of western redcedar: A new hypothesis. Forest Ecology and Management 258:2261-2268.</t>
  </si>
  <si>
    <t>Dodla, S. K., J. J. Wang, R. D. DeLaune, and R. L. Cook. 2008. Denitrification potential and its relation to organic carbon quality in three coastal wetland soils. Science of the Total Environment 407:471-480.</t>
  </si>
  <si>
    <t>Gunderson, L. H., S. R. Carpenter, C. Folke, P. Olsson, and G. D. Peterson. 2006. Water RATs (resilience, adaptability, and transformability) in lake and wetland social-ecological systems. Ecology and Society 11(1):16.</t>
  </si>
  <si>
    <t>Hennon, P. E., D. V. D'Amore, D. T. Witter, and M. B. Lamb. 2010. Influence of forest canopy and snow on microclimate in a declining yellow-cedar forest of Southeast Alaska. Northwest Science 84:73-87.</t>
  </si>
  <si>
    <t>Hogg, E. H. and V. J. Lieffers. 1991. The impact of Calamagrostis-Canadensis on soil thermal regimes after logging in northern Alberta. Canadian Journal of Forest Research-Revue Canadienne De Recherche Forestiere 21:387-394.</t>
  </si>
  <si>
    <t>Hunt, P. G., T. A. Matheny, and K. S. Ro. 2007. Nitrous oxide accumulation in soils from riparian buffers of a coastal plain watershed-carbon/nitrogen ratio control. Journal of Environmental Quality 36:1368-1376.</t>
  </si>
  <si>
    <t>Kroeger, K. D. and M. A. Charette. 2008. Nitrogen biogeochemistry of submarine groundwater discharge. Limnology and Oceanography 53:1025-1079.</t>
  </si>
  <si>
    <t>Mayer, P. 2005. Riparian Buffer Width, Vegetative Cover, and Nitrogen Removal Effectiveness: A Review of Current Science and Regulations.in S. K. Reynolds Jr, T. J. Canfield, and M. D. McCutchen, editors. EPA/600/R-05/118. U.S. Environmental Protection Agency, Cincinnati, OH.</t>
  </si>
  <si>
    <t>Mayer, P. M., S. K. Reynolds, Jr., M. D. McCutchen, and T. J. Canfield. 2007. Meta-analysis of nitrogen removal in riparian buffers. Journal of Environmental Quality 36:1172-1180.</t>
  </si>
  <si>
    <t>Pinay, G., T. O'Keefe, R. Edwards, and R. J. Naiman. 2003. Potential denitrification activity in the landscape of a western Alaska drainage basin. Ecosystems 6:336-343.</t>
  </si>
  <si>
    <t>Shaffer, P. W. and T. L. Ernst. 1999. Distribution of soil organic matter in freshwater emergent/open water wetlands in the Portland, Oregon metropolitan area. Wetlands 19:505-516.</t>
  </si>
  <si>
    <t>Shrestha, R. R., A. J. Berland, M. A. Schnorbus, and A. T. Werner. 2011. Climate Change Impacts on Hydro-Climatic Regimes in the Peace and Columbia Watersheds, British Columbia, Canada. Pacific Climate Impacts Consortium. University of Victoria, Victoria, BC.</t>
  </si>
  <si>
    <t>Song, C., Y. Wang, Y. Wang, and Z. Zhao. 2006. Emission of CO2, CH4 and N2O from freshwater marsh during freeze–thaw period in Northeast of China. Atmospheric Environment 40:6879-6885.</t>
  </si>
  <si>
    <t>Van Hoewyk, D., P. M. Groffman, E. Kiviat, G. Mihocko, and G. Stevens. 2000. Soil nitrogen dynamics in organic and mineral soil calcareous wetlands in eastern New York. Soil Science Society of America Journal 64: 2168–2173.</t>
  </si>
  <si>
    <t>Waite, T. A. and L. G. Campbell. 2006. Controlling the false discovery rate and increasing statistical power in ecological studies. Ecoscience 13:439-442.</t>
  </si>
  <si>
    <t>Zaman, M., M. L. Nguyen, F. Matheson, J. D. Blennerhassett, and B. F. Quin. 2007. Can soil amendments (zeolite or lime) shift the balance between nitrous oxide and dinitrogen emissions from pasture and wetland soils receiving urine or urea-N? Australian Journal of Soil Research 45:543-553.</t>
  </si>
  <si>
    <t>Altor, A. and W. Mitsch. 2008. Pulsing hydrology, methane emissions and carbon dioxide fluxes in created marshes: A 2-year ecosystem study. Wetlands 28:423-438.</t>
  </si>
  <si>
    <t>Augustin, J., W. Merbach, and J. Rogasik. 1998. Factors influencing nitrous oxide and methane emissions from minerotrophic fens in northeast Germany. Biology and Fertility of Soils 28:1-4.</t>
  </si>
  <si>
    <t>Baldwin, D., G. Rees, A. Mitchell, G. Watson, and J. Williams. 2006. The short-term effects of salinization on anaerobic nutrient cycling and microbial community structure in sediment from a freshwater wetland. Wetlands 26:455-464.</t>
  </si>
  <si>
    <t>Belyea, L. R. and N. Malmer. 2004. Carbon sequestration in peatland: patterns and mechanisms of response to climate change. Global Change Biology 10:1043-1052.</t>
  </si>
  <si>
    <t>Blanco-Canqui, H. and R. Lal. 2008. No-tillage and soil-profile carbon sequestration: An on-farm assessment. Soil Science Society of America Journal 72:693-701.</t>
  </si>
  <si>
    <t>Blodau, C., B. Mayer, S. Peiffer, and T. R. Moore. 2007. Support for an anaerobic sulfur cycle in two Canadian peatland soils. Journal of Geophysical Research: Biogeosciences 112:G02004.</t>
  </si>
  <si>
    <t>Bormann, B. T. and R. C. Sidle. 1990. Changes in productivity and distribution of nutrients in a chronosequence at Glacier Bay National Park, Alaska. Journal of Ecology 78:561-578.</t>
  </si>
  <si>
    <t>Boss, T. R. 1983. Vegetation ecology and net primary productivity of selected freshwater wetlands in Oregon. Ph.D. dissertation. Oregon State University, Corvallis, OR.</t>
  </si>
  <si>
    <t>Bridgham, S. D. and C. J. Richardson. 2003. Endogenous versus exogenous nutrient control over decomposition and mineralization in North Carolina peatlands. Biogeochemistry 65:151-178.</t>
  </si>
  <si>
    <t>Chapin, F. S., L. R. Walker, C. L. Fastie, and L. C. Sharman. 1994. Mechanisms of primary succession following deglaciation at Glacier Bay, Alaska. Ecological Monographs 64:149-175.</t>
  </si>
  <si>
    <t>Cheng, W., K. Yagi, H. Akiyama, S. Nishimura, S. Sudo, T. Fumoto, T. Hasegawa, A. E. Hartley, and J. P. Megonigal. 2007. An empirical model of soil chemical properties that regulate methane production in Japanese rice paddy soils. Journal of Environmental Quality 36:1920-1925.</t>
  </si>
  <si>
    <t>Collins, M. E. and R. J. Kuehl. 2001. Organic matter accumulation and organic soils in wetland soils genesis, hydrology, landscapes, and classification. Pages 137- 159 in J. L. Richardson and M. J. Vepraskas, editors. Wetland Soils: Genesis, Hydrology, Landscape, and Classification. Lewis Publishers, Boca Raton, FL.</t>
  </si>
  <si>
    <t>Crow, S. E. and R. K. Wieder. 2005. Sources of Co-2 emission from a northern peatland: Root respiration, exudation, and decomposition. Ecology 86:1825-1834.</t>
  </si>
  <si>
    <t>D'Amore, D. V., J. B. Fellman, R. T. Edwards, and E. Hood. 2010. Controls on dissolved organic matter concentrations in soils and streams from a forested wetland and sloping bog in southeast Alaska. Ecohydrology 3:249-261.</t>
  </si>
  <si>
    <t>Edwards, G. C., G. M. Dias, G. W. Thurtell, G. E. Kidd, N. T. Roulet, C. A. Kelly, J. W. M. Rudd, A. Moore, and L. Halfpenny-Mitchell. 2001. Methane fluxes from a wetland using the flux-gradient technique; the measurement of methane flux from a natural wetland pond and adjacent vegetated wetlands using a TDL-based flux-gradient technique. Water, Air and Soil Pollution: Focus 1:447-454.</t>
  </si>
  <si>
    <t>Engstrom, D. R., S. C. Fritz, J. E. Almendinger, and S. Juggins. 2000. Chemical and biological trends during lake evolution in recently deglaciated terrain. Nature 408:161-166.</t>
  </si>
  <si>
    <t>Fennessy, M. S., A. Rokosch, and J. J. Mack. 2008. Patterns of plant decomposition and nutrient cycling in natural and created wetlands. Wetlands 28:300-310.</t>
  </si>
  <si>
    <t>Gauci, V., D. J. G. Gowing, E. R. C. Hornibrook, J. M. Davis, and N. B. Dise. 2010. Woody stem methane emission in mature wetland alder trees. Atmospheric Environment 44:2157-2160.</t>
  </si>
  <si>
    <t>Glatzel, S., N. Basiliko, and T. Moore. 2004. Carbon dioxide and methane production potentials of peats from natural, harvested, and restored sites, eastern Quebec, Canada. Wetlands 24:261-267.</t>
  </si>
  <si>
    <t>Hanley, T. A., R. L. Deal, and E. H. Orlikowska. 2006. Relations between red alder composition and understory vegetation in young mixed forests of southeast Alaska. Canadian Journal of Forest Research 36:738-748.</t>
  </si>
  <si>
    <t>Hines, M. E., K. N. Duddleston, J. N. Rooney-Varga, D. Fields, and J. P. Chanton. 2008. Uncoupling of acetate degradation from methane formation in Alaskan wetlands: Connections to vegetation distribution. Global Biogeochemical Cycles 22:GB2017.</t>
  </si>
  <si>
    <t>Hossler, K. and V. Bouchard. 2010. Soil development and establishment of carbon-based properties in created freshwater marshes. Ecological Applications 20:539-553.</t>
  </si>
  <si>
    <t>Keller, J. K., J. R. White, S. D. Bridgham, and J. Pastor. 2004. Climate change effects on carbon and nitrogen mineralization in peatlands through changes in soil quality. Global Change Biology 10:1053-1064.</t>
  </si>
  <si>
    <t>Kelly, C. A., J. W. M. Rudd, R. A. Bodaly, N. P. Roulet, V. L. St. Louis, A. Heyes, T. R. Moore, S. Schiff, R. Aravena, K. J. Scott, B. Dyck, R. Harris, B. Warner, and G. Edwards. 1997. Increases in fluxes of greenhouse gases and methyl mercury following flooding of an experimental reservoir. Environmental Science and Technology 31:1334-1344.</t>
  </si>
  <si>
    <t>Kirwan, M. L. and A. B. Murray. 2008. Ecological and morphological response of brackish tidal marshland to the next century of sea level rise: Westham Island, British Columbia. Global And Planetary Change 60:471-486.</t>
  </si>
  <si>
    <t>Law, C. 2008. Predicting and monitoring the effects of large-scale ocean iron fertilization on marine trace gas emissions. Marine Ecology Progress Series 364.</t>
  </si>
  <si>
    <t>Li, C., J. B. Cui, S. Ge, and C. Trettin. 2004. Modeling impacts of management on carbon sequestration and trace gas emissions in forested wetland ecosystems. Journal of Environmental Management 33:S176–S186.</t>
  </si>
  <si>
    <t>Liblik, L. K., T. R. Moore, J. L. Bubier, and S. D. Robinson. 1997. Methane emissions from wetlands in the zone of discontinuous permafrost: Fort Simpson, Northwest Territories, Canada. Global Biogeochemical Cycles 11:485-494.</t>
  </si>
  <si>
    <t>Magenheimer, J. F., T. R. Moore, G. L. Chmura, and R. J. Daoust. 1996. Methane and carbon dioxide flux from a macrotidal salt marsh, Bay of Fundy, New Brunswick. Estuaries 19:139-145.</t>
  </si>
  <si>
    <t>Marsh, A. S., J. A. Arnone, B. T. Bormann, and J. C. Gordon. 2000. The role of Equisetum in nutrient cycling in an Alaskan shrub wetland. Journal of Ecology 88:999-1011.</t>
  </si>
  <si>
    <t>Mead, D. J. and C. M. Preston. 1992. Nitrogen-fixation in Sitka alder by N-15 isotope-dilution after 8 growing seasons in lodgepole pine site. Canadian Journal of Forest Research-Revue Canadienne De Recherche Forestiere 22:1192-1194.</t>
  </si>
  <si>
    <t>Mitsch, W. J., L. Zhang, C. J. Anderson, A. E. Altor, and M. E. Hernandez. 2005. Creating riverine wetlands: Ecological succession, nutrient retention, and pulsing effects. Ecological Engineering 25:510-527.</t>
  </si>
  <si>
    <t>Moosavi, S. C., P. M. Crill, E. R. Pullman, D. W. Funk, and K. M. Peterson. 1996. Controls on CH4 flux from an Alaskan boreal wetland. Global Biogeochemical Cycles 10:287-296.</t>
  </si>
  <si>
    <t>Pelletier, L., T. R. Moore, N. T. Roulet, M. Garneau, and V. Beaulieu-Audy. 2007. Methane fluxes from three peatlands in the La Grande Riviere watershed, James Bay lowland, Canada. Journal of Geophysical Research-Biogeosciences 112:G01018.</t>
  </si>
  <si>
    <t>Petrone, R. M., U. Silins, and K. J. Devito. 2007. Dynamics of evapotranspiration from a riparian pond complex in the Western Boreal Forest, Alberta, Canada. Hydrological Processes 21:1391-1401.</t>
  </si>
  <si>
    <t>Price, J. S., A. L. Heathwaite, and A. J. Baird. 2003. Hydrological processes in abandoned and restored peatlands: An overview of management approaches. Wetlands Ecology and Management 11:65-83.</t>
  </si>
  <si>
    <t>Rose, C. and W. G. Crumpton. 2006. Spatial patterns in dissolved oxygen and methane concentrations in a prairie pothole wetland in Iowa, USA. Wetlands 26:1020-1025.</t>
  </si>
  <si>
    <t>Roulet, N. T., P. M. Crill, N. T. Comer, A. Dove, and R. A. Boubonniere. 1997. CO2 and CH4 flux between a boreal beaver pond and the atmosphere. Journal of Geophysical Research: Atmospheres 102:313-319.</t>
  </si>
  <si>
    <t>Rumburg, C. B. and W. A. Sawyer. 1965. Response of wet-meadow vegetation to length and depth of surface water from wild-flood irrigation. Agronomy Journal 57:245–247.</t>
  </si>
  <si>
    <t>Ryan, M. G. and B. E. Law. 2005. Interpreting, measuring, and modeling soil respiration. Biogeochemistry 73:3-27.</t>
  </si>
  <si>
    <t>Smemo, K. A. and J. B. Yavitt. 2006. A multi-year perspective on methane cycling in a shallow peat fen in central New York State, USA. Wetlands 26:20-29.</t>
  </si>
  <si>
    <t>Smialek, J., V. Bouchard, B. Lippmann, M. Quigley, T. Granata, J. Martin, and L. Brown. 2006. Effect of a woody (Salix nigra) and an herbaceous (Juncus effusus) macrophyte species on methane dynamics and denitrification. Wetlands 26:509-517.</t>
  </si>
  <si>
    <t>Smith, D. G. and C. M. Pearce. 2000. River ice and its role in limiting woodland development on a sandy braid-plain, Milk River, Montana. Wetlands 20:232-250.</t>
  </si>
  <si>
    <t>Tauchnitz, N., R. Brumme, S. Bernsdorf, and R. Meissner. 2008. Nitrous oxide and methane fluxes of a pristine slope mire in the German National Park Harz Mountains. Plant and Soil 303:131-138.</t>
  </si>
  <si>
    <t>Thormann, M. N. and S. E. Bayley. 1997. Aboveground plant production and nutrient content of the vegetation in six peatlands in Alberta, Canada. Plant Ecology 131:1-16.</t>
  </si>
  <si>
    <t>Tuittila, E. S., V. M. Komulainen, H. Vasander, H. Nykanen, P. J. Martikainen, and J. Laine. 2000. Methane dynamics of a restored cut-away peatland. Global Change Biology 6:569-581.</t>
  </si>
  <si>
    <t>Updegraff, K., J. Pastor, S. D. Bridgham, and C. A. Johnston. 1995. Environmental and substrate controls over carbon and nitrogen mineralization in northern wetlands. Ecological Applications 5:151-163.</t>
  </si>
  <si>
    <t>Valentine, D. W., E. A. Holland, and D. S. Schimel. 1994. Ecosystem and physiological controls over methane production in northern wetlands. Journal of Geophysical Research-Atmospheres 99:1563-1571.</t>
  </si>
  <si>
    <t>Waddington, J. M. and M. R. Turetsky. 2008. Peatland ecohydrology: Water-vegetation-carbon interactions in a changing climate. Geophysical Research Abstracts 10:EGU2008-A-08409.</t>
  </si>
  <si>
    <t>White, H. K., C. M. Reddy, and T. I. Eclinton. 2008. Radiocarbon-based assessment of fossil fuel-derived contaminant associations in sediments. Environmental Science &amp; Technology 42:5428-5434.</t>
  </si>
  <si>
    <t>Willey, Z. and B. Chameides. 2008. Harnessing Farms and Forests in the Low-Carbon Economy. How to Create, Measure, and Verify Greenhouse Gas Offsets. Duke University Press, Durham, NC, USA/London, UK.</t>
  </si>
  <si>
    <t>Bayley, S. E. and R. L. Mewhort. 2004. Plant community structure and junctional differences between marshes and fens in the southern boreal region of Alberta, Canada. Wetlands 24:277-294.</t>
  </si>
  <si>
    <t>Devito, K. J., P. J. Dillon, and B. D. Lazerte. 1989. Phosphorus and nitrogen retention in five Precambrian shield wetlands. Biogeochemistry 8:185–204.</t>
  </si>
  <si>
    <t>Fitzgerald, D. F., J. S. Price, and J. J. Gibson. 2003. Hillslope-swamp interactions and flow pathways in a hyper-maritime rainforest, British Columbia. Hydrological Processes 17:3005-3022.</t>
  </si>
  <si>
    <t>Fyles, J. W. and I. H. Fyles. 1993. Interaction of Douglas-fir with red alder and salal foliage litter during decomposition. Canadian Journal of Forest Research-Revue Canadienne De Recherche Forestiere 23:358-361.</t>
  </si>
  <si>
    <t>Frimpong, E. A., T. M. Sutton, K. J. Lim, P. J. Hrodey, B. A. Engel, T. P. Simon, J. G. Lee, and D. C. LeMaster. 2005. Determination of optimal riparian forest buffer dimensions for stream biota-landscape association models using multi metric and multi variate responses. Canadian Journal of Fisheries and Aquatic Sciences 62:1-6.</t>
  </si>
  <si>
    <t>Gregory, S. V., F. J. Swanson, W. A. McKee, and K. W. Cummins. 1991. An ecosystem perspective of riparian zones: Focus on links between land and water. Bioscience 41:540-550.</t>
  </si>
  <si>
    <t>Hernandez, O., R. W. Merritt, and M. S. Wipfli. 2005. Benthic invertebrate community structure is influenced by forest succession after clearcut logging in southeastern Alaska. Hydrobiologia 533:45-59.</t>
  </si>
  <si>
    <t>Hoover, S. E. R., L. G. W. Shannon, and J. D. Ackerman. 2007. The effect of riparian condition on invertebrate drift in mountain streams. Aquatic Sciences 69:544-553.</t>
  </si>
  <si>
    <t>Horwitz, R. J., T. E. Johnson, P. F. Overbeck, T. K. O'Donnell, W. C. Hession, and B. W. Sweeney. 2008. Effects of riparian vegetation and watershed urbanization on fishes in streams of the mid-Atlantic piedmont (USA). Journal of the American Water Resources Association 44:724-741.</t>
  </si>
  <si>
    <t>Kiffney, P. M. and J. P. Bull. 2000. Factors controlling periphyton accrual during summer in headwater streams of southwestern British Columbia, Canada. Journal of Freshwater Ecology 15:339-351.</t>
  </si>
  <si>
    <t>Kiffney, P. M., J. S. Richardson, and J. P. Bull. 2003. Responses of periphyton and insects to experimental manipulation of riparian buffer width along forest streams. Journal of Applied Ecology 40:1060-1076.</t>
  </si>
  <si>
    <t>LeSage, C. M., R. W. Merritt, and M. S. Wipfli. 2005. Headwater riparian invertebrate communities associated with red alder and conifer wood and leaf litter in southeastern Alaska. Northwest Science 79:218-232.</t>
  </si>
  <si>
    <t>Moldenke, A. R. and C. V. Linden. 2007. Effects of clearcutting and riparian buffers on the yield of adult aquatic macroinvertebrates from headwater streams. Forest Science 53:308-319.</t>
  </si>
  <si>
    <t>Naiman, R. J., R. E. Bilby, and P. A. Bisson. 2000. Riparian ecology and management in the Pacific Coastal Rain Forest. Bioscience 50:996-1011.</t>
  </si>
  <si>
    <t>Ober, H. K. and J. P. Hayes. 2008. Influence of forest riparian vegetation on abundance and biomass of nocturnal flying insects. Forest Ecology and Management 256:1124-1132.</t>
  </si>
  <si>
    <t>Richards, C., L. B. Johnson, and G. E. Host. 1996. Landscape-scale influences on stream habitats and biota. Canadian Journal of Fisheries and Aquatic Sciences 53:295-311.</t>
  </si>
  <si>
    <t>Richardson, J. S., R. E. Bilby, and C. A. Bondar. 2005. Organic matter dynamics in small streams of the Pacific Northwest. Journal of the American Water Resources Association 41:921-934.</t>
  </si>
  <si>
    <t>Roy, A. H., C. L. Faust, M. C. Freeman, and J. L. Meyer. 2005. Reach-scale effects of riparian forest cover on urban stream ecosystems. Canadian Journal of Fisheries and Aquatic Sciences 62:2312-2329.</t>
  </si>
  <si>
    <t>Utz, R. M., R. H. Hilderbrand, and D. M. Boward. 2009. Identifying regional differences in threshold responses of aquatic invertebrates to land cover gradients. Ecological Indicators 9:556-567.</t>
  </si>
  <si>
    <t>Wipfli, M. S., J. S. Richardson, and R. J. Naiman. 2007. Ecological linkages between headwaters and downstream ecosystems: Transport of organic matter, invertebrates, and wood down headwater channels. Journal of the American Water Resources Association 43:72-85.</t>
  </si>
  <si>
    <r>
      <t>Wipfli, M. S. and J. Musslewhite. 2004. Density of red alder (</t>
    </r>
    <r>
      <rPr>
        <i/>
        <sz val="10"/>
        <rFont val="Arial Narrow"/>
        <family val="2"/>
      </rPr>
      <t>Alnus rubra</t>
    </r>
    <r>
      <rPr>
        <sz val="10"/>
        <rFont val="Arial Narrow"/>
        <family val="2"/>
      </rPr>
      <t>) in headwaters influences invertebrate and detritus subsidies to downstream fish habitats in Alaska. Hydrobiologia 520:153-163.</t>
    </r>
  </si>
  <si>
    <t>Eilers, J. M., D. H. Landers, A. D. Newell, M. E. Mitch, M. Morrison, and J. Ford. 1993. Major Ion Chemistry of Lakes on the Kenai Peninsula, Alaska. Canadian Journal of Fisheries and Aquatic Sciences 50:816-826.</t>
  </si>
  <si>
    <t>May, C. W., R. R. Horner, J. R. Karr, B. W. Mar, and E. B. Welch. 1997. The Cumulative Effects of Urbanization on Small Streams in the Puget Sound Lowland Ecoregion. University of Washington, Seattle, WA.</t>
  </si>
  <si>
    <t>Chan-McLeod, A. C. A. and A. Moy. 2007. Evaluating residual tree patches as stepping stones and short-term refugia for red-legged frogs. Journal of Wildlife Management 71:1836-1844.</t>
  </si>
  <si>
    <t>Chen, J. and J. F. Franklin. 1990. Microclimatic pattern and basic biological responses at the clearcut edges of old-growth Douglas-fir stands. Northwest Environmental Journal 6:424-425.</t>
  </si>
  <si>
    <t>Chen, J., J. F. Franklin, and T. A. Spies. 1995. Growing-season micro-climatic gradients from clearcut edges into old-growth Douglas-fir forests. Ecological Applications 5:74–86.</t>
  </si>
  <si>
    <t>Cushman, S. A. 2006. Effects of habitat loss and fragmentation on amphibians: a review and prospectus. Biological Conservation 128:231-240.</t>
  </si>
  <si>
    <t>Dignan, P. and L. Bren. 2003. Modelling light penetration edge effects for stream buffer design in mountain ash forest in southeastern Australia. Forest Ecology and Management 179:95-106.</t>
  </si>
  <si>
    <t>Eigenbrod, F., S. Hecnar, and L. Fahrig. 2008a. Accessible habitat: an improved measure of the effects of habitat loss and roads on wildlife populations. Landscape Ecology 23:159-168.</t>
  </si>
  <si>
    <t>Eigenbrod, F., S. J. Hecnar, and L. Fahrig. 2008b. The relative effects of road traffic and forest cover on anuran populations. Biological Conservation 141:35-46.</t>
  </si>
  <si>
    <t xml:space="preserve">Fahrig, L. and T. Rytwinski. 2009. Effects of roads on animal abundance: an empirical review and synthesis. Ecology and Society 14:21. http://www.ecologyandsociety.org/vol14/iss21/art21/ </t>
  </si>
  <si>
    <t>Fahrig, L., J. H. Pedlar, S. E. Pope, P. D. Taylor, and J. F. Wegner. 1995. Effect of road traffic on amphibian density. Biological Conservation 73:177-182.</t>
  </si>
  <si>
    <t>Hennenberg, K. J., D. Goetze, J. Szarzynski, B. Orthmann, B. Reineking, I. Steinke, and S. Porembski. 2008. Detection of seasonal variability in microclimatic borders and ecotones between forest and savanna. Basic and Applied Ecology 9:275-285.</t>
  </si>
  <si>
    <t>Mader, H. J. 1984. Animal habitat isolation by roads and agricultural fields. Biological Conservation 29:81-96.</t>
  </si>
  <si>
    <t>Marsh, D. M. 2007. Edge effects of gated and ungated roads on terrestrial salamanders. Journal of Wildlife Management 71:389-394.</t>
  </si>
  <si>
    <t>Moore, R. D., D. L. Spittlehouse, and A. Story. 2005. Riparian microclimate and stream temperature response to forest harvesting: a review. Journal of the American Water Resources Association 41:813-834.</t>
  </si>
  <si>
    <t>Pearl, C., M. Adams, N. Leuthold, and R. Bury. 2005. Amphibian occurrence and aquatic invaders in a changing landscape: implications for wetland mitigation in the willamette valley, Oregon, USA. Wetlands 25:76-88.</t>
  </si>
  <si>
    <t>Ries, L., R. J. Fletcher, J. Battin, and T. D. Sisk. 2004. Ecological responses to habitat edges: mechanisms, models, and variability explained. Annual Review of Ecology Evolution and Systematics 35:491-522.</t>
  </si>
  <si>
    <t>Semlitsch, R. D., T. J. Ryan, K. Ramed, M. Chatfield, B. Drehman, N. Pekarek, M. Spath, and A. Watland. 2007. Salamander abundance along road edges and within abandoned logging roads in Appalachian forests. Conservation Biology 21:159-167.</t>
  </si>
  <si>
    <t>Epners, C. A., S. E. Bayley, J. E. Thompson, and W. M. Tonn. 2010. Influence of fish assemblage and shallow lake productivity on waterfowl communities in the Boreal Transition Zone of western Canada. Freshwater Biology 55:2265-2280.</t>
  </si>
  <si>
    <t>Haig, S. M., D. W. Mehlman, and L. W. Oring. 1998. Avian movements and wetland connectivity in landscape conservation. Conservation Biology 12:749-758.</t>
  </si>
  <si>
    <t>Keith, L. B. 1961. A study of waterfowl ecology on small impoundments in southeastern Alberta. Wildlife Monographs 6.</t>
  </si>
  <si>
    <t>Lovvorn, J. R. and J. R. Baldwin. 1996. Intertidal and farmland habitats of ducks in the Puget Sound region: a landscape perspective. Biological Conservation 77:97-114.</t>
  </si>
  <si>
    <t>Shepherd, P. C. F. and D. B. Lank. 2004. Marine and agricultural habitat preferences of dunlin wintering in British Columbia. Journal of Wildlife Management 68:61-73.</t>
  </si>
  <si>
    <t>Taft, O. W. and S. M. Haig. 2003. Historical wetlands in Oregon's Willamette Valley: Implication for restoration of winter waterbird habitat. Wetlands 23:51-64.</t>
  </si>
  <si>
    <r>
      <t>Sprague, A. J., D. J. Hamilton, and A. W. Diamond. 2008. Site safety and food affect movements of semipalmated sandpipers (</t>
    </r>
    <r>
      <rPr>
        <i/>
        <sz val="10"/>
        <rFont val="Arial Narrow"/>
        <family val="2"/>
      </rPr>
      <t>Calidris pusilla</t>
    </r>
    <r>
      <rPr>
        <sz val="10"/>
        <rFont val="Arial Narrow"/>
        <family val="2"/>
      </rPr>
      <t>) migrating through the upper Bay of Fundy. Avian Conservation and Ecology 3:1-22.</t>
    </r>
  </si>
  <si>
    <t>Andren, H. 1994. Effects of habitat fragmentation on birds and mammals in landscapes with different proportions of suitable habitat – a review. Oikos 71:355-366.</t>
  </si>
  <si>
    <t>Aznar, J. C. and A. Desrochers. 2008. Building for the future: Abandoned beaver ponds promote bird diversity. Ecoscience 15:250-257.</t>
  </si>
  <si>
    <t>Barber, J. R., K. R. Crooks, and K. M. Fristrup. 2010. The costs of chronic noise exposure for terrestrial organisms. Trends in Ecology &amp; Evolution 25:180-189.</t>
  </si>
  <si>
    <t>Belisle, M. and A. Desrochers. 2002. Gap-crossing decisions by forest birds: an empirical basis for parameterizing spatially-explicit, individual-based models. Landscape Ecology 17:219-231.</t>
  </si>
  <si>
    <t>Benitez-Lopez, A., R. Alkemade, and P. A. Verweij. 2010. The impacts of roads and other infrastructure on mammal and bird populations: A meta-analysis. Biological Conservation 143:1307-1316.</t>
  </si>
  <si>
    <t>Bosschieter, L. and P. W. Goedhart. 2005. Gap crossing decisions by Reed Warblers (Acrocephalus scirpaceus) in agricultural landscapes. Landscape Ecology 20:455–468.</t>
  </si>
  <si>
    <t>Clevenger, A. P., B. Chruszczc, and K. E. Gunson. 2003. Spatial patterns and factors influencing small vertebrate fauna road-kill aggregations. Biological Conservation 109:15-26.</t>
  </si>
  <si>
    <t>Creegan, H. P. and P. E. Osborne. 2005. Gap-crossing decisions of woodland songbirds in Scotland: an experimental approach. Journal of Applied Ecology 42:678-687.</t>
  </si>
  <si>
    <t>Desrochers, A. and S. J. Hannon. 1997. Gap crossing decisions by forest songbirds during the post-fledging period. Conservation Biology 11:1204-1210.</t>
  </si>
  <si>
    <t>Drever, M. C. and K. Martin. 2010. Response of woodpeckers to changes in forest health and harvest: Implications for conservation of avian biodiversity. Forest Ecology and Management 259:958-966.</t>
  </si>
  <si>
    <t>Flaherty, E. A., W. P. Smith, S. Pyare, and M. Ben-David. 2008. Experimental trials of the Northern flying squirrel (Glaucomys sabrinus) traversing managed rainforest landscapes: perceptual range and fine-scale movements. Canadian Journal of Zoology-Revue Canadienne De Zoologie 86:1050-1058.</t>
  </si>
  <si>
    <t>Flaherty, E., M. Ben-David, and W. Smith. 2010. Diet and food availability: implications for foraging and dispersal of Prince of Wales northern flying squirrels across managed landscapes. Journal of Mammalogy 91:79-91.</t>
  </si>
  <si>
    <t>Forman, R. T. T., B. Reineking, and A. M. Hersperger. 2002. Road traffic and nearby grassland bird patterns in a suburbanizing landscape. Environmental Management 29:782-800.</t>
  </si>
  <si>
    <t>Grover, A. M. and G. A. Baldassarre. 1995. Bird species richness within beaver ponds in south-central New York. Wetlands 15:108-118.</t>
  </si>
  <si>
    <t>Lawrence, R., A. Bunn, S. Powell, and M. Zambon. 2004. Classification of remotely sensed imagery using stochastic gradient boosting as a refinement of classification tree analysis. Remote Sensing of Environment 90:331–336.</t>
  </si>
  <si>
    <t>Lees, A. C. and C. A. Peres. 2009. Gap-crossing movements predict species occupancy in Amazonian Forest Fragments. Oikos 118:280-290.</t>
  </si>
  <si>
    <t>Minor, E. and D. Urban. 2010. Forest bird communities across a gradient of urban development. Urban Ecosystems 13:51-71.</t>
  </si>
  <si>
    <t>Ortega, Y. K. and D. E. Capen. 2002. Roads as edges: effects on birds in forested landscapes. Forest Science 48:381-390.</t>
  </si>
  <si>
    <t>Rail, J. F., M. Darveau, A. Desrochers, and J. Huot. 1997. Territorial responses of boreal forest birds to habitat gaps. Condor 99:976-980.</t>
  </si>
  <si>
    <t>Rich, A. C., D. S. Dobkin, and L. J. Niles. 1994. Defining forest fragmentation by corridor width: the influence of narrow forest-dividing corridors on forest-nesting birds in southern New Jersey. Conserv. Biology 8:1109-1121.</t>
  </si>
  <si>
    <t>Robertson, O. J. and J. Q. Radford. 2009. Gap-crossing decisions of forest birds in a fragmented landscape. Austral Ecology 34:435-446.</t>
  </si>
  <si>
    <t>Rodewald, P. G. and S. N. Matthews. 2005. Landbird use of riparian and upland forest stopover habitats in an urban landscape. The Condor 107:259-268.</t>
  </si>
  <si>
    <t>Schaub, A., J. Ostwald, and B. M. Siemers. 2008. Foraging bats avoid noise. Journal of Experimental Biology 211:3174-3180.</t>
  </si>
  <si>
    <t>Schieck, J., K. Lertzman, B. Nyberg, and R. Page. 1995. Effects of patch size on birds in old-growth montane forests. Conservation Biology 9:1072-1084.</t>
  </si>
  <si>
    <t>Shirley, S. 2004. The influence of habitat diversity and structure on bird use of riparian buffer strips in coastal forests of British Columbia, Canada. Canadian Journal of Forest Research-Revue Canadienne De Recherche Forestiere 34:1499-1510.</t>
  </si>
  <si>
    <t>Slabbekoorn, H. and E. A. P. Ripmeester. 2008. Birdsong and anthropogenic noise: implications and applications for conservation. Molecular Ecology 17:72-83.</t>
  </si>
  <si>
    <t>Smith, C. M. and D. G. Wachob. 2006. Trends associated with residential development in riparian breeding bird habitat along the Snake River in Jackson Hole, WY, USA: Implications for conservation planning. Biological Conservation 128:431-446.</t>
  </si>
  <si>
    <t>Tremblay, M. A. and C. C. St. Clair. 2009. Factors affecting the permeability of transportation and riparian corridors to the movements of songbirds in an urban landscape. Journal of Applied Ecology 46:1314-1322.</t>
  </si>
  <si>
    <t>Trombulak, S. C. and C. A. Frissell. 2000. Review of ecological effects of roads on terrestrial and aquatic communities. Conservation Biology 14:18-30.</t>
  </si>
  <si>
    <t>Vermaat, J. E., N. Vigneau, and N. Omtzigt. 2008. Viability of meta-populations of wetland birds in a fragmented landscape: testing the key-patch approach. Biodiversity and Conservation 17:2263-2273.</t>
  </si>
  <si>
    <t>Wood, W. E. and S. M. Yezerinac. 2006. Song sparrow (Melospiza melodia) song varies with urban noise. Auk 123:650-659.</t>
  </si>
  <si>
    <t>Zmihorski, M. 2010. The effect of windthrow and its management on breeding bird communities in a managed forest. Biodiversity and Conservation 19:1871-1882.</t>
  </si>
  <si>
    <t>Allombert, S., S. Stockton, and J.-L. Martin. 2005. A natural experiment on the impact of overabundant deer on forest invertebrates. Conservation Biology 19:1917-1929.</t>
  </si>
  <si>
    <t>Alsfeld, A. J., J. L. Bowman, and A. Deller-Jacobs. 2009. Effects of woody debris, microtopography, and organic matter amendments on the biotic community of constructed depressional wetlands. Biological Conservation 142:247-255.</t>
  </si>
  <si>
    <t>Baldwin, L. K. and G. E. Bradfield. 2007. Bryophyte responses to fragmentation in temperate coastal rainforests: a functional group approach. Biological Conservation 136:408-422.</t>
  </si>
  <si>
    <t>Bayley, S. E. and J. K. Guimond. 2008. Effects of river connectivity on marsh vegetation community structure and species richness in montane floodplain wetlands in Jasper National Park, Alberta, Canada. Ecoscience 15:377-388.</t>
  </si>
  <si>
    <t>Bayley, S. E. and J. K. Guimond. 2009. Above ground biomass and nutrient limitations in relation to river connectivity in montane floodplain marshes. Wetlands 29:1243-1254.</t>
  </si>
  <si>
    <t>Bliss, S. A. and P. H. Zedler. 1997. The germination process in vernal pools: sensitivity to environmental conditions and effects on community structure. Oecologia 113:67-73.</t>
  </si>
  <si>
    <t>Booth, D. B., D. Hartley, and R. Jackson. 2002. Forest cover, impervious-surface area, and the mitigation of storm water impacts. Journal of American Water Resources Association 38:835-845.</t>
  </si>
  <si>
    <t>Boudreault, C., Y. Bergeron, P. Drapeau, and L. M. Loopez. 2008. Edge effects on epiphytic lichens in remnant stands of managed landscapes in the eastern boreal forest of Canada. Forest Ecology and Management 255:1461-1471.</t>
  </si>
  <si>
    <t>DeGasperi, C. L., H. B. Berge, K. R. Whiting, J. J. Burkey, J. L. Cassin, and R. R. Fuerstenberg. 2009. LIinking hydrologic alteration to biological impairment in urbanizing streams of the Puget Lowland, Washington, USA. Journal of the American Water Resources Association 45:512-533.</t>
  </si>
  <si>
    <t>Ehrenfeld, J. G., B. Ravit, and K. Elgersma. 2005. Feedback in the plant-soil system. Annual Review of Environment and Resources 30:75-115.</t>
  </si>
  <si>
    <t>Gignac, L. D. and M. R. T. Dale. 2007. Effects of size, shape, and edge on vegetation in remnants of the upland boreal mixed-wood forest in agro-environments of Alberta, Canada. Canadian Journal of Botany 85:273-284.</t>
  </si>
  <si>
    <t>Hanley, T. A. and W. W. Brady. 1997. Understory species composition and production in old-growth western hemlock - Sitka spruce forests of southeastern Alaska. Canadian Journal of Botany-Revue Canadienne De Botanique 75:574-580.</t>
  </si>
  <si>
    <t>Heithecker, T. D. and C. B. Halpern. 2007. Edge-related gradients in microclimate in forest aggregates following structural retention harvests in western Washington. Forest Ecology and Management 248:163-173.</t>
  </si>
  <si>
    <t>Hood, G. A. and S. E. Bayley. 2008. Beaver (Castor canadensis) mitigate the effects of climate on the area of open water in boreal wetlands in western Canada. Biological Conservation 141:556-567.</t>
  </si>
  <si>
    <t>Houlahan, J. E., P. A. Keddy, K. Makkay, and C. S. Findlay. 2006. The effects of adjacent land use on wetland species richness and community composition. Wetlands 26:79-96.</t>
  </si>
  <si>
    <t>Hylander, K., B. G. Jonsson, and C. Nilsson. 2002. Evaluating buffer strips along boreal streams using bryophytes as indicators. Ecological Applications 12:797-806.</t>
  </si>
  <si>
    <t>Martin, J. L., S. A. Stockton, S. Allombert, and A. J. Gaston. 2010. Top-down and bottom-up consequences of unchecked ungulate browsing on plant and animal diversity in temperate forests: lessons from a deer introduction. Biological Invasions 12:353-371.</t>
  </si>
  <si>
    <t>Nekola, J. C. and P. S. White. 1999. Distance decay of similarity in biogeography and ecology. Journal of Biogeography 26:867–878.</t>
  </si>
  <si>
    <t>Nekola, J. C. 1999. Paleorefugia and neorefugia in the influence of colonization history on community pattern and process. Ecology 80:2459-2473.</t>
  </si>
  <si>
    <t>Pendergrass, K. L., P. M. Miller, and J. B. Kauffman. 1998. Prescribed fire and the response of woody species in Willamette Valley wetland prairies. Restoration Ecology 6:303-311</t>
  </si>
  <si>
    <t>Pollock, M. M., R. J. Naiman, and T. A. Hanley. 1998. Plant species richness in riparian wetlands - a test of biodiversity theory. Ecology 79:94-105.</t>
  </si>
  <si>
    <t>Radies, D., D. Coxson, C. Johnson, and K. Konwicki. 2009. Predicting canopy macrolichen diversity and abundance within old-growth inland temperate rainforests. Forest Ecology and Management 259:86-97.</t>
  </si>
  <si>
    <t>Rogers, D. A., T. P. Rooney, T. J. Hawbaker, V. C. Radeloff, and D. M. Waller. 2009. Paying the extinction debt in southern Wisconsin forest understories. Conservation Biology 23:1497-1506.</t>
  </si>
  <si>
    <t>Rooney, R. C. and S. E. Bayley. 2011. Relative influence of local- and landscape-level habitat quality on aquatic plant diversity in shallow open-water wetlands in Alberta's boreal zone: direct and indirect effects. Landscape Ecology 26:1023-1034.</t>
  </si>
  <si>
    <t>Šamonil, P., K. Král, and L. Hort. 2010. The role of tree uprooting in soil formation: A critical literature review. Geoderma 157:65-79.</t>
  </si>
  <si>
    <t>Wright, J. P., C. G. Jones, and A. S. Flecker. 2002. An ecosystem engineer, the beaver, increases species richness at the landscape scale. Oecologia 132:96-101.</t>
  </si>
  <si>
    <t>Bahuguna, D., S. J. Mitchell, and Y. Miquelajauregui. 2010. Windthrow and recruitment of large woody debris in riparian stands. Forest Ecology and Management 259:2048-2055.</t>
  </si>
  <si>
    <t>Cadenasso, M. L. and S. T. A. Pickett. 2001. Effect of edge structure on the flux of species into forest interiors. Conservation Biology 15:91-97.</t>
  </si>
  <si>
    <t>Engelhardt, K. A. M. and J. A. Kadlec. 2001. Species traits, species richness and the resilience of wetlands after disturbance. Journal of Aquatic Plant Management 39:36-39.</t>
  </si>
  <si>
    <t>Gomi, T., R. D. Moore, and A. S. Dhakal. 2006. Headwater stream temperature response to clear-cut harvesting with different riparian treatments, coastal British Columbia, Canada. Water Resources Research 42:WO8437.</t>
  </si>
  <si>
    <t>Hennings, L. A. and W. D. Edge. 2003. Riparian bird community structure in Portland, Oregon: habitat, urbanization, and spatial scale patterns. The Condor 105:288-302.</t>
  </si>
  <si>
    <t>Leibowitz, S. G. 2003. Isolated wetlands and their functions: An ecological perspective. Wetlands 23:517-531.</t>
  </si>
  <si>
    <t>Martin, D. J. and R. A. Grotefendt. 2007. Stand mortality in buffer strips and the supply of woody debris to streams in Southeast Alaska. Canadian Journal of Forest Research 37:36-49.</t>
  </si>
  <si>
    <t>Oberts, G. L. 1977. Water Quality Effects of Potential Urban Best Management Practices: A Literature Review. Technical Bulletin No. 97. Wisconsin Department of Natural Resources, Madison, WI.</t>
  </si>
  <si>
    <t>Stohlgren, T. J., G. W. Chong, L. D. Schell, K. A. Rimar, Y. Otsuki, M. Lee, M. A. Kalkhan, and C. A. Villa. 2002. Assessing vulnerability to invasion by nonnative plant species at multiple spatial scales. Environmental Management 29:566-577.</t>
  </si>
  <si>
    <t>Werner, K. J. and J. B. Zedler. 2002. How sedge meadow soils, microtopography, and vegetation respond to sedimentation. Wetlands 22:451-466.</t>
  </si>
  <si>
    <t>Whigham, D. F. and T. E. Jordan. 2003. Isolated wetlands and water quality. Wetlands 23:541-549.</t>
  </si>
  <si>
    <t>Wigand, C., R. A. McKinney, M. A. Charpentier, M. M. Chintala, and G. B. Thursby. 2003. Relationships of nitrogen loadings, residential development, and physical characteristics with plant structure in New England salt marshes. Estuaries 26:1494-1504.</t>
  </si>
  <si>
    <t>Reflooding of soils that have been dry for extended periods, as occurs during restoration, can mobilize phosphorus, especially if flooding creates anoxic conditions (Burley et al. 2001, Duff et al. 2009) or if large quantities of leaf litter and other organic matter are present and rapidly decompose or leach phosphorus. Restoration of Oregon's Williamson River Delta wetlands, where P concentrations of up to 0.63 mg/L were much greater than in the adjoining Upper Klamath Lake, released 2 mg of P to the lake during the 3 weeks post-restoration, but the release was not expected to be long-term (Wong et al. 2011).</t>
  </si>
  <si>
    <t>High marshes tend to be more productive than low marshes (Jefferson 1975, Eilers 1975, 1979, Frenkel &amp; Morlan 1990, Kirwan &amp; Murray 2008) and biomass is less likely to be exposed to waves and currents that could export it.  Raised elevation of tidal wetlands in some cases may be due at least partly to a long history of organic matter accumulation.  However, elevation within a tidal marsh may have limited effect on carbon sequestration rate (Callaway et al. 2012).</t>
  </si>
  <si>
    <t xml:space="preserve">Aboveground production rates and (in some cases) soil organic matter have been shown to be less in lands newly restored to wetland conditions than in long-established wetlands (Morlan 1991, Frenkel &amp; Morlan 1991, MacClellan 2011). </t>
  </si>
  <si>
    <t>Uplands that are dominated by natural perennial vegetation usually provide the most suitable microclimates and habitat structure for amphibians during their terrestrial phases.  Abundance of some amphibians correlates with the proportionate extent of perennial cover within a few hundred meters (e.g., Guerry &amp; Hunter 2002, Skidds et al. 2007).</t>
  </si>
  <si>
    <t xml:space="preserve">In the Willamette Valley, wetlands with &gt;35% of their perimeter with trees had the lowest probabilities of local extinction (Adams et al. 2011).  Where forests are thinned rather than clear cut, vegetated buffers as narrow as 55 ft may be enough to offset changes in riparian microclimate that would otherwise have occurred from the thinning (Olson &amp; Chan 2005). </t>
  </si>
  <si>
    <t xml:space="preserve">Microclimate, which strongly influences plant species richness, can be altered by removal or thinning of vegetation within upland buffers of wetlands.  Lichens and mosses in wetlands have been affected by edge-induced microclimate changes extending at least 50 ft into their forested upland buffers (Hylander et al. 2002, Boudreault et al. 2008) and as far as ~150 ft from the forest edge (Baldwin &amp; Bradfield 2005).  Studies in western Washington found the light regime on the forest floor was affected ~100-200 ft from the edge, while humidity and air circulation were affected as far as ~800 ft into the forest (Chen et al. 1990, 1995).  A second study of riparian areas in western Washington suggested a wooded buffer of about 150 ft might be necessary to approximate the natural microclimate gradients around streams (Brosofske et al. 1997). The influence of adjoining clear-cuts on microclimate within a forest normally extends about 160 ft into the forest, but in extreme cases can extend as far as 500 ft (Dignan &amp; Bren 2003, Ries et al. 2004, Moore et al. 2005, Hennenberg et al. 2008). </t>
  </si>
  <si>
    <t>These non-native species prey on or compete with native amphibian and turtle species, or (in the case of carp) can drastically alter vegetative cover.  However, their influence on many amphibian populations appears to be quite minor (Adams et al. 2011).</t>
  </si>
  <si>
    <t>Wetlands that store water only temporarily or seasonally have longer periods during the year in which soils are unsaturated and thus able to briefly store or delay additional water from precipitation and runoff. Wetland connectivity is key to estimating wetland water storage: wetlands that lack an outlet (never have any outflow) store or dissipate (via evaporation or seepage) nearly all the water they receive (Novitzki 1981, Spence et al. 2011).</t>
  </si>
  <si>
    <t>Waves tend to erode the outer edges of wetlands, thus removing their capacity to trap sediment (Keddy 1983).</t>
  </si>
  <si>
    <t>Keddy, P. A. 1983. Shoreline vegetation in Axe Lake, Ontario: effects of exposure on zonation patterns. Ecology 64:331-344.</t>
  </si>
  <si>
    <t xml:space="preserve">Intertidal vegetation traps substantial amounts of suspended sediment (Hood 2010).  Wider vegetated areas provide more area for sediment particles to be filtered and deposited, especially if borne in runoff. Knutson et al. (1981) found that emergent wetlands wider than 30 feet reduced wave energy by 88% while those less than 6 feet wide were relatively ineffective in wave buffering. </t>
  </si>
  <si>
    <t>Vegetated areas reduce erosion, so the greater the greater the width of an upland vegetated buffer, the less suspended sediment will reach a wetland, and the less opportunity the wetland will have to perform this function. Many studies have shown that sediment retention is greatest in the first 5-20 ft of a buffer, that is, the most uphill portion, which is closest to potential inputs of runoff-borne sediment (Polyakov et al. 2005, White et al. 2007, Zhang et al. 2010). However, this depends on steepness of the terrain, erodibility and infiltration capacity of the soil, ground cover, antecedent soil saturation, sediment particle size, and runoff intensity. Wider buffers are required when runoff carries finer-sized particles (e.g., clay).</t>
  </si>
  <si>
    <t>Clay particles flocculate and settle out disproportionately at the salt/fresh water interface, particularly in the range 2 to 5 ppt (Rochford 1953, Peters and Wollast 1976, Correll 1978).</t>
  </si>
  <si>
    <t xml:space="preserve">Stream fish species richness in western Oregon increases with warmer local temperatures in summer (Rathert et al. 1999), which may correlate with GDD.  </t>
  </si>
  <si>
    <t>In Oregon streams, native fish species richness is correlated negatively with the number of non-native fish species (Rathert et al. 1999).</t>
  </si>
  <si>
    <t>If accessible and otherwise suitable for fish, wetlands lower in a river basin are more likely to support a larger variety of resident fish (Vannote et al. 1980, Beecher et al. 1988). Aquatic productivity tends to be higher due to the associated milder temperatures, less acidic conditions (Eilers et al. 1993), and higher fertility.</t>
  </si>
  <si>
    <t>Groundwater supports temperature stability, surface water persistence, and a relatively steady input of nutrients that in turn supports algal production and the invertebrate foods important to fish.</t>
  </si>
  <si>
    <t xml:space="preserve">Aquatic invertebrate communities (both benthic and planktonic) are harmed by excessive sedimentation and/or turbidity from sediment runoff (Gleason et al. 2003). The deposition of fine sediment can limit populations of grazing invertebrates even when algal foods become more available following canopy removal (Kiffney &amp; Bull 2000). </t>
  </si>
  <si>
    <t>Tidal channels diversify the microtopography and tidal inundation regime, and this can diversify associated aquatic invertebrate prey types. Complex networks of tidal channels within a wetland provide access routes for incoming tides, invertebrates, and detritus carried in from subtidal areas (Minello et al. 1994, Minello &amp; Rozas 2002). In contrast, tidal channel networks that have been straightened or simplified support less invertebrate diversity (Balling et al. 1980).  By providing gaps for sunlight to penetrate dense vegetation cover, tidal channels can increase production of epiphytic algae favored by many invertebrates.</t>
  </si>
  <si>
    <t xml:space="preserve">Kaster, J. L., and G. Z. Jacobi. 1978. Benthic macroinvertebrates of a fluctuating reservoir. Freshw. Biol. 8:283-290. </t>
  </si>
  <si>
    <t>Cushman, R. M. 1985. Review of ecological effects of rapidly varying flows downstream from hydoelectic facilities. N. Am. J. Fish. Manage. 5:330-339.</t>
  </si>
  <si>
    <t>Life histories of most invertebrates are closely linked to specific thermal and light (seasonality) conditions as those interact with specific hydrologic patterns. Abnormal patterns of inundation to which invertebrate communities are not adapted may reduce populations of many intolerant invertebrate species, thus diminishing local biodiversity (Kaster &amp; Jacobi 1978, Cushman 1985).</t>
  </si>
  <si>
    <t xml:space="preserve">Compared to freshwater marshes and forested swamps, saline wetlands tend to have lower potential denitrification rates (Smith &amp; DeLaune 1983, Seitzinger 1988).  Also, greater exposure to tides and wind may lead to export of a greater proportion of the nitrate.  However, freshwater marshes may generate more nitrous oxide (Dodla et al. 2008).  </t>
  </si>
  <si>
    <r>
      <t>On a per-unit-area basis, species richness of vascular plants tends to be greater in high marsh than in low marsh in Oregon tidal marshes (Jefferson 1978, Frenkel et al. 1981, Adamus 2005), due partly to the stress of prolonged inundation in the latter.  Nonetheless, a few low marsh species do not occur in high marsh, and lower tidal elevations support more seaweed species (Janousek &amp; Folger 2012) so a combination of both zones may be optimal. In California, enrichment of low marsh with nitrate decreased plant richness by increasing the dominance of pickleweed (</t>
    </r>
    <r>
      <rPr>
        <i/>
        <sz val="10"/>
        <rFont val="Arial Narrow"/>
        <family val="2"/>
      </rPr>
      <t>Sarcocornia pacifica</t>
    </r>
    <r>
      <rPr>
        <sz val="10"/>
        <rFont val="Arial Narrow"/>
        <family val="2"/>
      </rPr>
      <t>) (Ryan &amp; Boyer 2012). By one perspective, high marsh might be valued to a greater degree than low marsh because it is more likely to be imperiled by rising sea levels, due to limited opportunities for upgradient "migration" (Watson &amp; Byrne 2012).</t>
    </r>
  </si>
  <si>
    <t>Larger patches of native vegetation tend to have more species, a more protected microclimate, and are better resist invasion by non-native species that otherwise harm native plant diversity.  Plant richness in Oregon tidal marshes has been shown to correlate with marsh area (Adamus 2005, Weilhoefer et al. 2013).</t>
  </si>
  <si>
    <t>Invasion by non-native species typically results in a reduction in native plant species richness. Oregon tidal marshes with greater frequency and cover of non-native species have been found to have fewer native species (Adamus 2005, Weilhoefer et al. 2013).</t>
  </si>
  <si>
    <t>The less extensively that perennial vegetation adjoins a tidal wetland's upland edge, the more likely it is that water quality and plant richness in the wetland will be impaired.  Plant richness was found by Weilhoefer et al. 2013 to be lower in Oregon tidal marshes with more development within 100 m, but salinity and the proportion of wetland that surrounded the sample site had greater influence.</t>
  </si>
  <si>
    <t>Different plant species occur under different tidal inundation regimes, which correlate with different elevations (Frenkel et al. 1981).  Thus, a greater diversity of elevations (i.e., complex microtopography) often supports a wider variety of tidal wetland plants (Pollock et al. 1998).</t>
  </si>
  <si>
    <t>Excessive suspended sediment limits the production of algae important to aquatic invertebrates, and toxic substances Iespecially pesticides) are directly harmful. This indicator receives a score of 0 (negative impact on invertebrates) only if at least one of the below are marked as causing the concern AND either a persistent or intermittent surface connection exists with the downstream AA.</t>
  </si>
  <si>
    <t>Wetlands that are more geographically isolated from other wetlands and water bodies are more likely to have lower plant species richness than those that are near (Nekola &amp; White 1999, Sebastian-Gonzalez et al. 2012).  However, cumulatively their contribution to regional plant diversity may be greater because of increasing likelihood that climate and elevation will be different the farther apart the wetlands, and the more likely they will support species with low dispersal capacities, which tend to be non-generalists.</t>
  </si>
  <si>
    <t>Most plants have relatively limited dispersal capacities.  Perennial cover contains more plant species than highly disturbed land cover.  Thus, wetlands nearest to perennial cover and which are not farmed usually support a wider diversity of native plant species, other factors being equal (Smith &amp; Haukos 2002). Genetically modified invasive plants that are resistant to herbicides and thus imperil native wetland plants are more likely to occur in wetlands surrounded by non-perennial land cover types such as croplands and urban areas where herbicides are widely used (Bollman et al. 2012).</t>
  </si>
  <si>
    <t>With regard to emergent and submersed aquatic plants, shallower areas generally have greater plant richness due mainly to greater availability of light and sediment oxygen (Vestergaard &amp; Sand-Jensen 2000).</t>
  </si>
  <si>
    <t>Low levels of dissolved oxygen in groundwater can support greater methane emissions, as can the circumneutral acidity typical of groundwater (Updegraff et al. 1995). As a result less carbon may be sequestered in some groundwater-fed wetlands (Smemo &amp;Yavitt 2006).  This may not be the case if groundwater also increases the levels of iron, calcium, and sulfate in surface water, which inhibit methane emission.  Local geology may determine.</t>
  </si>
  <si>
    <t xml:space="preserve">Wetland emissions of methane increase with warming temperatures (Sha et al. 2011).  Although plants responsible for much of the carbon sequestration in wetlands grow fastest at warmer soil or sediment temperatures, they also decompose faster. With colder temperatures (fewer degree days), the concentration of mobile DOC in forested wetland soils and streams decreases, suggesting more immobile carbon is sequestered onsite rather than being exported downslope in groundwater (D’Amore et al. 2010). </t>
  </si>
  <si>
    <t>Wetting and drying of sediments, as happens especially in wetlands with large water level fluctuations, increases the leaching and desorption of phosphorus from sediment organic matter, thus resulting in net export. However, stable water levels also can promote phosphorus export (not retention) because they are often associated with anoxic conditions that result in increased mobility of phosphorus. Sediment P release and subsequent export is particularly strong during periods of seasonal anoxia (Burley et al. 2001).</t>
  </si>
  <si>
    <t>These wetland types are not only rare in Oregon, but most are also highly sensitive to hydrologic and water quality changes.</t>
  </si>
  <si>
    <t>Hydrologic Landscape (Arid)</t>
  </si>
  <si>
    <t>Greater amount and intensity of precipitation potentially results in greater transport of wetland-produced carbon into downstream waters.</t>
  </si>
  <si>
    <t xml:space="preserve">Groundwater Strength of Evidence (Groundw) </t>
  </si>
  <si>
    <t>Within the AA, the gradient from the upland boundary (or part closest to it) and the lowest point in the AA is:</t>
  </si>
  <si>
    <t>IF((NoOutlet=1),0, ELSE: AVERAGE(OutDura, Gradient, Arid, AVERAGE(Constric, ThruFlo, PondWpctWet,WidthWet,Elev,SAV)))</t>
  </si>
  <si>
    <t>Hydrologic Isolation</t>
  </si>
  <si>
    <t>FR</t>
  </si>
  <si>
    <t>WS</t>
  </si>
  <si>
    <t>WC</t>
  </si>
  <si>
    <t>SR</t>
  </si>
  <si>
    <t>PR</t>
  </si>
  <si>
    <t>NR</t>
  </si>
  <si>
    <t>CS</t>
  </si>
  <si>
    <t>OE</t>
  </si>
  <si>
    <t>INV</t>
  </si>
  <si>
    <t>AM</t>
  </si>
  <si>
    <t>SBM</t>
  </si>
  <si>
    <t>POL</t>
  </si>
  <si>
    <t>PU</t>
  </si>
  <si>
    <t>EC</t>
  </si>
  <si>
    <t>STR</t>
  </si>
  <si>
    <t>FA</t>
  </si>
  <si>
    <t>WBN</t>
  </si>
  <si>
    <t>WBF</t>
  </si>
  <si>
    <t>Cattail or Tall Bulrush Cover (Cttail)</t>
  </si>
  <si>
    <t>Open Water - Extent</t>
  </si>
  <si>
    <t>% Only Saturated or Seasonally Flooded (SeasPct)</t>
  </si>
  <si>
    <t>Exposed Shrub Canopy (ShrExpos)</t>
  </si>
  <si>
    <t>AVERAGE(1-GDD,Groundw)</t>
  </si>
  <si>
    <r>
      <t xml:space="preserve">IF((NotNewWet=1), AVERAGE(Moss,SoilTex,SoilDisturb, AVERAGE(GDD,WoodyPct,WidthWet, Constric)), </t>
    </r>
    <r>
      <rPr>
        <b/>
        <sz val="10"/>
        <rFont val="Arial Narrow"/>
        <family val="2"/>
      </rPr>
      <t>ELSE:</t>
    </r>
    <r>
      <rPr>
        <sz val="10"/>
        <rFont val="Arial Narrow"/>
        <family val="2"/>
      </rPr>
      <t xml:space="preserve"> NewWet)</t>
    </r>
  </si>
  <si>
    <t>AVERAGE(SeasWpct, Fluctu)</t>
  </si>
  <si>
    <t>AVERAGE(WaterMixDry,ThruFlo, SAVpct, AVERAGE(EmArea,EmPct,HerbDom,DepthEven, Gcover,Girreg,WoodDown,Nfix)))</t>
  </si>
  <si>
    <t>SENS</t>
  </si>
  <si>
    <t>AVERAGE(SoilTexT,(VegformsT + 2*VegFormDomT)/3, MAX(EstPosT,SalinT), AVERAGE(WidthHiT,WidthLoT,LowMarshT,GcoverT), RestoredT)</t>
  </si>
  <si>
    <t>When water remains entirely belowground water temperatures in summer remain cooler than if exposed aboveground.</t>
  </si>
  <si>
    <t>Stressor Subscore=</t>
  </si>
  <si>
    <t>AVERAGE(BuffWidth,PerimPctPer,PerCovPct, ImpervRCA, ImpervSCA)</t>
  </si>
  <si>
    <t>AVERAGE(Moss,Algae,SAV,GDD)</t>
  </si>
  <si>
    <t>Wetlands that are closer to perennial land cover are more likely to support a large diversity of songbird and mammal species. Wetlands that are closer to forest are even more likely to support a large diversity of songbird and mammal species. Forests provide additional vertical habitat structure. The probability that a forest-dwelling bird will fly in the open between two patches of forest decreases rapidly as the distance separating those patches increases (Desrochers &amp; Hannon 1997, St. Clair et al. 1998). Forest bird species usually prefer to detour under forest cover even if the forested route is longer, but if the detour is too long, they will prefer a shortcut across openland. However, when possible most forest bird species avoid venturing farther than about 100 ft from a forest edge (St. Clair et al. 1998).</t>
  </si>
  <si>
    <r>
      <rPr>
        <b/>
        <sz val="10"/>
        <rFont val="Arial Narrow"/>
        <family val="2"/>
      </rPr>
      <t>IF((Tidal</t>
    </r>
    <r>
      <rPr>
        <sz val="10"/>
        <rFont val="Arial Narrow"/>
        <family val="2"/>
      </rPr>
      <t xml:space="preserve">=1),AVERAGE(VisitNoT,VisitOftenT,UsesT, RecPotenT),  </t>
    </r>
    <r>
      <rPr>
        <b/>
        <sz val="10"/>
        <rFont val="Arial Narrow"/>
        <family val="2"/>
      </rPr>
      <t xml:space="preserve">ELSE: </t>
    </r>
    <r>
      <rPr>
        <sz val="10"/>
        <rFont val="Arial Narrow"/>
        <family val="2"/>
      </rPr>
      <t xml:space="preserve">      (AVERAGE(VisitNo,VisitOften,Zoning,Consumables, RecPoten,DistRd,Visibil,OWareaDry)))</t>
    </r>
  </si>
  <si>
    <t>Wetland Ecological Condition (EC)</t>
  </si>
  <si>
    <t>Larger ponded areas are preferred by swans, loons, grebes, cormorants, and some other waterbird species.  That is because they provide greater buffer against predators, are more likely to have productive fish populations, and are sufficiently long for waterbird species that cannot take flight by leaping directly upward.</t>
  </si>
  <si>
    <t>AVERAGE(Salin,TreeDiams,Moss,PermW)</t>
  </si>
  <si>
    <t>AVERAGE(ImpervRCA,BuffWidth,PerimPctPer)</t>
  </si>
  <si>
    <t>F7</t>
  </si>
  <si>
    <t>F13</t>
  </si>
  <si>
    <t>F14</t>
  </si>
  <si>
    <t>F31</t>
  </si>
  <si>
    <t>F32</t>
  </si>
  <si>
    <t>F44</t>
  </si>
  <si>
    <t>F45</t>
  </si>
  <si>
    <t>F56</t>
  </si>
  <si>
    <t>F58</t>
  </si>
  <si>
    <t>F59</t>
  </si>
  <si>
    <t>F60</t>
  </si>
  <si>
    <t>F62</t>
  </si>
  <si>
    <t>F63</t>
  </si>
  <si>
    <t>F67</t>
  </si>
  <si>
    <t>F68</t>
  </si>
  <si>
    <r>
      <t xml:space="preserve">Storage by wetlands is obviously more valuable when properties located downslope might otherwise be flooded. The need for (and value of) storage potentially provided by wetlands is greater when floodable property downslope is not being adequately protected by other water storage or detention features.  </t>
    </r>
    <r>
      <rPr>
        <i/>
        <sz val="10"/>
        <rFont val="Arial Narrow"/>
        <family val="2"/>
      </rPr>
      <t>In calculations, is ignored (cell goes blank) if not near a river or if floodplains have not been mapped.</t>
    </r>
  </si>
  <si>
    <r>
      <t xml:space="preserve">Rate of sediment retention by a wetland is hypothesized be disproportionate to wetland area.  As the area of emergent plants increases, current velocity may be reduced nonlinearly, and a larger proportion of the sediment may be intercepted, particularly if the wetland is not narrow. </t>
    </r>
    <r>
      <rPr>
        <i/>
        <sz val="10"/>
        <rFont val="Arial Narrow"/>
        <family val="2"/>
      </rPr>
      <t>This indicator is used only if some persistent surface water is present in the AA for more than 4 consecutive weeks of the growing season.</t>
    </r>
  </si>
  <si>
    <t xml:space="preserve">Wetlands with relatively large contributing areas are likely to receive more sediment and nutrient inputs, providing opportunity for processing and retention. </t>
  </si>
  <si>
    <r>
      <t xml:space="preserve">Conditions that foster the transport of eroded sediment and P from uplands to wetlands increase the opportunity for wetlands to retain the P. </t>
    </r>
    <r>
      <rPr>
        <i/>
        <sz val="10"/>
        <rFont val="Arial Narrow"/>
        <family val="2"/>
      </rPr>
      <t>In calculations, is ignored (cell goes blank) if wetland appears to have no contributing area.</t>
    </r>
  </si>
  <si>
    <r>
      <t xml:space="preserve">Proximity to a phosphorus source increases opportunity for retention, and eroding soil is often a major source of P.  </t>
    </r>
    <r>
      <rPr>
        <i/>
        <sz val="10"/>
        <rFont val="Arial Narrow"/>
        <family val="2"/>
      </rPr>
      <t>In calculations, is ignored (cell goes blank) if wetland appears to have no contributing area.</t>
    </r>
  </si>
  <si>
    <r>
      <t xml:space="preserve">Impervious surfaces and bare soil retain less sediment and associated phosphorus, allowing it to be exported instead to wetlands. </t>
    </r>
    <r>
      <rPr>
        <i/>
        <sz val="10"/>
        <rFont val="Arial Narrow"/>
        <family val="2"/>
      </rPr>
      <t xml:space="preserve"> In calculations, is ignored (cell goes blank) if wetland appears to have no contributing area.</t>
    </r>
  </si>
  <si>
    <r>
      <t xml:space="preserve">Unvegetated areas are frequently sources for suspended sediment and/or associated toxic substances, thus providing wetlands for more opportunity to retain or process these. </t>
    </r>
    <r>
      <rPr>
        <i/>
        <sz val="10"/>
        <rFont val="Arial Narrow"/>
        <family val="2"/>
      </rPr>
      <t>In calculations, is ignored (cell goes blank) if wetland has no tributary or has no contributing area.</t>
    </r>
  </si>
  <si>
    <r>
      <t xml:space="preserve">Impervious surfaces and bare soil retain less sediment and associated phosphorus, allowing it to be exported instead to wetlands. </t>
    </r>
    <r>
      <rPr>
        <i/>
        <sz val="10"/>
        <rFont val="Arial Narrow"/>
        <family val="2"/>
      </rPr>
      <t xml:space="preserve"> In calculations, is ignored (cell goes blank) if wetland has no tributary or has no contributing area.</t>
    </r>
  </si>
  <si>
    <t>AVERAGE(PermW, AVERAGE(Groundw,SeasPct, DepthDom,Fluctu,PondWpctWet))</t>
  </si>
  <si>
    <t>AVERAGE(ConnLocalW,DistPond, HUCbest))</t>
  </si>
  <si>
    <t>AVERAGE(DistPond,DistLake,DistTidal, HUCbest)</t>
  </si>
  <si>
    <t>&gt;95% of the AA.</t>
  </si>
  <si>
    <t xml:space="preserve">&lt;5% of the vegetated AA and &lt;0.01 acre (400 sq ft). </t>
  </si>
  <si>
    <t xml:space="preserve">&gt; 300 ft. </t>
  </si>
  <si>
    <r>
      <rPr>
        <b/>
        <sz val="10"/>
        <rFont val="Arial Narrow"/>
        <family val="2"/>
      </rPr>
      <t>Interdunal wetland</t>
    </r>
    <r>
      <rPr>
        <sz val="10"/>
        <rFont val="Arial Narrow"/>
        <family val="2"/>
      </rPr>
      <t xml:space="preserve"> (Coastal ecoregion): a seasonally inundated wetland, usually without a naturally-occurring inlet or outlet, located between sand dunes where wind has scoured the sand down to the water table (deflation plain, blowout pond), and often with significant cover of the native species in column E.</t>
    </r>
  </si>
  <si>
    <t>Interception and/or Friction in wet zone (Intercept Wet)</t>
  </si>
  <si>
    <t>Interception and/or Erosion Resistance in Dry Zone (Intercept Dry)</t>
  </si>
  <si>
    <t>AVERAGE(Hydropd,PondWpctDry,SeasPct, DepthDom,OutDura)</t>
  </si>
  <si>
    <t>Structure &amp; Size (Struc)</t>
  </si>
  <si>
    <t>Interception and/or Erosion Resistance in dry zone (DryIntercept)</t>
  </si>
  <si>
    <t>Interception and/or Friction in wet zone (WetIntercept)</t>
  </si>
  <si>
    <t>Connectivity</t>
  </si>
  <si>
    <t>OF2</t>
  </si>
  <si>
    <t>OF8</t>
  </si>
  <si>
    <t>OF12</t>
  </si>
  <si>
    <t>OF15</t>
  </si>
  <si>
    <t>OF18</t>
  </si>
  <si>
    <t>OF42</t>
  </si>
  <si>
    <t xml:space="preserve">Hydrologic Entrainment </t>
  </si>
  <si>
    <t>(2*AVERAGE(Hydropd,OWareaWet) +AVERAGE(Hydropd,PermWpct, Fluctu))/3</t>
  </si>
  <si>
    <t>[AVERAGE(Gradient, WetPctRCA,WetPctSCA) + AVERAGE(Girreg, Gcover,VegCut,SoilDisturb)] /2</t>
  </si>
  <si>
    <t>AVERAGE(Moss,WoodyPct,TreeDiams,Beaver,GDD,Arid,Nfix)</t>
  </si>
  <si>
    <t>AVERAGE (Hydropd,Lentic,Gradient, AVERAGE(OWareaWet,PondWpctWet), MAX(SeasPct,PermWpct), DepthDom,DepthEven))</t>
  </si>
  <si>
    <r>
      <rPr>
        <b/>
        <sz val="10"/>
        <rFont val="Arial Narrow"/>
        <family val="2"/>
      </rPr>
      <t>Linear</t>
    </r>
    <r>
      <rPr>
        <sz val="10"/>
        <rFont val="Arial Narrow"/>
        <family val="2"/>
      </rPr>
      <t>: a significant proportion of the wetland's upland edge is straight, as in wetlands bounded partly or wholly by dikes or roads, or the AA is entirely surrounded by water or other wetlands.</t>
    </r>
  </si>
  <si>
    <t>min</t>
  </si>
  <si>
    <t>max</t>
  </si>
  <si>
    <t>range</t>
  </si>
  <si>
    <t>Boelter, D. H. and E. S. Verry. 1977. Peatland and Water in the Northern Lake States. General Technical Report NC-31. U.S. Department of Agriculture, Forest Service, North Central Research Station, St. Paul, MN.</t>
  </si>
  <si>
    <t>Bormann, F. H. and G. E. Likens. 1979. Pattern and Process in a Forested Ecosystem. Springer-Verlag., New York City, NY.</t>
  </si>
  <si>
    <t>Camfield, F. E. 1977. Wind-wave propagation over flooded, vegetated land. U. S. Army Corps of Engineers Technical Paper No. 77-12. U. S. Army Corps of Engineers, Coastal Engineering Research Center, Vicksburg, MS.</t>
  </si>
  <si>
    <t>Cowardin, L. M., V. Carter, F. C. Golet, and E. T. LaRoe. 1979. Classification of Wetlands and Deepwater Habitats of the United States. FWS/OBS-77/31. U.S. Fish and Wildlife Service, Wahington, DC.</t>
  </si>
  <si>
    <t>Laenen, A. 1980. Storm Runoff as Related to Urbanization in the Portland, Oregon-Vancouver, Washington Area. Water Resources Investigations 80-689. U.S. Geological Survey, Portland, OR.</t>
  </si>
  <si>
    <t xml:space="preserve">Moore, I. and C. Larson. 1980. Hydrologic impact of draining small depressional watersheds. Journal of the Irrigation and Drainage Division 196 (IR4):345-363. </t>
  </si>
  <si>
    <t>Novitzki, R. P. 1981. Hydrology of Wisconsin Wetlands, Geological and Natural History Survey, Information Circular 40. University of Wisconsin - Extension, Madison, WI.</t>
  </si>
  <si>
    <t>Peterjohn, W. T. and D. L. Correll. 1984. Nutrient dynamics in an agricultural watershed: observations on the role of a riparian forest. Ecology 65:1466-1475.</t>
  </si>
  <si>
    <t>Waite, I. R., S. Sobieszczyk, K. D. Carpenter, A. J. Arnsberg, H. M. Johnson, C. A. Hughes, M. J. Sarantou, and F. A. Rinella. 2008. Effects of Urbanization on Stream Ecosystems in the Willamette River Basin and Surrounding Area,Oregon and Washington: Scientific Investigations Report 2006–5101–D., U.S. Geological Survey, Portland, OR.</t>
  </si>
  <si>
    <r>
      <t xml:space="preserve">IF((Tidal=1),0, IF((NoOutlet=1),1, IF((NeverWater=1), (2*Gradient + AVERAGE(Groundw,SoilTex,Gcover,Girreg))/3,  </t>
    </r>
    <r>
      <rPr>
        <b/>
        <sz val="10"/>
        <rFont val="Arial Narrow"/>
        <family val="2"/>
      </rPr>
      <t xml:space="preserve">ELSE: </t>
    </r>
    <r>
      <rPr>
        <sz val="10"/>
        <rFont val="Arial Narrow"/>
        <family val="2"/>
      </rPr>
      <t>[3*AVERAGE(OutDura,LiveStore) + AVERAGE(Friction,Subsurf)]/ 4</t>
    </r>
  </si>
  <si>
    <t>Non-Tidal          Function Indicators</t>
  </si>
  <si>
    <t>Categorical Choices</t>
  </si>
  <si>
    <t>Data X    Points</t>
  </si>
  <si>
    <t>Normalized</t>
  </si>
  <si>
    <t>Boorman, L. A., A. Garbutt, and D. Barratt. 1998. The role of vegetation in determining patterns of the accretion of salt marsh sediment. Geological Society of London, Special Publications 139:389-399.</t>
  </si>
  <si>
    <t>Correll, D. L. 1978. Estuarine productivity. Bioscience 28:646-650.</t>
  </si>
  <si>
    <t>Heinemann, H. G. 1981. A new sediment trap efficency curve for small reservoirs. Water Resources Bulletin 17:825-830.</t>
  </si>
  <si>
    <t>Hood, W. G. 2010. Tidal channel meander formation by depositional rather than erosional processes: examples from the prograding Skagit River Delta (Washington, USA). Earth Surface Processes and Landforms 35:319-330.</t>
  </si>
  <si>
    <t>Knutson, P., J. Ford, M. Inskeep, and J. Oyler. 1981. National survey of planted salt marshes (vegetative stabilization and wave stress). Wetlands 1:129-157.</t>
  </si>
  <si>
    <t>Peters, J. J. and R. Wollast. 1976. Role of sedimentation in the self-purification of the Scheldt Estuary. Proceedings of the Third Federal Interagency Sedimentation Conference. U. S. Geological Survey, Denver, CO.</t>
  </si>
  <si>
    <t>Wolaver, T. G., R. F. Dame, J. D. Spurrier, and A. B. Miller. 1988. Sediment exchange between a euhaline salt marsh in South Carolina and the adjacent tidal creek. Journal of Coastal Research 4:17–26.</t>
  </si>
  <si>
    <t>Value Subindices</t>
  </si>
  <si>
    <t>Duff, J. H., K. D. Carpenter, D. T. Snyder, K. K. Lee, R. J. Avanzino, and F. J. Triska. 2009. Phosphorus and nitrogen legacy in a restoration wetland, Upper Klamath Lake, Oregon. Wetlands 29:735-746.</t>
  </si>
  <si>
    <t>Lee II, H. and C. A. Brown. 2009. Classification of Regional Patterns of Environmental Drivers and Benthic Habitats in Pacific Northwest Estuaries. U.S. Environmental Protection Agency, Office of Research and Development, National Health and Environmental Effects Research Laboratory, Western Ecology Division, Newport, OR.</t>
  </si>
  <si>
    <t>Nash, M. S., D. T. Heggem, D. Ebert, T. G. Wade, and R. K. Hall. 2009. Multi-scale landscape factors influencing stream water quality in the state of Oregon. Environmental Monitoring and Assessment 156:343-360.</t>
  </si>
  <si>
    <t>Pfeifer-Meister, L. and S. D. Bridgham. 2007. Seasonal and spatial controls over nutrient cycling in a Pacific Northwest prairie. Ecosystems 10:1250-1260.</t>
  </si>
  <si>
    <t>Wong, S. W., M. J. Barry, A. R. Aldous, N. T. Rudd, H. A. Hendrixson, and C. M. Doehring. 2011. Nutrient release from a recently flooded delta wetland: comparison of field measurements to laboratory results. Wetlands 31:433-443.</t>
  </si>
  <si>
    <t>AVERAGE(DepthDom,EmArea,WidthWet))</t>
  </si>
  <si>
    <t>AVERAGE(SeasPct, AVERAGE(WaterMixDry,WaterMixWet,Girreg,Fluctu, PermW, EdgeShape))</t>
  </si>
  <si>
    <t>Phosphorus Retention</t>
  </si>
  <si>
    <t>Burkholder, B. K., G. E. Grant, R. Haggerty, T. Khangaonkar, and P. J. Wampler. 2008. Influence of hyporheic flow and geomorphology on temperature of a large, gravel‐bed river, Clackamas River, Oregon, USA. Hydrological Processes 22:941-953.</t>
  </si>
  <si>
    <t>Compton, J. E., M. R. Church, S. T. Larned, and W. E. Hogsett. 2003. Nitrogen export from forested watersheds in the Oregon Coast Range: the role of N2-fixing red alder. Ecosystems 6:773-785.</t>
  </si>
  <si>
    <t>Fernald, A. G., D. H. Landers, and P. J. Wigington. 2006. Water quality changes in hyporheic flow paths between a large gravel bed river and off‐channel alcoves in Oregon, USA. River Research and Applications 22:1111-1124.</t>
  </si>
  <si>
    <t>Naymik, J., Y. Pan, and J. Ford. 2005. Diatom assemblages as indicators of timber harvest effects in coastal Oregon streams. Journal of the North American Benthological Society 24:569-584.</t>
  </si>
  <si>
    <t>Seitzinger, S. P., L. P. Neilsen, J. Caffrey, and P. B. Christensen. 1993. Denitrification measurements in aquatic sediments: a comparison of three methods. Biogeochemistry 23:147–167.</t>
  </si>
  <si>
    <t>Smith, C. J. and R. D. De Laune. 1983. Nitrogen loss from freshwater and saline estuarine sediments. Journal of Environmental Quality 12:514-518.</t>
  </si>
  <si>
    <t>Thullen, J. S., J. J. Sartoris, and W. E. Walton. 2002. Effects of vegetation management in constructed wetland treatment cells on water quality and mosquito production. Ecological Engineering 18:441-457.</t>
  </si>
  <si>
    <t>Callaway, J. C., E. L. Borgnis, R. E. Turner, and C. S. Milan. 2012. Carbon sequestration and sediment accretion in San Francisco Bay tidal wetlands. Estuaries and Coasts 35:1163-1181.</t>
  </si>
  <si>
    <t>Frenkel, R. E. and J. C. Morlan. 1991. Can we restore our salt marshes? Lessons from the Salmon River, Oregon. Northwest Environmental Journal 7:119–135.</t>
  </si>
  <si>
    <t>MacClellan, M. A. 2011. Carbon content in Oregon tidal wetland soils. Appendix 8 in L. S. Brophy, C. E. Cornu, P. R. Adamus, J. A. Christy, A. Gray, M. A. MacClellan, J. A. Doumbia, and R. L. Tully, editors. New Tools for Tidal Wetland Restoration: Development of a Reference Conditions Database and a Temperature Sensor Method for Detecting Tidal Inundation in Least Disturbed Tidal Wetlands of Oregon, USA. University of New Hampshire, Cooperative Institute for Coastal and Estuarine Environmental Technology (CICEET), Durham, NH.</t>
  </si>
  <si>
    <t>Morlan, J. C. 1991. Ecological status and dynamics of a salt marsh restoration in the Salmon River Estuary, Oregon. Master's Thesis. Oregon State University, Corvallis, OR.</t>
  </si>
  <si>
    <t>Brown, J. 2007. Groundwater and Biodiversity Conservation.  in: A. Wyers, A. Aldous, and L. Bach, editors. A Methods Guide for Integrating Groundwater Needs of Ecosystems and Species into Conservation Plans in the Pacific Northwest. The Nature Conservancy, Portland, OR.</t>
  </si>
  <si>
    <t>Balling, S. S., T. Stoehr, and V. H. Resh. 1980. The effects of mosquito control recirculation ditches on the fish community of a San Francisco Bay salt marsh. California Fish Game Scientific Journal 66:25-34.</t>
  </si>
  <si>
    <t>Brennan, J., H. Culverwell, R. Gregg, and P. Granger. 2009. Protection of Marine Riparian Functions in Puget Sound, Washington. Washington Sea Grant, Washington Department of Fish and Wildlife, Seattle, WA  http://wdfw.wa.gov/publications/pub.php?id=00693.</t>
  </si>
  <si>
    <t>Brown, J., L. Bach, A. Aldous, A. Wyers, and J. DeGagné. 2010. Groundwater-dependent ecosystems in Oregon: an assessment of their distribution and associated threats. Frontiers in Ecology and the Environment 9:97-102.</t>
  </si>
  <si>
    <t>Driver, E. A. 1977. Chironomid communities in small prairie ponds: characteristics and controls. Freshwater Biology 7:121–133.</t>
  </si>
  <si>
    <t>Fischer, J. R., M. C. Quist, S. L. Wigen, A. J. Schaefer, T. W. Stewart, and T. M. Isenhart. 2010. Assemblage and population-level responses of stream fish to riparian buffers at multiple spatial scales. Transactions of the American Fisheries Society 139:185-200.</t>
  </si>
  <si>
    <t>Gleason, R. A., N. H. Euliss, D. E. Hubbard, and W. G. Duffy. 2003. Effects of sediment load on emergence of aquatic invertebrates and plants from wetland soil egg and seed banks. Wetlands 23:26-34.</t>
  </si>
  <si>
    <t>Hornung, J. and A. L. Foote. 2006. Aquatic invertebrate responses to fish presence and vegetation complexity in western boreal wetlands, with implications for waterbird productivity. Wetlands 26:1-12.</t>
  </si>
  <si>
    <t>Kneib, R. T. and S. L. Wagner. 1994. Nekton use of vegetated marsh habitats at different stages of tidal inundation. Marine Ecology Progress Series 106:227–238.</t>
  </si>
  <si>
    <t xml:space="preserve">Minello, T. J. and L. P. Rozas. 2002. Nekton in Gulf Coast wetlands: fine-scale distributions, landscape patterns, and restoration implications. Ecological Applications 12:441-455.
</t>
  </si>
  <si>
    <t>Minello, T., R. Zimmerman, and R. Medina. 1994. The importance of edge for natant macrofauna in a created salt marsh. Wetlands 14:184-198.</t>
  </si>
  <si>
    <t>Murkin, H. R., R. M. Kaminski, and R. D. Titman. 1982. Responses by dabbling ducks and aquatic invertebrates to an experimentally manipulated cattail marsh. Canadian Journal of Zoology 60:2324-2332.</t>
  </si>
  <si>
    <t>Wyss, L. A. 2011. Effects of grass seed agriculture on aquatic invertebrate communities in seasonal wetlands of the southern Willamette Valley, Oregon. Master's Thesis. Oregon State University, Corvallis, OR.</t>
  </si>
  <si>
    <r>
      <t xml:space="preserve">IF((Tidal=1),TidalScoreINV, </t>
    </r>
    <r>
      <rPr>
        <b/>
        <sz val="10"/>
        <rFont val="Arial Narrow"/>
        <family val="2"/>
      </rPr>
      <t>ELSE</t>
    </r>
    <r>
      <rPr>
        <sz val="10"/>
        <rFont val="Arial Narrow"/>
        <family val="2"/>
      </rPr>
      <t>: AVERAGE(Structure,AVERAGE(Hydropd,Lscape,Stressors))</t>
    </r>
  </si>
  <si>
    <t>Baker, C. F. 2008. Seasonal floodplain wetlands as fish habitat in Oregon and Washington. Doctoral Dissertation. Oregon State University, Corvallis, OR.</t>
  </si>
  <si>
    <t>Brown, T. G. and G. F. Hartman. 1988. Contribution of seasonally flooded lands and minor tributaries to the production of coho salmon in Carnation Creek, British Columbia. Transactions of the American Fisheries Society 117:546-551.</t>
  </si>
  <si>
    <t>Colvin, R., G. R. Giannico, J. Li, K. L. Boyer, and W. J. Gerth. 2009. Fish use of intermittent watercourses draining agricultural lands in the Upper Willamette River Valley, Oregon. Transactions of the American Fisheries Society 138:1302-1313.</t>
  </si>
  <si>
    <t>Congleton, J. L., T. C. Bjornn, B. J. Burton, and B. D. Watson. 1982. Effects of Stress on the Viability of Chinook Salmon Smolts Transported from the Snake River to the Columbia River Estuary. Progress Report No. 2 Idaho Cooperative Fisheries Research Unit, Bonneville Power Administration, Portland, OR.</t>
  </si>
  <si>
    <t>Craig, B. E. 2010. Life History Patterns and Ecology of Juvenile Coho Salmon (Oncorhynchus kisutch) Within a Tidal Freshwater Estuary. Master's Thesis. University of Washington, Seattle, WA.</t>
  </si>
  <si>
    <t>Dickman, M. and G. Rygiel. 1998. Municipal landfill impacts on a natural stream located in an urban wetland in regional Niagara, Ontario. The Canadian Field-Naturalist 112:619-630.</t>
  </si>
  <si>
    <t>Freeman, M. C., C. M. Pringle, and C. R. Jackson. 2007. Hydrologic connectivity and the contribution of stream headwaters to ecological integrity at regional scales 1. Wiley Online Library.</t>
  </si>
  <si>
    <t>Gewant, D. and S. M. Bollens. 2012. Fish assemblages of interior tidal marsh channels in relation to environmental variables in the upper San Francisco Estuary. Environmental Biology of Fishes 94:483-499.</t>
  </si>
  <si>
    <r>
      <t xml:space="preserve">Healey, M. C. 1980. Utilization of the Nanaimo River estuary by juvenile chinook salmon, </t>
    </r>
    <r>
      <rPr>
        <i/>
        <sz val="10"/>
        <rFont val="Arial Narrow"/>
        <family val="2"/>
      </rPr>
      <t>Oncorhynchus tshawytscha</t>
    </r>
    <r>
      <rPr>
        <sz val="10"/>
        <rFont val="Arial Narrow"/>
        <family val="2"/>
      </rPr>
      <t>. Fishery Bulletin 77:653-668.</t>
    </r>
  </si>
  <si>
    <t>Henning, J. A., R. E. Gresswell, and I. A. Fleming. 2006. Juvenile salmonid use of freshwater emergent wetlands in the floodplain and its implications for conservation management. North American Journal of Fisheries Management 26:367–376.</t>
  </si>
  <si>
    <r>
      <t>Hering, D. K., D. L. Bottom, E. F. Prentice, K. K. Jones, and I. A. Fleming. 2010. Tidal movements and residency of subyearling Chinook salmon (</t>
    </r>
    <r>
      <rPr>
        <i/>
        <sz val="10"/>
        <rFont val="Arial Narrow"/>
        <family val="2"/>
      </rPr>
      <t>Oncorhynchus tshawytscha</t>
    </r>
    <r>
      <rPr>
        <sz val="10"/>
        <rFont val="Arial Narrow"/>
        <family val="2"/>
      </rPr>
      <t>) in an Oregon salt marsh channel. Canadian Journal of Fisheries and Aquatic Sciences 67:524-533.</t>
    </r>
  </si>
  <si>
    <t>Koski, K. V. 2009. The fate of coho salmon nomads: the story of an estuarine-rearing strategy promoting resilience. Ecology and Society 14:4.</t>
  </si>
  <si>
    <t>Meyer, J. L., D. L. Strayer, J. B. Wallace, S. L. Eggert, G. S. Helfman, and N. E. Leonard. 2007. The Contribution of Headwater Streams to Biodiversity in River Networks1. JAWRA Journal of the American Water Resources Association 43:86-103.</t>
  </si>
  <si>
    <t>Nicholson, P. S., M. S. Whittingham, G. C. Farrington, W. W. Smeltzer, and J. Thomas. 1992. Solid State Ionics, 91, Proceedings of the 8th International Conference on Solid State Ionics, Lake Louise, Alberta, Canada, October 20-26, 1991. 2. Preface. Pages R8-R8 in Solid State Ionics.</t>
  </si>
  <si>
    <t>Salo, E. O. 1991. Life history of chum salmon (Oncorhynchus keta). Pages 231-310 in C. Groot and L. Margolis, editors. Pacific Salmon: Life Histories. University of British Columbia Press, Vancouver, B.C.</t>
  </si>
  <si>
    <t>Simenstad, C. A., K. L. Fresh, and E. O. Salo. 1982. The role of Puget Sound and Washington, USA coastal estuaries in the life history of Pacific salmon (Oncorhynchus-spp): an unappreciated function. Pages 343-364 in V. S. Kennedy, editor. Estuarine Comparisons. Academic Press, New York, NY.</t>
  </si>
  <si>
    <t xml:space="preserve">Sommer, T. R., W. C. Harrell, and M. L. Nobriga. 2005. Habitat use and stranding risk of juvenile Chinook salmon on a seasonal floodplain. North American Journal of Fisheries Management 25:1493-1504.
</t>
  </si>
  <si>
    <t>Steiner, J. J., G. R. Giannico, S. M. Griffith, M. E. Mellbye, J. L. Li, K. S. Boyer, S. H. Schoenholtz, G. W. Whittaker, G. W. Mueller-Warrant, and G. M. Banowetz. 2005. Grass seed fields, seasonal winter drainages, and native fish habitat in the south Willamette Valley. Pages 79-81 in W.C. Young III, editor. Seed Production Research at Oregon State University, USDA-ARS Cooperating 2004. Department of Crop and Soil Science, Oregon State University, Corvallis, OR.</t>
  </si>
  <si>
    <t>Toft, J. D., J. R. Cordell, C. A. Simenstad, and L. A. Stamatiou. 2007. Fish distribution, abundance, and behavior along city shoreline types in Puget Sound. North American Journal of Fisheries Management 27:465-480.</t>
  </si>
  <si>
    <t>Welsh Jr, H. H. and G. R. Hodgson. 2008. Amphibians as metrics of critical biological thresholds in forested headwater streams of the Pacific Northwest, U.S.A. Freshwater Biology 53:1470-1488.</t>
  </si>
  <si>
    <t>Wigington, P. J., J. L. Ebersole, M. E. Colvin, S. G. Leibowitz, B. Miller, B. Hansen, H. R. Lavigne, D. White, J. P. Baker, M. R. Church, J. R. Brooks, M. A. Cairns, and J. E. Compton. 2006. Coho salmon dependence on intermittent streams. Frontiers in Ecology and the Environment 4:513-518.</t>
  </si>
  <si>
    <r>
      <t>Wissmar, R. C. and C. A. Simenstad. 1988. Energetic constraints of juvenile chum salmon (</t>
    </r>
    <r>
      <rPr>
        <i/>
        <sz val="10"/>
        <rFont val="Arial Narrow"/>
        <family val="2"/>
      </rPr>
      <t>Oncorhynchus keta</t>
    </r>
    <r>
      <rPr>
        <sz val="10"/>
        <rFont val="Arial Narrow"/>
        <family val="2"/>
      </rPr>
      <t>) migrating in estuaries. Canadian Journal of Fisheries and Aquatic Sciences 45:1555-1560.</t>
    </r>
  </si>
  <si>
    <r>
      <t xml:space="preserve">Young, C. D. 2009. Shoaling Behavior as a Tool to Understand Microhabitat Use by Juvenile Chum Salmon, </t>
    </r>
    <r>
      <rPr>
        <i/>
        <sz val="10"/>
        <rFont val="Arial Narrow"/>
        <family val="2"/>
      </rPr>
      <t>Oncorhynchus keta</t>
    </r>
    <r>
      <rPr>
        <sz val="10"/>
        <rFont val="Arial Narrow"/>
        <family val="2"/>
      </rPr>
      <t>. Master's Thesis. University of Washington, Seattle, WA.</t>
    </r>
  </si>
  <si>
    <t>Barbour, C. D. and J. H. Brown. 1974. Fish species diversity in lakes. The American Naturalist 108:473-488.</t>
  </si>
  <si>
    <t>Beecher, H. A., E. R. Dott, and R. F. Fernau. 1988. Fish species richness and stream order in Washington State streams. Environmental Biology of Fishes 22:193-209.</t>
  </si>
  <si>
    <t>Matuszek, J. E. and G. L. Beggs. 1988. Fish species richness in relation to lake area, pH, and other abiotic factors in Ontario lakes. Canadian Journal of Fisheries and Aquatic Sciences 45:1931-1941.</t>
  </si>
  <si>
    <t>Rathert, D., D. White, J. C. Sifneos, and R. M. Hughes. 1999. Environmental correlates of species richness for native freshwater fish in Oregon, USA. Journal of Biogeography 26:257-273.</t>
  </si>
  <si>
    <t>Tonn, W. M. and J. J. MacNuson. 1982. Patterns in the species composition and richness of fish assemblage in northern Wisconsin lakes. Ecology 63:1149-1166.</t>
  </si>
  <si>
    <t>Vannote, R. L., G. W. Minshall, K. W. Cummins, J. R. Sedell, and C. E. Cushing. 1980. The river continuum concept. Canadian Journal of Fisheries and Aquatic Sciences 37:130-137.</t>
  </si>
  <si>
    <t>AVERAGE(FishAcc,PestAnim,VisitNo,VisitOften)</t>
  </si>
  <si>
    <t>Adams, M. J., C. A. Pearl, S. Galvan, and B. McCreary. 2011. Non-native species impacts on pond occupancy by an anuran. The Journal of Wildlife Management 75:30-35.</t>
  </si>
  <si>
    <t>Guerry, A. D. and M. L. Hunter. 2002. Amphibian distributions in a landscape of forests and agriculture: An examination of landscape composition and configuration. Conservation Biology 16:745-754.</t>
  </si>
  <si>
    <t>Kluber, M. R., D. H. Olson, and K. J. Puettmann. 2009. Downed Wood Microclimates and Their Potential Impact on Plethodontid Salamander Habitat in the Oregon Coast Range. Northwest Science 83:25-34.</t>
  </si>
  <si>
    <t>Olson, D. H. and S. Chan. 2005. Effects of four riparian buffer treatments and thinning on microclimate and amphibians in western Oregon headwater forests. Page 369 in C. E. Peterson and D. A. Maguire, editors. Balancing Ecosystem Values: Innovative Experiments for Sustainable Forestry, General Technical Report PNW-GTR-635. U. S. Department of Agriculture, Forest Service, Pacific Northwest Research Station, Portland, OR.</t>
  </si>
  <si>
    <t>Skidds, D. E., F. C. Golet, P. W. C. Paton, and J. C. Mitchell. 2007. Habitat correlates of reproductive effort in wood frogs and spotted salamanders in an urbanizing watershed. Journal of Herpetology 41:439-450.</t>
  </si>
  <si>
    <t>Kaminski, R. M. and H. H. Prince. 1981. Dabbling duck and aquatic macro-invertebrate responses to manipulated wetland habitat. Journal of Wildlife Management 45:1–15.</t>
  </si>
  <si>
    <t>Rehm, E. M. and G. A. Baldassarre. 2007. The influence of interspersion on marsh bird abundance in New York. Wilson Journal of Ornithology 119:648-654.</t>
  </si>
  <si>
    <t>Evans-Peters, G. R., B. D. Dugger, and M. J. Petrie. 2012. Plant community composition and waterfowl food production on Wetland Reserve Program easements compared to those on managed public lands in western Oregon and Washington. Wetlands 32:391-399.</t>
  </si>
  <si>
    <t>Lafferty, K. D. 2001. Birds at a Southern California beach: seasonality, habitat use and disturbance by human activity. Biodiversity &amp; Conservation 10:1949-1962.</t>
  </si>
  <si>
    <t>Lamberson, J. O., M. R. Frazier, W. G. Nelson, and P. F. Clinton. 2011. Utilization Patterns of Intertidal Habitats by Birds in Yaquina Estuary, Oregon. Report EPA/600/R-11/118. U.S. Environmental Protection Agency, Office of Research and Development, National Health and Environmental Effects Research Laboratory, Western Ecology Division, Newport, OR.</t>
  </si>
  <si>
    <t>Lourenco, P. M., J. P. Granadeiro, and J. M. Palmeirim. 2005. Importance of drainage channels for waders foraging on tidal flats: relevasnce for the management of estuarine wetlands. Journal of Applied Ecology 42:477-486.</t>
  </si>
  <si>
    <t xml:space="preserve">Pfister, C., B. Harrington, and M. Lavine. 1992. The impact of human disturbance on shorebirds at a migration staging area. Biological Conservation 60:115-126.
</t>
  </si>
  <si>
    <r>
      <t xml:space="preserve">IF((Tidal=1),TidalScoreSBM, </t>
    </r>
    <r>
      <rPr>
        <b/>
        <sz val="10"/>
        <rFont val="Arial Narrow"/>
        <family val="2"/>
      </rPr>
      <t>ELSE:</t>
    </r>
    <r>
      <rPr>
        <sz val="10"/>
        <rFont val="Arial Narrow"/>
        <family val="2"/>
      </rPr>
      <t xml:space="preserve">  (3*Structure + 3*Produc +2*Lscape +  Wscape + Stress) /10)</t>
    </r>
  </si>
  <si>
    <r>
      <t xml:space="preserve">Collins, J. N. and V. H. Resh. 1985. Utilization of natural and man-made habitats by the salt marsh song sparrow, </t>
    </r>
    <r>
      <rPr>
        <i/>
        <sz val="10"/>
        <rFont val="Arial Narrow"/>
        <family val="2"/>
      </rPr>
      <t>Melospiza melodia samuelis</t>
    </r>
    <r>
      <rPr>
        <sz val="10"/>
        <rFont val="Arial Narrow"/>
        <family val="2"/>
      </rPr>
      <t xml:space="preserve"> (Baird). California Fish and Game 71:40–52.</t>
    </r>
  </si>
  <si>
    <t>Knops, J. M. H., D. Tilman, N.M. Haddad, S. Naeem, C.E. Mitchell, J. Haarstad, M.E. Ritchie, K.M. Howe, P.B. Reich, E. Siemann, and J. Groth. 1999. Effects of plant species richness on invasion dynamics, disease outbreaks, insect abundances and diversity. Ecology Letters 2:286-293.</t>
  </si>
  <si>
    <t>Massey, B., R. Bowen, C. Griffin, and K. McGarigal. 2008. A classification-tree analysis of nesting habitat in an island population of Northern Harriers. The Condor 110:177-183.</t>
  </si>
  <si>
    <t>St. Clair, C. C., M. Bélisle, A. Desrochers, and S. Hannon. 1998. Winter responses of forest birds to habitat corridors and gaps. Conservation Ecology 2:1-13  http://www.consecol.org/vol12/iss12/art13/.</t>
  </si>
  <si>
    <t>Adamus, P. R. 2005. Science Review and Data Analysis for Tidal Wetlands of the Oregon Coast. Coos Watershed Association, Charleston, OR, U. S. Environmental Protection Agency, Portland, OR and Oregon Department of State Lands, Salem, OR.</t>
  </si>
  <si>
    <t>Bertness, M. D. and S. C. Pennings. 2000. Spatial variation in process and pattern in salt marsh plant communities in eastern North America. Pages 39–57 in M. P. Weinstein and D. A. Kreeger, editors. Concepts and Controversies in Tidal Marsh Ecology. Kluwer Academic, Boston, MA.</t>
  </si>
  <si>
    <t>Bollman, M. A., M. J. Storm, G. A. King, and L. S. Watrud. 2012. Wetland and riparian plant communities at risk of invasion by transgenic herbicide-resistant Agrostis spp. in central Oregon. Plant Ecology 213:355-370.</t>
  </si>
  <si>
    <t>Clark, D. and M. Wilson. 2001. Fire, mowing, and hand-removal of woody species in restoring a native wetland prairie in the Willamette Valley of Oregon. Wetlands 21:135-144.</t>
  </si>
  <si>
    <t>Eilers, H. P. 1975. Plants, plant communities, net production and tide levels: the ecological biogeography of the Nehalem salt marshes, Tillamook County, Oregon. Ph.D. Dissertation. Oregon State University, Corvallis, OR.</t>
  </si>
  <si>
    <t>Eilers, H. P. 1979. Production ecology in an Oregon USA coastal salt marsh. Estuarine Coastal Marine Science 8:399-410.</t>
  </si>
  <si>
    <t>Fetscher, A. E., M. A. Sutula, J. C. Callaway, V. T. Parker, M. C. Vasey, J. N. Collins, and W. G. Nelson. 2010. Patterns in estuarine vegetation communities in two regions of California: Insights from a probabilistic survey. Wetlands 30:833-846.</t>
  </si>
  <si>
    <t>Frenkel, R. E., H. P. Eilers, and C. A. Jefferson. 1981. Oregon coastal salt marsh upper limits and tidal datums. Estuaries 4:195–205.</t>
  </si>
  <si>
    <t>Howes, B. L., R. W. Howard, J. M. Teal, and I. Valiela. 1981. Oxidation-reduction potentials in salt marshes: spatial patterns and interactions with primary production. Limnology and Oceanography 26:350–360.</t>
  </si>
  <si>
    <t>Janousek, C. N. and C. L. Folger. 2012. Patterns of distribution and environmental correlates of macroalgal assemblages and sediment chlorophyll a in Oregon tidal wetlands. Journal of Phycology 48:1448-1457.</t>
  </si>
  <si>
    <t>Jefferson, C. A. 1975. Plant communities and succession in Oregon coastal salt marshes. Ph.D. Dissertation. Oregon State University, Corvallis, OR.</t>
  </si>
  <si>
    <t>Magee, T. K. and M. E. Kentula. 2005. Response of wetland plant species to hydrologic conditions.  Wetlands Ecology and Management 13:163-181.</t>
  </si>
  <si>
    <t>Ryan, A. B. and K. E. Boyer. 2012. Nitrogen further promotes a dominant salt marsh plant in an increasingly saline environment. Journal of Plant Ecology 5:429-441.</t>
  </si>
  <si>
    <t>Sebastian-Gonzalez, E., J. A. Molina, and M. Paracuellos. 2012. Distribution patterns of a marsh vegetation metacommunity in relation to habitat configuration. Aquatic Biology 16:277-285.</t>
  </si>
  <si>
    <t>Smith, L. M. and D. A. Haukos. 2002. Floral diversity in relation to playa wetland area and watershed disturbance. Conservation Biology 16:964-974.</t>
  </si>
  <si>
    <t>Smith, M. J., K. M. Ough, M. P. Scroggie, E. S. G. Schreiber, and M. Kohout. 2009. Assessing changes in macrophyte assemblages with salinity in non-riverine wetlands: a Bayesian approach. Aquatic Botany 90:137-142.</t>
  </si>
  <si>
    <t>Tuxen, K., L. Schile, D. Stralberg, S. Siegel, T. Parker, M. Vasey, J. Callaway, and M. Kelly. 2011. Mapping changes in tidal wetland vegetation composition and pattern across a salinity gradient using high spatial resolution imagery. Wetlands Ecology and Management 19:141-157.</t>
  </si>
  <si>
    <t>Vestergaard, O. and K. Sand-Jensen. 2000. Aquatic macrophyte richness in Danish lakes in relation to alkalinity, transparency, and lake area. Canadian Journal of Fisheries and Aquatic Sciences 57:2022-2031.</t>
  </si>
  <si>
    <t>Wasson, K. and A. Woolfolk. 2011. Salt marsh-upland ecotones in Central California: Vulnerability to invasions and anthropogenic stressors. Wetlands 31:389-402.</t>
  </si>
  <si>
    <t>Watson, E. B. and R. Byrne. 2012. Recent (1975-2004) vegetation change in the San Francisco Estuary, California, tidal marshes. Journal of Coastal Research 28:51-63.</t>
  </si>
  <si>
    <t>Wright, J. P., A. S. Flecker, and C. G. Jones. 2003. Local versus landscape controls on plant species richness in beaver meadows.  Ecology 84:3162–3173.</t>
  </si>
  <si>
    <r>
      <t xml:space="preserve">IF((Tidal=1),MAX(RareTypeTv,AVERAGE(RarePsppv,Zoningv,ScoreSBMv, ScorePOLv), </t>
    </r>
    <r>
      <rPr>
        <b/>
        <sz val="10"/>
        <rFont val="Arial Narrow"/>
        <family val="2"/>
      </rPr>
      <t xml:space="preserve">ELSE: </t>
    </r>
    <r>
      <rPr>
        <sz val="10"/>
        <rFont val="Arial Narrow"/>
        <family val="2"/>
      </rPr>
      <t>MAX(RarePsppv,RareTypev, AVERAGE(RarePsppv,UniqPatchv,DistPerCovv,Zoningv,ScoreSBMv, ScorePOLv))</t>
    </r>
  </si>
  <si>
    <t>Belden, J. B., B. R. Hanson, S. T. McMurry, L. M. Smith, and D. A. Haukos. 2012. Assessment of the effects of farming and conservation programs on pesticide deposition in High Plains wetlands. Environmental Science &amp; Technology 46:3424-3432.</t>
  </si>
  <si>
    <t>Cane, J. H. 2001. Habitat fragmentation and native bees: A premature verdict? Conservation Ecology 5:3  http://www.consecol.org/vol5/iss1/art3/.</t>
  </si>
  <si>
    <t>Gathmann, A., H. J. Greiler, and T. Tscharntke. 1994. Trap nesting bees and wasps colonizing set-aside fields: Succession and body size, management by cutting and sowing Oecologia 98:8-14.</t>
  </si>
  <si>
    <r>
      <t xml:space="preserve">Mannouris, C. and D. L. Byers. 2013. The impact of habitat fragmentation on fitness-related traits in a native prairie plant, </t>
    </r>
    <r>
      <rPr>
        <i/>
        <sz val="10"/>
        <rFont val="Arial Narrow"/>
        <family val="2"/>
      </rPr>
      <t>Chamaecrista fasciculata</t>
    </r>
    <r>
      <rPr>
        <sz val="10"/>
        <rFont val="Arial Narrow"/>
        <family val="2"/>
      </rPr>
      <t xml:space="preserve"> (Fabaceae). Biological Journal of the Linnean Society 108:55-67.</t>
    </r>
  </si>
  <si>
    <r>
      <t>Rust, R. W. 1993. Cell and nest construction costs in 2 cavity nesting bees (</t>
    </r>
    <r>
      <rPr>
        <i/>
        <sz val="10"/>
        <rFont val="Arial Narrow"/>
        <family val="2"/>
      </rPr>
      <t>Osmia lignaria propinqua</t>
    </r>
    <r>
      <rPr>
        <sz val="10"/>
        <rFont val="Arial Narrow"/>
        <family val="2"/>
      </rPr>
      <t xml:space="preserve"> and </t>
    </r>
    <r>
      <rPr>
        <i/>
        <sz val="10"/>
        <rFont val="Arial Narrow"/>
        <family val="2"/>
      </rPr>
      <t>Osmia ribifloris biedermannii</t>
    </r>
    <r>
      <rPr>
        <sz val="10"/>
        <rFont val="Arial Narrow"/>
        <family val="2"/>
      </rPr>
      <t>)(Hymenoptera, Megachilidae). Annals of the Entomological Society of America 86:327-332.</t>
    </r>
  </si>
  <si>
    <r>
      <t>Trant, A. J., T. B. Herman, and S. V. Good-Avila. 2010. Effects of anthropogenic disturbance on the reproductive ecology and pollination service of Plymouth gentian (</t>
    </r>
    <r>
      <rPr>
        <i/>
        <sz val="10"/>
        <rFont val="Arial Narrow"/>
        <family val="2"/>
      </rPr>
      <t>Sabatia kennedyana</t>
    </r>
    <r>
      <rPr>
        <sz val="10"/>
        <rFont val="Arial Narrow"/>
        <family val="2"/>
      </rPr>
      <t>), a lakeshore plant species at risk. Plant Ecology 210:241-252.</t>
    </r>
  </si>
  <si>
    <r>
      <t>Woods, T. M., J. L. Jonas, and C. J. Ferguson. 2012. The invasive</t>
    </r>
    <r>
      <rPr>
        <i/>
        <sz val="10"/>
        <rFont val="Arial Narrow"/>
        <family val="2"/>
      </rPr>
      <t xml:space="preserve"> Lespedeza cuneata</t>
    </r>
    <r>
      <rPr>
        <sz val="10"/>
        <rFont val="Arial Narrow"/>
        <family val="2"/>
      </rPr>
      <t xml:space="preserve"> attracts more insect pollinators than native congeners in tallgrass prairie with variable impacts. Biological Invasions 14:1045-1059.</t>
    </r>
  </si>
  <si>
    <t>MAX(RareOnsite, AVERAGE(Invas,HerbDom,NewWet,Gcover,UniqPatch))</t>
  </si>
  <si>
    <r>
      <t xml:space="preserve">Perkins, T. E. and M. V. Wilson. 2005. The impacts of </t>
    </r>
    <r>
      <rPr>
        <i/>
        <sz val="10"/>
        <rFont val="Arial Narrow"/>
        <family val="2"/>
      </rPr>
      <t>Phalaris arundinacea</t>
    </r>
    <r>
      <rPr>
        <sz val="10"/>
        <rFont val="Arial Narrow"/>
        <family val="2"/>
      </rPr>
      <t xml:space="preserve"> (reed canary grass) invasion on wetland plant richness in the Oregon Coast Range, USA, depend on beavers. Biological Conservation 124:291-295.</t>
    </r>
  </si>
  <si>
    <t>Whited, P. M. 2001. Sedimentation of depressional wetlands in agricultural settings. In: Wetland Restoration, Enhancement, and Management http://www.sedlab.olemiss.edu/projects/rodrigue/restoration_technote/IVB.pdf.</t>
  </si>
  <si>
    <t>Smith, D. W., R. Suffling, D. Stevens, and T. S. Dai. 1975. Plant community age as a measure of sensitivity of ecosystems to disturbance. Journal of Environmental Management 3.</t>
  </si>
  <si>
    <t>Site Name:</t>
  </si>
  <si>
    <t>Investigator Name:</t>
  </si>
  <si>
    <t>Date of Field Assessment:</t>
  </si>
  <si>
    <t>Data x Points</t>
  </si>
  <si>
    <r>
      <t xml:space="preserve">IF((Tidal=1),TidalScoreCS, </t>
    </r>
    <r>
      <rPr>
        <b/>
        <sz val="10"/>
        <rFont val="Arial Narrow"/>
        <family val="2"/>
      </rPr>
      <t>ELSE</t>
    </r>
    <r>
      <rPr>
        <sz val="10"/>
        <rFont val="Arial Narrow"/>
        <family val="2"/>
      </rPr>
      <t>: (MAX(HistAccum, PhysAccum) + AVERAGE(Warmth, PlantCov, NutrAvail) + 2*MethLimit) /4</t>
    </r>
  </si>
  <si>
    <t>Stressors (lack of)</t>
  </si>
  <si>
    <t>Many species of shorebirds, ducks, and geese favor wetlands situated in agricultural or other open landscapes, which offer additional foods (e.g., waste grain) and where advancing predators are easier to detect (Lovorrn &amp; Baldwin 1996, Taft &amp; Haig 2003).  Although they will fly much farther than 2 miles to reach such areas, 2 miles is used as a practical distance for assessing such features in aerial images.</t>
  </si>
  <si>
    <r>
      <t xml:space="preserve">IF((Tidal=1),TidalScoreSens, </t>
    </r>
    <r>
      <rPr>
        <b/>
        <sz val="10"/>
        <rFont val="Arial Narrow"/>
        <family val="2"/>
      </rPr>
      <t xml:space="preserve">ELSE: </t>
    </r>
    <r>
      <rPr>
        <sz val="10"/>
        <rFont val="Arial Narrow"/>
        <family val="2"/>
      </rPr>
      <t>AVERAGE(Raretype, AbioSens, BioSens, Colonizer, GrowthRate)</t>
    </r>
  </si>
  <si>
    <t>NearRiver</t>
  </si>
  <si>
    <t>NoDataWQup</t>
  </si>
  <si>
    <t>NoDataWQdown</t>
  </si>
  <si>
    <t>LowerShed</t>
  </si>
  <si>
    <t>NoRCA</t>
  </si>
  <si>
    <t>NoSCA1</t>
  </si>
  <si>
    <t>NoSCA</t>
  </si>
  <si>
    <t>Condition Choices</t>
  </si>
  <si>
    <t>Lentic</t>
  </si>
  <si>
    <t>NeverWater</t>
  </si>
  <si>
    <t>TempWet</t>
  </si>
  <si>
    <t>ShallowType</t>
  </si>
  <si>
    <t>DeepType</t>
  </si>
  <si>
    <t>PermType</t>
  </si>
  <si>
    <t>AllPermWater</t>
  </si>
  <si>
    <t>NoEm</t>
  </si>
  <si>
    <t>[WC,SR,PR,NR,CS,OE,INV,FA,FR,AM,WBF,WBN,SBM]</t>
  </si>
  <si>
    <t>[WBN, SBM]</t>
  </si>
  <si>
    <t xml:space="preserve">[WC,FA,WBN,SBM] </t>
  </si>
  <si>
    <t>NoPond</t>
  </si>
  <si>
    <t>NoPond2</t>
  </si>
  <si>
    <t>NoPondOW2</t>
  </si>
  <si>
    <t>NoSAV</t>
  </si>
  <si>
    <t xml:space="preserve">[PR,FR,WBF] </t>
  </si>
  <si>
    <t>NoOutlet</t>
  </si>
  <si>
    <t>Inflow</t>
  </si>
  <si>
    <t xml:space="preserve"> [SRv, PRv]</t>
  </si>
  <si>
    <t>TooSteep1</t>
  </si>
  <si>
    <t>TooSteep2</t>
  </si>
  <si>
    <t>NoHerb</t>
  </si>
  <si>
    <t>NoMowGraze</t>
  </si>
  <si>
    <t>HistOpenland</t>
  </si>
  <si>
    <t>NoWoody</t>
  </si>
  <si>
    <t xml:space="preserve">[SBM,POL] </t>
  </si>
  <si>
    <t>[PUv]</t>
  </si>
  <si>
    <t>PrivateOwn</t>
  </si>
  <si>
    <t>Answer to the best of your knowledge.  Sources for information include the property owner, DSL, and/or the ACOE. [PUv]</t>
  </si>
  <si>
    <t xml:space="preserve">[WBFv,WBNv,SBMv,PUv,STR] </t>
  </si>
  <si>
    <t>[CS,Sens]</t>
  </si>
  <si>
    <t>[FA]</t>
  </si>
  <si>
    <t>Deschampsia caespitosa, Danthonia californica, Camassia quamash, Triteleia hyacinthina, Carex densa, C. aperta, and/or C. unilateralis [PDv,ECc]</t>
  </si>
  <si>
    <t>Downingia elegans, Isoetes nuttallii, Triteleia hyacinthina, Eleocharis spp., Eryngium petiolatum, Plagiobothrys figuratus, Plagiobothrys scouleri, Grindelia nana, Veronica peregrina,  Lasthenia glaberrima , Cicendia quadrangularis, Kickxia elatine, Gnaphalium palustre, and/or Callitriche spp.[PDv]</t>
  </si>
  <si>
    <t>Downingia vina, Isoetes nuttalli, Pilularia americana, Triteleia hyacinthina, Eleocharis spp., Eryngium petiolatum, Plagiobothrys brachteatus, Plagiobothrys scouleri, Grindelia nana, Veronica peregrina, Alopecurus saccatus,  Lasthenia californica, Deschampsia danthonioides, and/or Callitriche spp.  [PDv]</t>
  </si>
  <si>
    <t>Blennosperma nanum, Camassia quamash, Epilobium densiflorum, Callitriche marginata, Cicendia quadrangularis, Eryngium vaseyi, Psilocarphus brevissimus, and/or Sedella pumila.  [PDv]</t>
  </si>
  <si>
    <t xml:space="preserve">[SR,PR,NR,CS,OE,FA,WBF,Sens] </t>
  </si>
  <si>
    <t>[OE]</t>
  </si>
  <si>
    <t>[INV]</t>
  </si>
  <si>
    <t xml:space="preserve">[OE,FA] </t>
  </si>
  <si>
    <t xml:space="preserve">[OE,INV,FA] </t>
  </si>
  <si>
    <t xml:space="preserve">[CS,OE,WBF,SBM,Sens] </t>
  </si>
  <si>
    <t xml:space="preserve">[CS,OE] </t>
  </si>
  <si>
    <t xml:space="preserve">[INV,SBM] </t>
  </si>
  <si>
    <t xml:space="preserve">[INV,FA] </t>
  </si>
  <si>
    <t>[SBM, POL]</t>
  </si>
  <si>
    <t>[PDv]</t>
  </si>
  <si>
    <t>Non-Tidal Function                                                                                                                                                                                                                                                                                                                     Indicators</t>
  </si>
  <si>
    <t>Non-Tidal                           Function Indicators</t>
  </si>
  <si>
    <t>Value                                                                                                                                                                                                                                                                                                                                                                                                 Indicators</t>
  </si>
  <si>
    <t>Data X           Points</t>
  </si>
  <si>
    <t>Data X            Points</t>
  </si>
  <si>
    <t>Value                                                                                                                                                                                                                                                                                                                                                                                                                                  Indicators</t>
  </si>
  <si>
    <t>Value                     Indicators</t>
  </si>
  <si>
    <t>WATER      COOLING</t>
  </si>
  <si>
    <t>Tidal Function                                                                                                                                                                                                                                                                                                                     Indicators</t>
  </si>
  <si>
    <t>Data X          Points</t>
  </si>
  <si>
    <t>Tidal  Function                                                                                                                                                                                                                                                                                                                     Indicators</t>
  </si>
  <si>
    <t>Data X       Points</t>
  </si>
  <si>
    <t>Data X  Points</t>
  </si>
  <si>
    <r>
      <t xml:space="preserve">IF((Tidal=1), AVERAGE(FscoreFR,FscoreWBF,FscoreSBM), </t>
    </r>
    <r>
      <rPr>
        <b/>
        <sz val="10"/>
        <rFont val="Arial Narrow"/>
        <family val="2"/>
      </rPr>
      <t>ELSE</t>
    </r>
    <r>
      <rPr>
        <sz val="10"/>
        <rFont val="Arial Narrow"/>
        <family val="2"/>
      </rPr>
      <t>: MAX [RareInvert,AVERAGE(RareInvert,UniqPatch, (AVERAGE(FscoreFR,FscoreAM,FscoreWBF,FscoreSBM)),GISscoreINVv,Zoning))]</t>
    </r>
  </si>
  <si>
    <t>In the places where tidal water exits the AA after an average daily high tide, it is:</t>
  </si>
  <si>
    <t>Data X   Points</t>
  </si>
  <si>
    <t>Data X        Points</t>
  </si>
  <si>
    <t>Data X         Points</t>
  </si>
  <si>
    <t>Physical Accumulation</t>
  </si>
  <si>
    <t>Nutrient Availability</t>
  </si>
  <si>
    <t>Non-Tidal   Condition                                                                                                                                                                                                                                                                                                                    Indicators</t>
  </si>
  <si>
    <t>Wetland                  Stressors</t>
  </si>
  <si>
    <t>OpenW</t>
  </si>
  <si>
    <t>NoPondOW</t>
  </si>
  <si>
    <t>NoSeasonal</t>
  </si>
  <si>
    <t>FreshW</t>
  </si>
  <si>
    <t>NoUpPerCov</t>
  </si>
  <si>
    <t>AllUpPerren</t>
  </si>
  <si>
    <t>Playa</t>
  </si>
  <si>
    <t>PerennAll</t>
  </si>
  <si>
    <t>Normalized Scores &amp; Ratings for this Assessment Area (AA):</t>
  </si>
  <si>
    <t>Soil or sediment texture, and especially clay content of soil, is one of the most important predictors of phosphorus retention. That is because clay is often high in aluminum and iron, which P adsorbs to quickly and tightly thus favoring long term retention.  However, per unit volume, clay soils have less interpore space for adsorption and processing of P than do coarser soils.  Chemical complexes formed with soil organic matter can retain P, although excessive organic matter buildup in soils can acidify soil, which restricts nutrient availability and thus plant capacity to take up and retain phosphorus (Prescott et al. 2000).</t>
  </si>
  <si>
    <t>Many wetland-dependent songbirds, raptors, and mammals require nearby uplands for breeding or foraging.  Wetlands with greater edge-to-area ratios (i.e., convoluted edges) provide that condition optimally.</t>
  </si>
  <si>
    <t>Non-Tidal Sensitvity                                                                                                                                                                                                                                                                                                                   Indicators</t>
  </si>
  <si>
    <t>Tidal Sensitvity                                                                                                                                                                                                                                                                                                                   Indicators</t>
  </si>
  <si>
    <r>
      <rPr>
        <b/>
        <sz val="10"/>
        <rFont val="Arial Narrow"/>
        <family val="2"/>
      </rPr>
      <t>Convoluted</t>
    </r>
    <r>
      <rPr>
        <sz val="10"/>
        <rFont val="Arial Narrow"/>
        <family val="2"/>
      </rPr>
      <t>: Wetland perimeter is many times longer than maximum width of the wetland, with many alcoves and indentations ("fingers").</t>
    </r>
  </si>
  <si>
    <t>&gt;90% of the land.</t>
  </si>
  <si>
    <t>Site:</t>
  </si>
  <si>
    <t>County:</t>
  </si>
  <si>
    <t>Nearest Town:</t>
  </si>
  <si>
    <t>Latitude (decimal degrees):</t>
  </si>
  <si>
    <t>Longitude (decimal degrees):</t>
  </si>
  <si>
    <t>TRS, quarter/quarter section and tax lot(s):</t>
  </si>
  <si>
    <t>Approximate size of the Assessment Area (AA, in acres):</t>
  </si>
  <si>
    <t>AA as percent of entire wetland (approx.).  Attach sketch map if AA is smaller than the entire contiguous wetland.</t>
  </si>
  <si>
    <t>If delineated, DSL file number (WD #) if known:</t>
  </si>
  <si>
    <r>
      <rPr>
        <b/>
        <sz val="11"/>
        <rFont val="Arial"/>
        <family val="2"/>
      </rPr>
      <t xml:space="preserve">Cowardin Systems &amp; Classes </t>
    </r>
    <r>
      <rPr>
        <sz val="11"/>
        <rFont val="Arial"/>
        <family val="2"/>
      </rPr>
      <t xml:space="preserve">(indicate all present, based on field visit and/or aerial imagery): </t>
    </r>
    <r>
      <rPr>
        <sz val="10"/>
        <rFont val="Arial"/>
        <family val="2"/>
      </rPr>
      <t xml:space="preserve">
</t>
    </r>
    <r>
      <rPr>
        <u/>
        <sz val="10"/>
        <rFont val="Arial Narrow"/>
        <family val="2"/>
      </rPr>
      <t>Systems</t>
    </r>
    <r>
      <rPr>
        <sz val="10"/>
        <rFont val="Arial Narrow"/>
        <family val="2"/>
      </rPr>
      <t xml:space="preserve">:  Palustrine =P, Riverine =R, Lacustrine  =L, Estuarine =E
</t>
    </r>
    <r>
      <rPr>
        <u/>
        <sz val="10"/>
        <rFont val="Arial Narrow"/>
        <family val="2"/>
      </rPr>
      <t>Classes</t>
    </r>
    <r>
      <rPr>
        <sz val="10"/>
        <rFont val="Arial Narrow"/>
        <family val="2"/>
      </rPr>
      <t>:  Emergent =EM, Scrub-Shrub =SS, Forested =FO, Aquatic Bed (incl. SAV) =AB, Open Water =OW, Unconsolidated Bottom =UB, Unconsolidated Shore =US</t>
    </r>
    <r>
      <rPr>
        <sz val="10"/>
        <rFont val="Arial"/>
        <family val="2"/>
      </rPr>
      <t xml:space="preserve"> </t>
    </r>
  </si>
  <si>
    <t>If tidal, the tidal phase during most of visit:</t>
  </si>
  <si>
    <t>Have you attended an ORWAP training session?  If so, indicate approximate month &amp; year.</t>
  </si>
  <si>
    <t>Comments about the site or this ORWAP assessment (attach extra page if desired):</t>
  </si>
  <si>
    <t>Amphibian &amp; Reptile Habitat (AM)</t>
  </si>
  <si>
    <t>Indicators</t>
  </si>
  <si>
    <t>Name:</t>
  </si>
  <si>
    <t xml:space="preserve">AVERAGE(ThruFlo,EmArea,EmPct,DepthDom,WidthWet)  </t>
  </si>
  <si>
    <t>AVERAGE (Gradient, AVERAGE(WetPctRCA,WetPctSCA,Girreg,Gcover,SoilDisturb))</t>
  </si>
  <si>
    <t>AVERAGE(ThruFlo,EmPct,EmArea,WidthWet,IceDura)</t>
  </si>
  <si>
    <t>AVERAGE(SoilTex,Salin)</t>
  </si>
  <si>
    <t>AVERAGE(SoilTexT,MAX(EstPosT,SalinT), MAX(WidthHiT,WidthLoT,LowMarshT), AVERAGE(WavesT,GcoverT))</t>
  </si>
  <si>
    <t>AVERAGE(SeasPct,Fluctu,PondWpctWet,Nfix,NewWet)</t>
  </si>
  <si>
    <t>MAX(AmphRare, AVERAGE(AmphRare,GISscoreAMv,UniqPatch,Arid,Zoning,FscoreWBFv)))</t>
  </si>
  <si>
    <t>(3*AVERAGE(EmAreaT,LowMarshT,WidthLoT) + 2*AVERAGE(BlindChT,TnonT,ShorebdT,VegformsT) + AVERAGE(FlightHazT,VisitNoT,VisitOftenT)) /6</t>
  </si>
  <si>
    <t>AVERAGE(TreeDiams,Snags,WoodDown,Girreg,Cliff)</t>
  </si>
  <si>
    <t>2*AVERAGE(ForbT,LowMarshT,WidthHiT) + AVERAGE(VegSpDomT,CliffT))/3</t>
  </si>
  <si>
    <t>AVERAGE(UniqPatch,PerimPctPer,Zoning,RarePspp)</t>
  </si>
  <si>
    <t>Stressor                                                                                                                                                                                                                                                                                                                    Indicators</t>
  </si>
  <si>
    <r>
      <t xml:space="preserve">IF((outflow is temporary or none),0, </t>
    </r>
    <r>
      <rPr>
        <b/>
        <sz val="10"/>
        <rFont val="Arial Narrow"/>
        <family val="2"/>
      </rPr>
      <t>ELSE:</t>
    </r>
    <r>
      <rPr>
        <sz val="10"/>
        <rFont val="Arial Narrow"/>
        <family val="2"/>
      </rPr>
      <t xml:space="preserve">
AVERAGE(Zoning, (OutDura + 4*MAX(ESH,ConnDown, GISscoreWC) + AVERAGE(BuffWidth,PerimPctPer,ImpervRCA,ImpervSCA) + AVERAGE(WetPctRCA,WetPctSCA,Elev,GDD))/ 7))
</t>
    </r>
  </si>
  <si>
    <r>
      <t xml:space="preserve">IF((Tidal=1),TidalScoreSR, IF((NeverWater=1), DryIntercept, IF((NoOutlet=1),1, </t>
    </r>
    <r>
      <rPr>
        <b/>
        <sz val="10"/>
        <rFont val="Arial Narrow"/>
        <family val="2"/>
      </rPr>
      <t>ELSE</t>
    </r>
    <r>
      <rPr>
        <sz val="10"/>
        <rFont val="Arial Narrow"/>
        <family val="2"/>
      </rPr>
      <t>: (3*Connectiv + 2*AVERAGE(Entrain,LiveStorage) + AVERAGE(DryIntercept,WetIntercept)) /6</t>
    </r>
  </si>
  <si>
    <r>
      <t xml:space="preserve">IF((Tidal=1), (EstPosT + 3*AVERAGE(WQin,ConnecUp,NutrLoad) + AVERAGE(ErodeUp,SlopeBuffT,ImpervRCA, Inflow,SlopeInChan,TransRCA) + AVERAGE(BuffWidth,PerimPctPer, Zoning)) /6, </t>
    </r>
    <r>
      <rPr>
        <b/>
        <sz val="10"/>
        <rFont val="Arial Narrow"/>
        <family val="2"/>
      </rPr>
      <t>ELSE:</t>
    </r>
    <r>
      <rPr>
        <sz val="10"/>
        <rFont val="Arial Narrow"/>
        <family val="2"/>
      </rPr>
      <t xml:space="preserve">
(3*AVERAGE(WQin,ConnecUp,ContamDown, ConnDown,NutrLoad) + AVERAGE(ErodeUp,ImpervRCA,ImpervSCA,Inflow,SlopeInChan,TransRCA) + AVERAGE(BuffWidth,PerimPctPer,GISscorePR, Zoning) + AVERAGE(WetPctRCA,WetPctSCA,Elev))/6)</t>
    </r>
  </si>
  <si>
    <t>AVERAGE[EmArea,AVERAGE(Gcover,EmPct,DepthDom)]</t>
  </si>
  <si>
    <t>(3*AVERAGE(LowMarshT,OutDuraT,BlindChT) + AVERAGE(GradientT,SlopeInChanT,ConstricT,WavesT,WidthHiT,WidthLoT) + MAX(EstPosT,SalinT) + AVERAGE(ShadeHiT,ShadeLoT,GcoverT, VegformsT, VegFormDomT,TnonT)) /6</t>
  </si>
  <si>
    <t>(3*LowMarshT + 2*AVERAGE(SoilTexT,BlindChT,TnonT, VegFormDivT,VegSpDomT, AltTime) + AVERAGE(AqPestT,ShadeLoT,DriftwoodT,LwdT,GcoverT))/6</t>
  </si>
  <si>
    <r>
      <t xml:space="preserve">IF((NoTconnec=1),0, </t>
    </r>
    <r>
      <rPr>
        <b/>
        <sz val="10"/>
        <rFont val="Arial Narrow"/>
        <family val="2"/>
      </rPr>
      <t>ELSE</t>
    </r>
    <r>
      <rPr>
        <sz val="10"/>
        <rFont val="Arial Narrow"/>
        <family val="2"/>
      </rPr>
      <t>: (4*AVERAGE(LowMarshT,OutDuraT) + AVERAGE(TnonT,ShadeHiT,ShadeLoT,LwdT,BlindChT) + AVERAGE(PerimPctPerT,BuffWidthT,ImpervBuffT,WidthHiT,WidthLoT))/6)</t>
    </r>
  </si>
  <si>
    <r>
      <t xml:space="preserve">IF(Tidal=1),TidalScoreFA, IF((FishAcc9 + ConsDesig_ESH9v=0),0, IF((NeverWater=1),0, </t>
    </r>
    <r>
      <rPr>
        <b/>
        <sz val="10"/>
        <rFont val="Arial Narrow"/>
        <family val="2"/>
      </rPr>
      <t>ELSE:</t>
    </r>
    <r>
      <rPr>
        <sz val="10"/>
        <rFont val="Arial Narrow"/>
        <family val="2"/>
      </rPr>
      <t xml:space="preserve">  AVERAGE(Hydro,Stress,Struc,CoolWater,Lscape))</t>
    </r>
  </si>
  <si>
    <t>AVERAGE(Hydropd,PermWpct,PondWpctDry,DepthDom,DepthEven,Groundw,OutDura))</t>
  </si>
  <si>
    <r>
      <t xml:space="preserve">IF((Tidal=1),TidalScoreFA, IF((FishAcc=0),0, IF((NeverWater+Playa&gt;0),0, </t>
    </r>
    <r>
      <rPr>
        <b/>
        <sz val="10"/>
        <rFont val="Arial Narrow"/>
        <family val="2"/>
      </rPr>
      <t>ELSE</t>
    </r>
    <r>
      <rPr>
        <sz val="10"/>
        <rFont val="Arial Narrow"/>
        <family val="2"/>
      </rPr>
      <t>: AVERAGE(Hydro,Struc,Stress))</t>
    </r>
  </si>
  <si>
    <t>AVERAGE (EmArea, Shorebd, AVERAGE(EmPct,HerbDom,HerbExpos,WidthWet), MAX(Islands,WaterMixWet))</t>
  </si>
  <si>
    <t>AVERAGE(SizePerenn,DistPerCov,ConnLocalW,DistPond,Beaver)</t>
  </si>
  <si>
    <t>AVERAGE(Inflow,ThruFlo,WaterMixWet,Fluc, DepthDom, DepthEven,SoilTex,Groundw, NewWet)</t>
  </si>
  <si>
    <t>MAX(OutDura, Raretype, AVERAGE(SeasPct, Elev,ImpervRCA,PondWpctDry, DepthDom, Constric), SoilTex))</t>
  </si>
  <si>
    <t>Ephemeral and temporary wetlands (or the ephemerally or temporarily inundated zones of permanent wetlands) usually have periodically unsaturated soils over the greatest proportion of their area and for the longest time, thus potentially detaining the most additional precipitation.  However, in wetlands where a persistently high water table sustains an ephemeral or temporary wetland, only limited subsurface storage space may be available for new runoff. Wetlands that are inundated permanently or semi-permanently often have less unsaturated space available for storing additional runoff.</t>
  </si>
  <si>
    <t>Both downward infiltration (increasing water storage) and upward discharge of groundwater (decreasing water storage) are greater in coarse-textured soils. However, the groundwater influence is accounted for separately in F37, so the weighting in F58 addresses the positive effect of coarse substrate on water storage. Peat tends to be saturated much of the time but during prolonged dry periods can absorb significant volumes of new runoff.</t>
  </si>
  <si>
    <t>Dense vegetation offers frictional resistance to water flow, promoting sedimentation of suspended particles and associated organic N, as well as reducing the resuspension of bottom sediments and associated organically bound N by waves and currents.</t>
  </si>
  <si>
    <t>Although not all land with a zoning designation of Agriculture has crops that require pollination, where agricultural lands do have such crops, the economic value of pollination services can be considerable. Wetlands that more effectively support pollinators are thus more valuable in those situations, provided they are not highly exposed to pesticides.</t>
  </si>
  <si>
    <t>The services of pollinators are valued more where cropland or other cover that is poor in natural sources of nectar is the dominant land cover around a wetland.</t>
  </si>
  <si>
    <t>Tidal incursions of ocean waters into many Oregon estuaries are a major source of phosphorus during most of the year (Lee &amp; Brown 2009).  This increases the opportunity for N-removal by tidal marshes and thus their value.</t>
  </si>
  <si>
    <t>Humans visiting wetlands commonly bring dogs, which potentially harass waterbirds. Even the simple presence of people on foot and without dogs will cause many waterbirds to take flight. Repeated intrusions that drain the energy of waterbirds are especially damaging during the period when adult birds are making short stops during long intercontinental migrations (Pfister et al. 1992, Lafferty 2001).</t>
  </si>
  <si>
    <t>Herbaceous vegetation, even when not flooded, usually attracts a wider variety of feeding waterbirds than does woody cover.</t>
  </si>
  <si>
    <t>In the future, the need for (and value of) native plant habitat as provided by wetlands may increase the most where zoning allows higher-intensity development, because such development often reduces or impairs this habitat function. Thus, wetlands surrounded by potentially developable lands could be considered more valuable.</t>
  </si>
  <si>
    <t>Amphibian &amp; Reptile Habitat</t>
  </si>
  <si>
    <t>The proportion of the RCA comprised of buildings, roads, parking lots, exposed bedrock, and other surface that is usually unvegetated at the time of peak annual runoff is about:</t>
  </si>
  <si>
    <t>The need for (and thus the value of) the water cooling function potentially provided by wetlands is greater when upland runoff is rapid, as occurs when much of the contributing area contains impervious surface.  Such unshaded dark surfaces also are more likely to export heated water.</t>
  </si>
  <si>
    <t>Wetlands that are in or near a stream headwater have more opportunity to affect stream water temperature for a longer distance downstream, whereas the effect of an individual lowland wetland on a large river's temperature is likely to be minimal, due to large volumetric differences.  A wetland that is large relative to size of its contributing area is likely to be (or function as) a headwater wetland.</t>
  </si>
  <si>
    <t>Tidal wetlands that show wide vegetated area at daily low tide indicate a high potential for regular daily export of organic matter from the most productive part of the wetland.</t>
  </si>
  <si>
    <t>Wetlands that have large portions that are not flooded by daily high tide ("high marsh") probably export less carbon because high marshes tend to be less productive than low (regularly flooded) tidal marshes and their accumulated biomass is removed less frequently. However, at some point a marsh may become so narrow that its vegetation is vulnerable to catastrophic loss from waves and erosion.</t>
  </si>
  <si>
    <r>
      <t xml:space="preserve">IF((Tidal=1),3*MAX(WavesT,SlopeBuffT3,ErodeUp,ImpervRCA)+ AVERAGE(Inflow,SlopeInChan,TransRCA,Zoning)+AVERAGE(BuffWidth,PerimPctPer,))/5, </t>
    </r>
    <r>
      <rPr>
        <b/>
        <sz val="10"/>
        <rFont val="Arial Narrow"/>
        <family val="2"/>
      </rPr>
      <t>ELSE</t>
    </r>
    <r>
      <rPr>
        <sz val="10"/>
        <rFont val="Arial Narrow"/>
        <family val="2"/>
      </rPr>
      <t>:
(3*MAX(WQin,ConnecUp,ContamDown,ConnDown,SedRCA,ErodeUp) + AVERAGE(Inflow,Zoning,ImpervRCA,ImpervSCA,SlopeInChan,TransRCA) + AVERAGE(BuffWidth,PerimPctPer) + AVERAGE(WetPctRCA,WetPctSCA,Elev) + GISscoreSRV))/7))</t>
    </r>
  </si>
  <si>
    <t>IF((Tidal=1),TidalScorePOL, IF((AllPermWater=1),0,AVERAGE(PollenOn,PollenOff,NestSites)</t>
  </si>
  <si>
    <r>
      <t xml:space="preserve">IF((Tidal=1),TidalScoreNR, IF((NoOutlet=1),1, IF((NeverWater=1), AVERAGE(Warmth, Organic), </t>
    </r>
    <r>
      <rPr>
        <b/>
        <sz val="10"/>
        <rFont val="Arial Narrow"/>
        <family val="2"/>
      </rPr>
      <t>ELSE</t>
    </r>
    <r>
      <rPr>
        <sz val="10"/>
        <rFont val="Arial Narrow"/>
        <family val="2"/>
      </rPr>
      <t>: (3*Redox +2*Connec + Warmth +Organic +Intercep)/ 8))</t>
    </r>
  </si>
  <si>
    <r>
      <t xml:space="preserve">IF((Tidal=1),MAX(EstPosT,PRval,Nfix), </t>
    </r>
    <r>
      <rPr>
        <b/>
        <sz val="10"/>
        <rFont val="Arial Narrow"/>
        <family val="2"/>
      </rPr>
      <t>ELSE</t>
    </r>
    <r>
      <rPr>
        <sz val="10"/>
        <rFont val="Arial Narrow"/>
        <family val="2"/>
      </rPr>
      <t>: MAX (PRval, Wells,GWrisk,DWsource)</t>
    </r>
  </si>
  <si>
    <t>AVERAGE(PerimPctPer,BuffWidth, DistPerCov,PerCovPct, SizePerenn, ForestPct, UpTreePctPer, EdgeShape))</t>
  </si>
  <si>
    <t>Awade, M. and J. P. Metzger. 2008. Using gap-crossing capacity to evaluate functional connectivity of two Atlantic rainforest birds and their response to fragmentation. Austral Ecology 33:863-871.</t>
  </si>
  <si>
    <t>AVERAGE[(Gcover,Girreg,Constric,ThruFlo,PondWpctWet),Gradient)]</t>
  </si>
  <si>
    <r>
      <t xml:space="preserve">IF((Tidal=1),TidalScorePR, IF((NoOutlet=1),1, IF((NeverWater=1),AVERAGE(IntercepDry,Adsorb), </t>
    </r>
    <r>
      <rPr>
        <b/>
        <sz val="10"/>
        <rFont val="Arial Narrow"/>
        <family val="2"/>
      </rPr>
      <t>ELSE:</t>
    </r>
    <r>
      <rPr>
        <sz val="10"/>
        <rFont val="Arial Narrow"/>
        <family val="2"/>
      </rPr>
      <t xml:space="preserve"> (3*Adsorb + 2*AVERAGE(Connec, Desorb) + AVERAGE(IntercepWet,IntercepDry)) /6)</t>
    </r>
  </si>
  <si>
    <t>The Wetland Priority Area is officially designated as such by ODFW (Oregon Wildlife Conservation Strategy), The Wetlands Conservancy, and/or the Oregon Natural Heritage Program.  [PU]</t>
  </si>
  <si>
    <t>Organic Nutrient Export</t>
  </si>
  <si>
    <t>Function Score for Organic Nutrient Export</t>
  </si>
  <si>
    <t>Values Score for Organic Nutrient Export</t>
  </si>
  <si>
    <t>Sediment Retention &amp; Stabilization (SR)</t>
  </si>
  <si>
    <t>Native Plant Diversity</t>
  </si>
  <si>
    <t>Function Score for Native Plant Diversity</t>
  </si>
  <si>
    <t>Values Score for Native Plant Diversity</t>
  </si>
  <si>
    <t>Water Storage &amp; Delay (WS)</t>
  </si>
  <si>
    <t>Water Cooling (WC)</t>
  </si>
  <si>
    <t>Function Score (raw)</t>
  </si>
  <si>
    <t xml:space="preserve">Values Score (raw) </t>
  </si>
  <si>
    <t>W</t>
  </si>
  <si>
    <t>PD</t>
  </si>
  <si>
    <t>Native Plant Diversity (PD)</t>
  </si>
  <si>
    <t xml:space="preserve">[INV,WBF,WBN,SBM,PD,POL,Sens,EC] </t>
  </si>
  <si>
    <t xml:space="preserve">[INV,PD] </t>
  </si>
  <si>
    <t xml:space="preserve"> [INV,SBM,PD,POL,Sens] </t>
  </si>
  <si>
    <t>S1</t>
  </si>
  <si>
    <t>S2</t>
  </si>
  <si>
    <t>S3</t>
  </si>
  <si>
    <t>S4</t>
  </si>
  <si>
    <t>AVERAGE(EmPct,HerbDom,Girreg, WoodyPct, ShrubExpos)</t>
  </si>
  <si>
    <t>InvasDom</t>
  </si>
  <si>
    <t>InvasDomT</t>
  </si>
  <si>
    <r>
      <t xml:space="preserve">IF((Tidal=1),TidalScorePH, </t>
    </r>
    <r>
      <rPr>
        <b/>
        <sz val="10"/>
        <rFont val="Arial Narrow"/>
        <family val="2"/>
      </rPr>
      <t>ELSE</t>
    </r>
    <r>
      <rPr>
        <sz val="10"/>
        <rFont val="Arial Narrow"/>
        <family val="2"/>
      </rPr>
      <t>: IF(InvasDom=1),0, (3*SppArea + 2*Stress + AqFertil + Compet + Lscape)/ 8))</t>
    </r>
  </si>
  <si>
    <t>IF(InvasDomT=1),0, AVERAGE [InvasT,AltTimingT,AVERAGE(SalinT, EstPosT),  AVERAGE(LowMarshT,EmAreaT,WidthHiT), AVERAGE(VegFormDivT,VegSpDomT,VegCutT), AVERAGE(PerimPctPerT,BuffWidthT),  AVERAGE(BlindChT,GirregT,SoilTexT)]</t>
  </si>
  <si>
    <t>AVERAGE[Invas, AVERAGE(UpWeed, VegCut,VisitNo,VisitOften,DistRd,AltTiming,SoilDisturb)]</t>
  </si>
  <si>
    <t>Steeper slopes are likely to transport more sediment and associated phosphorus into a wetland.</t>
  </si>
  <si>
    <t>Increased sediment deposition, and thus (by correlation in some cases) phosphorus retention, can be predicted partly by an increased ratio of the volume of a storage basin to the volume of runoff entering the basin (Heinemann 1981). This indicator is a rough correlate of that ratio.</t>
  </si>
  <si>
    <r>
      <t xml:space="preserve">If soil has been disturbed, sediment loss rather than retention is more likely occurring.  </t>
    </r>
    <r>
      <rPr>
        <i/>
        <sz val="10"/>
        <rFont val="Arial Narrow"/>
        <family val="2"/>
      </rPr>
      <t>In calculations, is set to 1 if wetland soil is currently intact, but is scored as a negative if disturbance is occurring.</t>
    </r>
  </si>
  <si>
    <r>
      <t xml:space="preserve">Phosphorus flux is often correlated with sediment flux.  If soil has been disturbed, sediment loss (and thus phosphorus loss) rather than retention is more likely occurring.  </t>
    </r>
    <r>
      <rPr>
        <i/>
        <sz val="10"/>
        <rFont val="Arial Narrow"/>
        <family val="2"/>
      </rPr>
      <t>In calculations, is set to 1 if wetland soil is currently intact, but is scored as a negative if disturbance is occurring.</t>
    </r>
  </si>
  <si>
    <r>
      <t xml:space="preserve">Water quality problems downstream can limit anadromous fish use of the wetland by limiting upstream migration of adults. </t>
    </r>
    <r>
      <rPr>
        <i/>
        <sz val="10"/>
        <rFont val="Arial Narrow"/>
        <family val="2"/>
      </rPr>
      <t>This indicator receives a score of 0 (negative impact on fish) if at least one of the parameters is marked as being present; if no data area available it becomes a blank and is not included in the calculations.</t>
    </r>
  </si>
  <si>
    <r>
      <t xml:space="preserve">More persistent flows of polluted water into the AA increase the risk of exposure to toxic substances. </t>
    </r>
    <r>
      <rPr>
        <i/>
        <sz val="10"/>
        <rFont val="Arial Narrow"/>
        <family val="2"/>
      </rPr>
      <t>This indicator is scored only if OF28 was answered positively.</t>
    </r>
  </si>
  <si>
    <r>
      <t xml:space="preserve">If a wetland is connected more persistently to a polluted area downstream, that polluted area is more likely to be a barrier to upstream movements of anadromous fish into the wetland. </t>
    </r>
    <r>
      <rPr>
        <i/>
        <sz val="10"/>
        <rFont val="Arial Narrow"/>
        <family val="2"/>
      </rPr>
      <t>This indicator is scored only if OF30 was answered positively.</t>
    </r>
  </si>
  <si>
    <r>
      <t>High levels of these substances, such as from livestock or wastewater effluent, can  harm amphibian populations and reduce amphibian diversity, e.g., Schmutzer et al. 2008).</t>
    </r>
    <r>
      <rPr>
        <i/>
        <sz val="10"/>
        <rFont val="Arial Narrow"/>
        <family val="2"/>
      </rPr>
      <t>This indicator receives a score of 0 (negative impact) if at least one of the parameters is marked as being present; if no data are available it becomes a blank and is not included in the calculations.</t>
    </r>
  </si>
  <si>
    <r>
      <t xml:space="preserve">Sedimentation, turbidity, contaminants, and warm water are harmful to a wetland's capacity to support anadromous fish. </t>
    </r>
    <r>
      <rPr>
        <i/>
        <sz val="10"/>
        <rFont val="Arial Narrow"/>
        <family val="2"/>
      </rPr>
      <t>This indicator receives a score of 0 (negative impact on fish) if at least one of the parameters is marked as being present; if no data are available it becomes a blank and is not included in the calculations.</t>
    </r>
  </si>
  <si>
    <r>
      <t xml:space="preserve">Toxic substances limit productivity of fish, reduce aquatic foods, and the fish may be less suitable for consumption. </t>
    </r>
    <r>
      <rPr>
        <i/>
        <sz val="10"/>
        <rFont val="Arial Narrow"/>
        <family val="2"/>
      </rPr>
      <t>This indicator receives a score of 0 (negative impact on fish) if at least one of the parameters is marked as being present; if no data are available it becomes a blank and is not included in the calculations.</t>
    </r>
  </si>
  <si>
    <r>
      <t xml:space="preserve">Contaminants in food webs are detrimental in the long term. </t>
    </r>
    <r>
      <rPr>
        <i/>
        <sz val="10"/>
        <rFont val="Arial Narrow"/>
        <family val="2"/>
      </rPr>
      <t>This indicator receives a score of 0 (negative impact) if marked as being present; if no data are available it becomes a blank and is not included in the calculations.</t>
    </r>
  </si>
  <si>
    <r>
      <t xml:space="preserve">These types of contaminants in food webs are detrimental in the long term.  </t>
    </r>
    <r>
      <rPr>
        <i/>
        <sz val="10"/>
        <rFont val="Arial Narrow"/>
        <family val="2"/>
      </rPr>
      <t>This indicator receives a score of 0 (negative impact) if at least one of the parameters is marked as being present; if no data are available it becomes a blank and is not included in the calculations.</t>
    </r>
  </si>
  <si>
    <t>Fish are fed upon by many waterbird species, e.g., loons, grebes, cormorants, herons.</t>
  </si>
  <si>
    <t>See above. Individually, wetlands in large floodplains may have very little effect on flood volume and thus little effect on the percent of river-borne sediment load they are able to retain, compared to wetlands in headwaters that are intersected by small streams.</t>
  </si>
  <si>
    <r>
      <t xml:space="preserve">Moss wetlands (peatlands) tend to have relatively low productivity and rates of carbon sequestration, and typically occur where opportunities for export of that organic matter is hydrologically limited. </t>
    </r>
    <r>
      <rPr>
        <i/>
        <sz val="10"/>
        <rFont val="Arial Narrow"/>
        <family val="2"/>
      </rPr>
      <t xml:space="preserve"> If moss dominates, this score goes to 0.</t>
    </r>
  </si>
  <si>
    <t>Soil Composition (SoilTex)</t>
  </si>
  <si>
    <r>
      <t xml:space="preserve">IF((NeverWater+TempWet&gt;0),"", </t>
    </r>
    <r>
      <rPr>
        <b/>
        <sz val="10"/>
        <rFont val="Arial Narrow"/>
        <family val="2"/>
      </rPr>
      <t>ELSE</t>
    </r>
    <r>
      <rPr>
        <sz val="10"/>
        <rFont val="Arial Narrow"/>
        <family val="2"/>
      </rPr>
      <t>: AVERAGE(ThruFlo,EmPct,WoodOver))</t>
    </r>
  </si>
  <si>
    <r>
      <t xml:space="preserve">Deeper waters usually imply slower water velocity, longer water detention time, more space for storing deposited sediments over time, and rless likelihood of deposited sediments being resuspended by wind mixing or currents (Evans &amp; Rigler 1983, Nolen et al. 1985). However, vegetation density is usually greater in shallow wetlands, providing other opportunities to filter and stabilize (with roots systems) suspended sediments. </t>
    </r>
    <r>
      <rPr>
        <i/>
        <sz val="10"/>
        <rFont val="Arial Narrow"/>
        <family val="2"/>
      </rPr>
      <t>This indicator is used only if some surface water persists in the AA for more than 4 consecutive weeks of the growing season.</t>
    </r>
  </si>
  <si>
    <r>
      <t xml:space="preserve">Ponded water is stored for longer periods than water in channels, so runoff response in a watershed can be slower below extensively ponded areas (Quinton &amp; Roulet 1998). </t>
    </r>
    <r>
      <rPr>
        <i/>
        <sz val="10"/>
        <rFont val="Arial Narrow"/>
        <family val="2"/>
      </rPr>
      <t>This indicator is used only if some surface water persists in the AA for more than 4 consecutive weeks of the growing season.</t>
    </r>
  </si>
  <si>
    <r>
      <t xml:space="preserve">Large depressions not only have greater storage capacity, but on a per unit area basis may experience greater evaporative loss of stored water than smaller more sheltered wetlands, due to greater wind effects and solar exposure.  However, the shallower depths and longer shoreline to area ratio of smaller wetlands can result in greater water loss via evapotranspiration. </t>
    </r>
    <r>
      <rPr>
        <i/>
        <sz val="10"/>
        <rFont val="Arial Narrow"/>
        <family val="2"/>
      </rPr>
      <t>This indicator is used only if some surface water persists in the AA for more than 4 consecutive weeks of the growing season.</t>
    </r>
  </si>
  <si>
    <r>
      <t xml:space="preserve">In many cases, sediments that remain covered with water year-round (and longer) tend to become anaerobic and release phosphorus, especially in deeper wetlands not exposed to much wind mixing. However, P is sometimes retained more effectively In wetlands which are permanently flooded than in wetlands where water level drawdown allows leaching of P from organic soils (White et al. 2004).  In dry prairie soils of the Willamette Valley, increases in moisture are associated with decreased P availability, i.e., increased P retention (Pfeifer-Meister &amp; Bridgham 2007). </t>
    </r>
    <r>
      <rPr>
        <i/>
        <sz val="10"/>
        <rFont val="Arial Narrow"/>
        <family val="2"/>
      </rPr>
      <t>This indicator is used only if some surface water persists in the AA for more than 4 consecutive weeks of the growing season.</t>
    </r>
  </si>
  <si>
    <r>
      <t xml:space="preserve">Deeper wetlands are more likely to experience anoxic conditions that promote P mobility and export. However, deeper waters also imply slower water velocity, longer water detention time, more time for biological processing of phosphorus, and reduced likelihood of phosphorus associated with deposited sediments being resuspended by wind mixing or currents.  Deeper wetlands are less likely to experience fluctuations between aerobic and anaerobic conditions, which otherwise promote phosphorus release. </t>
    </r>
    <r>
      <rPr>
        <i/>
        <sz val="10"/>
        <rFont val="Arial Narrow"/>
        <family val="2"/>
      </rPr>
      <t>This indicator is used only if some surface water persists in the AA for more than 4 consecutive weeks of the growing season.</t>
    </r>
  </si>
  <si>
    <r>
      <t xml:space="preserve">Plants take up phosphorus from sediments (and some, from the water directly) and can facilitate long-term retention if transferred to roots that are not as subject as the foliage is to leaching the nutrients back into the water column. Plants also facilitate sediment deposition by slowing the water, and much phosphorus is adsorbed on that sediment so is also deposited and potentially retained. </t>
    </r>
    <r>
      <rPr>
        <i/>
        <sz val="10"/>
        <rFont val="Arial Narrow"/>
        <family val="2"/>
      </rPr>
      <t>This indicator is used only if some surface water persists in the AA for more than 4 consecutive weeks of the growing season.</t>
    </r>
  </si>
  <si>
    <r>
      <t xml:space="preserve">Wetlands that are frozen for long periods are generally in regions with shorter growing seasons, resulting in less opportunity for biological uptake of phosphorus. Freeze-thaw cycles in wetlands are often characterized by change from aerobic to anaerobic conditions, which can mobilize phosphorus in sediments. Also, less infiltration occurs when wetlands are frozen. However, over the long term freeze-thaw cycles may rejuvenate the capacity of some sediments to adsorb additional phosphorus (Wang et al. 2007). </t>
    </r>
    <r>
      <rPr>
        <i/>
        <sz val="10"/>
        <rFont val="Arial Narrow"/>
        <family val="2"/>
      </rPr>
      <t>This indicator is used only if some surface water persists in the AA for more than 4 consecutive weeks of the growing season.</t>
    </r>
  </si>
  <si>
    <t>In alkaline wetlands, which typically have high salinity, phosphorus often complexes with calcium and is immobilized at least temporarily, thus leading to greater retention.</t>
  </si>
  <si>
    <r>
      <t xml:space="preserve">Exposing sediments to the air can cause them to release accumulated nitrate, potentially resulting in less removal. In contrast, long-duration flooding usually makes sediments anaerobic, which is necessary for the denitrification process.  Denitrification processes occur when anaerobic conditions occur, which are more likely when surface water is present and blocks gas exchange. Shallow inundation tends to decrease emissions of nitrous oxide (Zaman et al. 2007, Song et al. 2008). </t>
    </r>
    <r>
      <rPr>
        <i/>
        <sz val="10"/>
        <rFont val="Arial Narrow"/>
        <family val="2"/>
      </rPr>
      <t>This indicator is used only if some surface water persists in the AA for more than 4 consecutive weeks of the growing season.</t>
    </r>
  </si>
  <si>
    <r>
      <t xml:space="preserve">Greater interspersion of open water and vegetation supports greater nitrate removal (Thullen et al. 2002). That is partly because open water areas tend to be more aerobic, whereas densely vegetated areas often are anaerobic, except where plant roots oxidize a small part of the sediment. The combination of anaerobic and aerobic areas in close proximity facilitates nitrate loss through denitrification. </t>
    </r>
    <r>
      <rPr>
        <i/>
        <sz val="10"/>
        <rFont val="Arial Narrow"/>
        <family val="2"/>
      </rPr>
      <t>This indicator is used only if some surface water persists in the AA for more than 4 consecutive weeks of the growing season.</t>
    </r>
  </si>
  <si>
    <r>
      <t xml:space="preserve">Wetlands with deeper water provide more habitat space.  Except when spawning, most anadromous fish spend most of their time in deeper water because of the typically cooler temperatures and cover it provides. </t>
    </r>
    <r>
      <rPr>
        <i/>
        <sz val="10"/>
        <rFont val="Arial Narrow"/>
        <family val="2"/>
      </rPr>
      <t>This indicator is used only if some surface water persists in the AA for more than 4 consecutive weeks of the growing season.</t>
    </r>
  </si>
  <si>
    <r>
      <t xml:space="preserve">Shade is essential because most anadromous fish are highly sensitive to water temperature, requiring cool waters. However, extensive shading can also reduce fish species diversity and/or productivity (Murphy et al. 1981). This indicator is dropped from the calculation if the wetland is in the upper third of a major watershed because harmfully warm temperatures are less likely to occur, making this indicator less influential there. </t>
    </r>
    <r>
      <rPr>
        <i/>
        <sz val="10"/>
        <rFont val="Arial Narrow"/>
        <family val="2"/>
      </rPr>
      <t>This indicator is used only if some surface water persists in the AA for more than 4 consecutive weeks of the growing season.</t>
    </r>
  </si>
  <si>
    <r>
      <t xml:space="preserve">The greater the proportion of a wetland's surface water that is connected to channels, the less the danger of fish being stranded in pools that may dry up in summer, and the greater the proportion of the wetland that can be accessed and used by anadromous fish. </t>
    </r>
    <r>
      <rPr>
        <i/>
        <sz val="10"/>
        <rFont val="Arial Narrow"/>
        <family val="2"/>
      </rPr>
      <t>This indicator is used only if some surface water persists in the AA for more than 4 consecutive weeks of the growing season.</t>
    </r>
  </si>
  <si>
    <r>
      <t xml:space="preserve">Persistent surface water is essential to resident fish in isolated wetlands, and is important to resident fish even in wetlands that connect seasonally to other water bodies. </t>
    </r>
    <r>
      <rPr>
        <i/>
        <sz val="10"/>
        <rFont val="Arial Narrow"/>
        <family val="2"/>
      </rPr>
      <t>This indicator is used only if some surface water persists in the AA for more than 4 consecutive weeks of the growing season.</t>
    </r>
  </si>
  <si>
    <r>
      <t xml:space="preserve">Most resident fish spend much of their time in deeper water because of the cover it provides. Wetlands with deeper water provide more habitat space. </t>
    </r>
    <r>
      <rPr>
        <i/>
        <sz val="10"/>
        <rFont val="Arial Narrow"/>
        <family val="2"/>
      </rPr>
      <t>This indicator is used only if some surface water persists in the AA for more than 4 consecutive weeks of the growing season.</t>
    </r>
  </si>
  <si>
    <r>
      <t xml:space="preserve">Different resident fish species have different habitat needs, and a variety of depths within a wetland implies greater capacity of the wetland to meet the needs of multiple species. </t>
    </r>
    <r>
      <rPr>
        <i/>
        <sz val="10"/>
        <rFont val="Arial Narrow"/>
        <family val="2"/>
      </rPr>
      <t>This indicator is used only if some surface water persists in the AA for more than 4 consecutive weeks of the growing season.</t>
    </r>
  </si>
  <si>
    <r>
      <t xml:space="preserve">Fish species richness increases with increase in wetland or lake area (Barbour and Brown 1974, Matuszek et al. 1988). </t>
    </r>
    <r>
      <rPr>
        <i/>
        <sz val="10"/>
        <rFont val="Arial Narrow"/>
        <family val="2"/>
      </rPr>
      <t>This indicator is used only if some surface water persists in the AA for more than 4 consecutive weeks of the growing season.</t>
    </r>
  </si>
  <si>
    <r>
      <t xml:space="preserve">Presence of both flowing and ponded water increases the variety of fish species likely to be present, as species differ in their water velocity preferences and types of prey associated with those. </t>
    </r>
    <r>
      <rPr>
        <i/>
        <sz val="10"/>
        <rFont val="Arial Narrow"/>
        <family val="2"/>
      </rPr>
      <t>This indicator is used only if some surface water persists in the AA for more than 4 consecutive weeks of the growing season.</t>
    </r>
  </si>
  <si>
    <r>
      <t xml:space="preserve">During long periods of ice cover, with decaying organic matter in bottom sediments, deprives some wetlands of dissolved oxygen, which kills native fish that cannot escape to unfrozen water. This seldom occurs in wetlands that have water flowing through inlets and outlets (Tonn &amp; Magnuson 1982).  Ice-free sites are also more likely to have warmer annual temperatures that favor higher aquatic production. The model uses this indicator beneficially only if the wetland is ice-free for much of the winter; if the wetland is ice-covered much of the winter that condition does not draw down the function score. </t>
    </r>
    <r>
      <rPr>
        <i/>
        <sz val="10"/>
        <rFont val="Arial Narrow"/>
        <family val="2"/>
      </rPr>
      <t>This indicator is used only if some surface water persists in the AA for more than 4 consecutive weeks of the growing season.</t>
    </r>
  </si>
  <si>
    <r>
      <t xml:space="preserve">Surface water that persists for all or nearly all of the year provides reproductive as well as feeding and overwintering habitat for most amphibian species.   However, risk of fish predation may be greater in some persistently inundated wetlands if they are fish-accessible.  Ideally, a wetland should exist as part of a mosaic of wetlands with different water regimes. </t>
    </r>
    <r>
      <rPr>
        <i/>
        <sz val="10"/>
        <rFont val="Arial Narrow"/>
        <family val="2"/>
      </rPr>
      <t>This indicator is used only if some surface water persists in the AA for more than 4 consecutive weeks of the growing season.</t>
    </r>
  </si>
  <si>
    <r>
      <t>Some open water is beneficial for larger individuals, but dense cover provided by flooded vegetation is preferable for egg-laying and early stages (e.g., tadpoles).  Pools that remain isolated from other surface waters provide amphibians with the most protection from predatory fish.  More amphibian species prefer ponded water than water flowing in channels.</t>
    </r>
    <r>
      <rPr>
        <i/>
        <sz val="10"/>
        <rFont val="Arial Narrow"/>
        <family val="2"/>
      </rPr>
      <t xml:space="preserve"> This indicator is used only if some surface water persists in the AA for more than 4 consecutive weeks of the growing season.</t>
    </r>
  </si>
  <si>
    <r>
      <t xml:space="preserve">When aquatic vegetation is well-interspersed with open water, the unshaded open water areas potentially provide warmer conditions favored by many amphibians, while nearby areas with vegetation cover provide protection from predators. </t>
    </r>
    <r>
      <rPr>
        <i/>
        <sz val="10"/>
        <rFont val="Arial Narrow"/>
        <family val="2"/>
      </rPr>
      <t>This indicator is used only if some surface water persists in the AA for more than 4 consecutive weeks of the growing season.</t>
    </r>
  </si>
  <si>
    <r>
      <t xml:space="preserve">Pools that remain isolated from other surface waters provide amphibians with the most protection from predatory fish.  More amphibian species prefer ponded water than water flowing in channels. </t>
    </r>
    <r>
      <rPr>
        <i/>
        <sz val="10"/>
        <rFont val="Arial Narrow"/>
        <family val="2"/>
      </rPr>
      <t>This indicator is used only if some surface water persists in the AA for more than 4 consecutive weeks of the growing season.</t>
    </r>
  </si>
  <si>
    <r>
      <rPr>
        <sz val="10"/>
        <rFont val="Arial Narrow"/>
        <family val="2"/>
        <scheme val="minor"/>
      </rPr>
      <t>Egg masses of many fr</t>
    </r>
    <r>
      <rPr>
        <sz val="10"/>
        <rFont val="Arial Narrow"/>
        <family val="2"/>
      </rPr>
      <t xml:space="preserve">ogs and aquatic salamanders are more susceptible to stranding in wetlands with large water level fluctuations. </t>
    </r>
  </si>
  <si>
    <r>
      <t>Sprague, A. J., D. J. Hamilton, and A. W. Diamond. 2008. Site safety and food affect movements of Semipalmated Sandpipers (</t>
    </r>
    <r>
      <rPr>
        <i/>
        <sz val="10"/>
        <rFont val="Arial Narrow"/>
        <family val="2"/>
      </rPr>
      <t>Calidris pusilla</t>
    </r>
    <r>
      <rPr>
        <sz val="10"/>
        <rFont val="Arial Narrow"/>
        <family val="2"/>
      </rPr>
      <t>) migrating through the upper Bay of Fundy. Avian Conservation and Ecology 3:1-22.</t>
    </r>
  </si>
  <si>
    <r>
      <t xml:space="preserve">Surface water that persists for all or most of a year (and especially, during the early summer) provides more physical habitat for waterbirds. If no surface water persists, waterbird use can still be substantial if the wetland borders a lake or large river. </t>
    </r>
    <r>
      <rPr>
        <i/>
        <sz val="10"/>
        <rFont val="Arial Narrow"/>
        <family val="2"/>
      </rPr>
      <t>This indicator is used only if some surface water persists in the AA for more than 4 consecutive weeks of the growing season.</t>
    </r>
  </si>
  <si>
    <r>
      <t xml:space="preserve">Most waterbirds prefer depths of 1- 2 ft. Wetlands with greater depths will nonetheless usually have some portion of their area in this and shallower depth classes. Even the shallowest areas are important to many species. </t>
    </r>
    <r>
      <rPr>
        <i/>
        <sz val="10"/>
        <rFont val="Arial Narrow"/>
        <family val="2"/>
      </rPr>
      <t>This indicator is used only if some surface water persists in the AA for more than 4 consecutive weeks of the growing season.</t>
    </r>
  </si>
  <si>
    <r>
      <t xml:space="preserve">Different waterbird species prefer different water depths, so a diversity of depth classes in a wetland is likely to support a more varied mix of waterbirds. </t>
    </r>
    <r>
      <rPr>
        <i/>
        <sz val="10"/>
        <rFont val="Arial Narrow"/>
        <family val="2"/>
      </rPr>
      <t>This indicator is used only if some surface water persists in the AA for more than 4 consecutive weeks of the growing season.</t>
    </r>
  </si>
  <si>
    <r>
      <t xml:space="preserve">Submersed and partly submersed vegetation is an essential food for many duck species, either directly or because of the higher densities of invertebrate foods that it supports (Epners et al. 2010). Potholes smaller than about 0.5 hectare are less likely to be used late in the nesting season, and are less likely to contain water then (Keith 1961). </t>
    </r>
    <r>
      <rPr>
        <i/>
        <sz val="10"/>
        <rFont val="Arial Narrow"/>
        <family val="2"/>
      </rPr>
      <t>This indicator is used only if some surface water persists in the AA for more than 4 consecutive weeks of the growing season.</t>
    </r>
  </si>
  <si>
    <r>
      <t xml:space="preserve">Tall vegetation near water edges discourages use of those areas by some waterbird species, probably because it potentially conceals or provides a perch for predators such as falcons (Shepherd &amp; Lank 2004, Sprague et al. 2008).  Shade itself is not known to affect waterbird use directly, but is used as a surrogate for tall features that conceal approaching predators. </t>
    </r>
    <r>
      <rPr>
        <i/>
        <sz val="10"/>
        <rFont val="Arial Narrow"/>
        <family val="2"/>
      </rPr>
      <t>This indicator is used only if some surface water persists in the AA for more than 4 consecutive weeks of the growing season.</t>
    </r>
  </si>
  <si>
    <r>
      <t xml:space="preserve">Most wetland birds tend to feed more in ponded areas than along channels.  Especially at times of high water in channels, larger ponded areas provide refuge for many species. </t>
    </r>
    <r>
      <rPr>
        <i/>
        <sz val="10"/>
        <rFont val="Arial Narrow"/>
        <family val="2"/>
      </rPr>
      <t>This indicator is used only if some surface water persists in the AA for more than 4 consecutive weeks of the growing season.</t>
    </r>
  </si>
  <si>
    <r>
      <t xml:space="preserve">Most waterbird species prefer ponded areas, due to usually greater food availability and reduced energy expenditures to maintain position in space. </t>
    </r>
    <r>
      <rPr>
        <i/>
        <sz val="10"/>
        <rFont val="Arial Narrow"/>
        <family val="2"/>
      </rPr>
      <t>This indicator is used only if some surface water persists in the AA for more than 4 consecutive weeks of the growing season.</t>
    </r>
  </si>
  <si>
    <r>
      <t xml:space="preserve">Interspersion of patches of open water amid patches of vegetation, in about equal proportions, provides waterbirds with the best access to aquatic foods, and waterbird use of such wetlands has been shown to be significantly greater (Murkin et al. 1982, Rehm &amp; Baldassarre 2007). </t>
    </r>
    <r>
      <rPr>
        <i/>
        <sz val="10"/>
        <rFont val="Arial Narrow"/>
        <family val="2"/>
      </rPr>
      <t>This indicator is used only if some surface water persists in the AA for more than 4 consecutive weeks of the growing season.</t>
    </r>
  </si>
  <si>
    <r>
      <t xml:space="preserve">Most wetland birds nest in or near ponded areas. If these isolated pools areas persist well into the summer, they allow waterbird populations to establish more breeding territories within the site, as well as concentrating invertebrate foods. </t>
    </r>
    <r>
      <rPr>
        <i/>
        <sz val="10"/>
        <rFont val="Arial Narrow"/>
        <family val="2"/>
      </rPr>
      <t>This indicator is used only if some surface water persists in the AA for more than 4 consecutive weeks of the growing season.</t>
    </r>
  </si>
  <si>
    <r>
      <t xml:space="preserve">Larger ponded areas -- if they have few motorized boats -- are preferred by grebes, cormorants, and some other waterbird species. That is because they provide greater buffer against predators, are more likely to have productive fish populations, and are sufficiently long for waterbird species that cannot take flight by leaping directly upward. </t>
    </r>
    <r>
      <rPr>
        <i/>
        <sz val="10"/>
        <rFont val="Arial Narrow"/>
        <family val="2"/>
      </rPr>
      <t>This indicator is used only if some surface water persists in the AA for more than 4 consecutive weeks of the growing season.</t>
    </r>
  </si>
  <si>
    <r>
      <t xml:space="preserve">At least in the short term, open water areas created by beaver dams provide excellent nesting and foraging habitat for several waterbird species (Hood &amp; Bayley 2008). </t>
    </r>
    <r>
      <rPr>
        <i/>
        <sz val="10"/>
        <rFont val="Arial Narrow"/>
        <family val="2"/>
      </rPr>
      <t>This indicator is used only if some surface water persists in the AA for more than 4 consecutive weeks of the growing season.</t>
    </r>
  </si>
  <si>
    <r>
      <t xml:space="preserve">Waterfowl nests on Islands that are inaccessible to skunks, raccoons, and other mammalian predators are more successful in this region (Keith 1961). </t>
    </r>
    <r>
      <rPr>
        <i/>
        <sz val="10"/>
        <rFont val="Arial Narrow"/>
        <family val="2"/>
      </rPr>
      <t>This indicator is used only if some surface water persists in the AA for more than 4 consecutive weeks of the growing season.</t>
    </r>
  </si>
  <si>
    <r>
      <t xml:space="preserve">Interspersion of patches of open water amid patches of vegetation, in about equal proportions, provides waterbirds with the best access to aquatic foods, and waterbird use of such wetlands has been shown to be significantly greater. </t>
    </r>
    <r>
      <rPr>
        <i/>
        <sz val="10"/>
        <rFont val="Arial Narrow"/>
        <family val="2"/>
      </rPr>
      <t>This indicator is used only if some surface water persists in the AA for more than 4 consecutive weeks of the growing season.</t>
    </r>
  </si>
  <si>
    <r>
      <t xml:space="preserve">Waterfowl nests on Islands that are inaccessible to skunks, raccoons, and other mammalian predators are more successful in this region (Keith 1961).  The model considers that If an isolated island is present, it increases the score, but if absent it is considered to have no effect on the score for feeding waterbirds. </t>
    </r>
    <r>
      <rPr>
        <i/>
        <sz val="10"/>
        <rFont val="Arial Narrow"/>
        <family val="2"/>
      </rPr>
      <t>This indicator is used only if some surface water persists in the AA for more than 4 consecutive weeks of the growing season.</t>
    </r>
  </si>
  <si>
    <r>
      <t xml:space="preserve">Wetlands that remain unfrozen late into the fall and/or which thaw first during the spring, support use by feeding waterbirds for longer periods. </t>
    </r>
    <r>
      <rPr>
        <i/>
        <sz val="10"/>
        <rFont val="Arial Narrow"/>
        <family val="2"/>
      </rPr>
      <t>This indicator is used only if some surface water persists in the AA for more than 4 consecutive weeks of the growing season.</t>
    </r>
  </si>
  <si>
    <r>
      <t xml:space="preserve">Wetlands in which surface water persists longer are capable of supporting a wider variety of invertebrates, e.g., those that require many months or years to complete their life cycle, as well as those that mature more rapidly (Driver 1977).  However, where predation from fish in persistently flooded wetlands is severe, wetlands with less persistent water may have more species, especially if species are tallied among successive years with different amounts of precipitation. Thus, retaining both permanent and ephemeral wetlands is essential to maintaining biodiversity overall. </t>
    </r>
    <r>
      <rPr>
        <i/>
        <sz val="10"/>
        <rFont val="Arial Narrow"/>
        <family val="2"/>
      </rPr>
      <t>This indicator is used only if some surface water persists in the AA for more than 4 consecutive weeks of the growing season.</t>
    </r>
  </si>
  <si>
    <r>
      <t xml:space="preserve">Provided that they hold surface water for several weeks, shallow areas support greater primary production, support higher vascular plant densities, and consequently greater invertebrate production. </t>
    </r>
    <r>
      <rPr>
        <i/>
        <sz val="10"/>
        <rFont val="Arial Narrow"/>
        <family val="2"/>
      </rPr>
      <t>This indicator is used only if some surface water persists in the AA for more than 4 consecutive weeks of the growing season.</t>
    </r>
  </si>
  <si>
    <r>
      <t xml:space="preserve">Different invertebrate groups thrive at different water depths in boreal wetlands (Corcoran et al. 2009). Thus, a variety of depths may promote greater invertebrate richness for the wetland as a whole. </t>
    </r>
    <r>
      <rPr>
        <i/>
        <sz val="10"/>
        <rFont val="Arial Narrow"/>
        <family val="2"/>
      </rPr>
      <t>This indicator is used only if some surface water persists in the AA for more than 4 consecutive weeks of the growing season.</t>
    </r>
  </si>
  <si>
    <r>
      <t xml:space="preserve">Emergent herbaceous vegetation typically hosts extensive growths of epiphytic algae, which along with the supporting herbaceous plants, provide food and cover for a wide variety of invertebrates. </t>
    </r>
    <r>
      <rPr>
        <i/>
        <sz val="10"/>
        <rFont val="Arial Narrow"/>
        <family val="2"/>
      </rPr>
      <t>This indicator is used only if some surface water persists in the AA for more than 4 consecutive weeks of the growing season.</t>
    </r>
  </si>
  <si>
    <r>
      <t xml:space="preserve">Isolated pools provide invertebrates with some isolation from predatory fish that mainly inhabit channels. However, some predatory fish do inhabit pools that are perennial.  A mix of both isolated pools and flowing water in channels favors a wider array of invertebrate assemblages, adding to the overall diversity of invertebrates in the wetland. </t>
    </r>
    <r>
      <rPr>
        <i/>
        <sz val="10"/>
        <rFont val="Arial Narrow"/>
        <family val="2"/>
      </rPr>
      <t>This indicator is used only if some surface water persists in the AA for more than 4 consecutive weeks of the growing season.</t>
    </r>
  </si>
  <si>
    <t xml:space="preserve">Dynamic water levels in wetlands with outlets usually imply more productive wetlands and greater export of organic matter, whereas stable water levels typically imply less export. However, if water level fluctuations are too severe (e.g., greater than plant height) production of organic matter can diminish. Also, more stable water levels may benefit aquatic invertebrates the most in areas where many streams are prone to sudden fluctuations from melting snow and storms. </t>
  </si>
  <si>
    <r>
      <t xml:space="preserve">A greater variety of depth classes usually supports a wider range of wetland plant species. </t>
    </r>
    <r>
      <rPr>
        <i/>
        <sz val="10"/>
        <rFont val="Arial Narrow"/>
        <family val="2"/>
      </rPr>
      <t>This indicator is used only if some surface water persists in the AA for more than 4 consecutive weeks of the growing season.</t>
    </r>
  </si>
  <si>
    <r>
      <t xml:space="preserve">Larger patches of native vegetation tend to have more species, and better resist invasion by non-native species that otherwise harm native plant diversity. </t>
    </r>
    <r>
      <rPr>
        <i/>
        <sz val="10"/>
        <rFont val="Arial Narrow"/>
        <family val="2"/>
      </rPr>
      <t>This indicator is used only if some surface water persists in the AA for more than 4 consecutive weeks of the growing season.</t>
    </r>
  </si>
  <si>
    <r>
      <t xml:space="preserve">Relatively even mixes of emergent plants and open water imply that both submerged aquatics and emergents may be present, thus adding to diversity.  However, the addition of deep water may replace substrate that otherwise could be colonized by emergent plants. If some wetland vegetation is not water-covered when water levels are highest, it indicates generally shallow conditions that support high plant species richness. </t>
    </r>
    <r>
      <rPr>
        <i/>
        <sz val="10"/>
        <rFont val="Arial Narrow"/>
        <family val="2"/>
      </rPr>
      <t>This indicator is used only if some surface water persists in the AA for more than 4 consecutive weeks of the growing season.</t>
    </r>
  </si>
  <si>
    <r>
      <t xml:space="preserve">Beaver impoundments increase richness of wetland plants locally, especially a few years after they are abandoned (Pollock et al. 1998, Wright et al. 2002, 2003; Bayley &amp; Guimond 2008, Hood &amp; Bayley 2008). </t>
    </r>
    <r>
      <rPr>
        <i/>
        <sz val="10"/>
        <rFont val="Arial Narrow"/>
        <family val="2"/>
      </rPr>
      <t>This indicator is used only if some surface water persists in the AA for more than 4 consecutive weeks of the growing season.</t>
    </r>
  </si>
  <si>
    <r>
      <t xml:space="preserve">Whether woody or herbaceous, vegetation provides more habitat structure for songbirds and most mammals than does open water.  </t>
    </r>
    <r>
      <rPr>
        <i/>
        <sz val="10"/>
        <rFont val="Arial Narrow"/>
        <family val="2"/>
      </rPr>
      <t>This indicator is used only if some surface water persists in the AA for more than 4 consecutive weeks of the growing season.</t>
    </r>
  </si>
  <si>
    <r>
      <t xml:space="preserve">Where a large portion of the water surface is shaded, this suggests that a relatively closed wooded canopy is present, and that is important to many songbirds and mammals.  Shade itself is not known to affect songbird or mammal use of wetlands directly. </t>
    </r>
    <r>
      <rPr>
        <i/>
        <sz val="10"/>
        <rFont val="Arial Narrow"/>
        <family val="2"/>
      </rPr>
      <t>This indicator is used only if some surface water persists in the AA for more than 4 consecutive weeks of the growing season.</t>
    </r>
  </si>
  <si>
    <r>
      <t xml:space="preserve">Beaver impoundments, especially after they are abandoned and revert to early successional shrubs, are very species-rich with songbirds compared with other land cover types (Grover &amp; Baldassarre 1995, Aznar &amp; Desrochers 2008). </t>
    </r>
    <r>
      <rPr>
        <i/>
        <sz val="10"/>
        <rFont val="Arial Narrow"/>
        <family val="2"/>
      </rPr>
      <t>This indicator is used only if some surface water persists in the AA for more than 4 consecutive weeks of the growing season.</t>
    </r>
  </si>
  <si>
    <r>
      <t xml:space="preserve">Wetlands with greater water depth overall tend to have cooler outflows (depending on elevation of the outlet) because water depth provides insulation from solar warming.  </t>
    </r>
    <r>
      <rPr>
        <i/>
        <sz val="10"/>
        <rFont val="Arial Narrow"/>
        <family val="2"/>
      </rPr>
      <t>This indicator is used only if some surface water persists in the AA for more than 4 consecutive weeks of the growing season.</t>
    </r>
  </si>
  <si>
    <r>
      <t xml:space="preserve">Wider vegetated zones provide more shade.  </t>
    </r>
    <r>
      <rPr>
        <i/>
        <sz val="10"/>
        <rFont val="Arial Narrow"/>
        <family val="2"/>
      </rPr>
      <t>This indicator is used only if some surface water persists in the AA for more than 4 consecutive weeks of the growing season.</t>
    </r>
  </si>
  <si>
    <r>
      <t xml:space="preserve">Ponded water tends to heat up more rapidly than flowing water.  For example, a study of many Seattle-area wetlands found that summertime temperatures ranged higher in wetlands characterized by relatively large open pools (Reinelt &amp; Horner 1990).  However, ponded wetlands are likely to be deeper, and if wetland outlets export water from the deeper parts, the exported water may be cooler than input water. </t>
    </r>
    <r>
      <rPr>
        <i/>
        <sz val="10"/>
        <rFont val="Arial Narrow"/>
        <family val="2"/>
      </rPr>
      <t>This indicator is used only if some surface water persists in the AA for more than 4 consecutive weeks of the growing season.</t>
    </r>
  </si>
  <si>
    <t xml:space="preserve">Groundwater discharging into wetlands supports a wetland's capacity to cool surface runoff during summer, because groundwater in most cases is cooler than surface water during that time (Mellina et al. 2002). </t>
  </si>
  <si>
    <r>
      <t xml:space="preserve">Annual productivity is generally greater in shallower areas where light is more available and sediments are subject to aeration from wind mixing. </t>
    </r>
    <r>
      <rPr>
        <i/>
        <sz val="10"/>
        <rFont val="Arial Narrow"/>
        <family val="2"/>
      </rPr>
      <t>This indicator is used only if some surface water persists in the AA for more than 4 consecutive weeks of the growing season.</t>
    </r>
  </si>
  <si>
    <r>
      <t xml:space="preserve">Aquatic plants, especially those in acidic environments and/or with fibrous tissue, usually add more carbon to wetlands than they lose in the form of CO2 from decomposition. More extensive areas of plants in contact with water imply greater opportunity for waterborne export of organic matter. </t>
    </r>
    <r>
      <rPr>
        <i/>
        <sz val="10"/>
        <rFont val="Arial Narrow"/>
        <family val="2"/>
      </rPr>
      <t>This indicator is used only if some surface water persists in the AA for more than 4 consecutive weeks of the growing season.</t>
    </r>
  </si>
  <si>
    <r>
      <t xml:space="preserve">The probability that organic matter from wetland plants will be exported increases in relation to the percent of the inundated area containing such plants. </t>
    </r>
    <r>
      <rPr>
        <i/>
        <sz val="10"/>
        <rFont val="Arial Narrow"/>
        <family val="2"/>
      </rPr>
      <t>This indicator is used only if some surface water persists in the AA for more than 4 consecutive weeks of the growing season.</t>
    </r>
  </si>
  <si>
    <r>
      <t xml:space="preserve">Hydrologic factors govern the export of organic carbon from most types of wetlands (DeVito &amp; LaZerte 1989). The greater the proportion of a wetland that is connected to outflowing channels, the greater the proportion of its annual production that may be exported. </t>
    </r>
    <r>
      <rPr>
        <i/>
        <sz val="10"/>
        <rFont val="Arial Narrow"/>
        <family val="2"/>
      </rPr>
      <t>This indicator is used only if some surface water persists in the AA for more than 4 consecutive weeks of the growing season.</t>
    </r>
  </si>
  <si>
    <t xml:space="preserve">Dynamic water levels in wetlands with outlets usually imply more productive wetlands and greater export of organic matter, whereas stable water levels typically imply less export. However, if water level fluctuations are too severe (e.g., greater than plant height) production of organic matter can diminish. </t>
  </si>
  <si>
    <r>
      <t xml:space="preserve">Persistently high water tables or flooded conditions result in greater carbon loss from emissions of methane (Glatzel et al. 2004, Keller et al. 2004, Pelletier et al. 2007, Altor &amp; Mitsch 2008) and occasionally CO2. This occurs as many methane-generating microbes flourish in anaerobic environments (those with low redox potential) that are typical of wetlands with prolonged inundation.  Methane emissions in one study occurred mostly when water content of the soil exceeded 25% (Smith et al. 2000). However, peat accumulation is fostered by persistently high water tables or flooded conditions, due to the anaerobic and acidic conditions which slow decay of organic matter and are typically associated with prolonged inundation (Belyea &amp; Malmer 2004). In some wetlands primary production also increases with wetter conditions, but increases with drier (especially, intermittently dry) conditions in others. </t>
    </r>
    <r>
      <rPr>
        <i/>
        <sz val="10"/>
        <rFont val="Arial Narrow"/>
        <family val="2"/>
      </rPr>
      <t>This indicator is used only if some surface water persists in the AA for more than 4 consecutive weeks of the growing season.</t>
    </r>
  </si>
  <si>
    <r>
      <t xml:space="preserve">Waters that are persistently deeper than 2 ft, and especially deeper than 6 ft, usually support much less vascular plant production which otherwise could be sequestered while acidifying the soil and thus dampening methane emissions. In a flooded pasture of wild hay, plant production declined if continual flooding exceeded 50 days at a depth of 7 inches (Rumberg &amp; Sawyer 1965). On the other hand, methane emissions can decrease with increasing depth of surface water over the range of 0 to 1m depth (Pelletier et al. 2007, Cheng et al. 2007). One study found methane emissions were greater from a lake than a bog (Edwards et al. 2001). </t>
    </r>
    <r>
      <rPr>
        <i/>
        <sz val="10"/>
        <rFont val="Arial Narrow"/>
        <family val="2"/>
      </rPr>
      <t>This indicator is used only if some surface water persists in the AA for more than 4 consecutive weeks of the growing season.</t>
    </r>
  </si>
  <si>
    <r>
      <t xml:space="preserve">Aquatic plants, especially those in acidic environments and/or with fibrous tissue, usually add more carbon to wetlands than they lose in the form of CO2 from decomposition. They also trap and deposit particulate carbon carried into a wetland from upslope. However, decomposition of the organic matter from plants in some wetlands generates methane, and the plants themselves can facilitate its movement from sediments into the atmosphere. </t>
    </r>
    <r>
      <rPr>
        <i/>
        <sz val="10"/>
        <rFont val="Arial Narrow"/>
        <family val="2"/>
      </rPr>
      <t>This indicator is used only if some surface water persists in the AA for more than 4 consecutive weeks of the growing season.</t>
    </r>
  </si>
  <si>
    <r>
      <t xml:space="preserve">Annual plant productivity (and thus potentially-storable carbon) is often less in isolated pools than in areas where periodic water circulation replenishes nutrients(Thormann &amp; Bayley 1997). Also, methane emissions may be higher from isolated pools (pannes) because of they are more likely to develop anaerobic conditions (Magenheimer et al. 1996). Aerobic conditions can increase the proportion of plant production that is allocated to belowground tissue, which benefits carbon storage because such tissue is more likely to resist erosion and be incorporated into longterm storage in soil. However, organic matter stored in pools is less subject than organic matter in channels to being washed downstream and thus could be more likely to become incorporated into soils, resulting in carbon being sequestered. </t>
    </r>
    <r>
      <rPr>
        <i/>
        <sz val="10"/>
        <rFont val="Arial Narrow"/>
        <family val="2"/>
      </rPr>
      <t>This indicator is used only if some surface water persists in the AA for more than 4 consecutive weeks of the growing season.</t>
    </r>
  </si>
  <si>
    <r>
      <t xml:space="preserve">People are naturally drawn to wetlands with more open water. </t>
    </r>
    <r>
      <rPr>
        <i/>
        <sz val="10"/>
        <rFont val="Arial Narrow"/>
        <family val="2"/>
      </rPr>
      <t>This indicator is scored 0 if no surface water persists in the AA for more than 4 consecutive weeks of the growing season.</t>
    </r>
  </si>
  <si>
    <r>
      <t xml:space="preserve">Decreases in water inputs will have the greatest impact on shallow wetlands, even causing parts of them to cease being wetlands, and causing major changes in species and biogeochemical processes in the remaining wetland.  Also, among wetlands having the same area, shallow wetlands have less volume than deeper ones and thus experience less dilution of incoming contaminants. </t>
    </r>
    <r>
      <rPr>
        <i/>
        <sz val="10"/>
        <rFont val="Arial Narrow"/>
        <family val="2"/>
      </rPr>
      <t xml:space="preserve"> This indicator is used only if some surface water persists in the AA for more than 4 consecutive weeks of the growing season.</t>
    </r>
  </si>
  <si>
    <r>
      <t xml:space="preserve">Narrow wetlands tend to be more susceptible to erosion from waves and currents.  Their microclimate also is more precarious, trees are more subject to windthrow (Martin &amp; Grotenfendt 2007, Bahuguna et al. 2010), and their wildlife may be more susceptible to predation. In narrow strips or small patches of vegetation, the native plant communities are more vulnerable to invasion from non-native species from adjoining lands (Hennings &amp; Edge 2003). In Alberta forests, non-native plants were found to be most abundant  between 15 and 50 ft from the edge, and some of those species were found up to 130 ft from the edge.  Although larger patches of forest generally supported more non-natives species than smaller fragments, the smallest fragments had the greatest number of non-native species per square meter (Gignac &amp; Dale 2007).  Wooded buffers with dense vegetation tend to restrict wind-driven dispersal of seeds of non-native plants into the area protected by a buffer (Cadenasso &amp; Pickett 2001). If the adjoining uplands are not forested, a greater proportion of the trees in narrow wetlands are subject to blowdown, and the wetland’s plants and animals are more subject to extremes of the surrounding microclimate as well as disturbance from humans in nearby uplands. </t>
    </r>
    <r>
      <rPr>
        <i/>
        <sz val="10"/>
        <rFont val="Arial Narrow"/>
        <family val="2"/>
      </rPr>
      <t>This indicator is used only if some surface water persists in the AA for more than 4 consecutive weeks of the growing season.</t>
    </r>
  </si>
  <si>
    <r>
      <t>Wetlands whose late-summer surface water is confined mostly to pools may be more sensitive to drought and slight changes in their water balance.  Isolated pools also may be more susceptible to developing oxygen deficits and bioaccumulating contaminants.</t>
    </r>
    <r>
      <rPr>
        <i/>
        <sz val="10"/>
        <rFont val="Arial Narrow"/>
        <family val="2"/>
      </rPr>
      <t>This indicator is used only if some surface water persists in the AA for more than 4 consecutive weeks of the growing season.</t>
    </r>
  </si>
  <si>
    <r>
      <t xml:space="preserve">Wetlands whose existence or extent depends on beaver are more sensitive in the sense that they may not be sustained naturally over time if beaver populations and associated beaver dams decline. </t>
    </r>
    <r>
      <rPr>
        <i/>
        <sz val="10"/>
        <rFont val="Arial Narrow"/>
        <family val="2"/>
      </rPr>
      <t>This indicator is used only if some surface water persists in the AA for more than 4 consecutive weeks of the growing season.</t>
    </r>
  </si>
  <si>
    <r>
      <t xml:space="preserve">Although some unaltered wetlands have only narrow strips of vegetation, that condition is more typical of wetlands that have been altered, e.g., by excavation, recontouring for agricultural uses. </t>
    </r>
    <r>
      <rPr>
        <i/>
        <sz val="10"/>
        <rFont val="Arial Narrow"/>
        <family val="2"/>
      </rPr>
      <t>This indicator is used only if some surface water persists in the AA for more than 4 consecutive weeks of the growing season.</t>
    </r>
  </si>
  <si>
    <r>
      <t xml:space="preserve">The model considers the presence of this condition to indicate a somewhat degraded condition. </t>
    </r>
    <r>
      <rPr>
        <i/>
        <sz val="10"/>
        <rFont val="Arial Narrow"/>
        <family val="2"/>
      </rPr>
      <t>This indicator is used only if some surface water persists in the AA for more than 4 consecutive weeks of the growing season.</t>
    </r>
  </si>
  <si>
    <r>
      <t xml:space="preserve">Plants take up nitrate from sediments and can facilitate retention if N is transferred to roots not as subject to erosion as foliage. Plants also facilitate sediment deposition by slowing the water, and some nitrate is associated with that sediment so is also deposited and potentially retained. Perhaps most importantly, roots of some plants oxidize the anoxic sediments that surround them and this facilitates denitrification, the major process for removing soluble nitrate from water. </t>
    </r>
    <r>
      <rPr>
        <i/>
        <sz val="10"/>
        <rFont val="Arial Narrow"/>
        <family val="2"/>
      </rPr>
      <t>This indicator is used only if some surface water persists in the AA for more than 4 consecutive weeks of the growing season, and only if there is a minimal area of emergent vegetation.</t>
    </r>
  </si>
  <si>
    <r>
      <t xml:space="preserve">Aquatic plants provide important cover for juvenile anadromous fish, but if stands become too dense, they may restrict fish access. </t>
    </r>
    <r>
      <rPr>
        <i/>
        <sz val="10"/>
        <rFont val="Arial Narrow"/>
        <family val="2"/>
      </rPr>
      <t>This indicator is used only if some surface water persists in the AA for more than 4 consecutive weeks of the growing season, and only if there is a minimal area of emergent vegetation.</t>
    </r>
  </si>
  <si>
    <r>
      <t xml:space="preserve">Aquatic plants provide important cover for resident fish, but if stands become too dense, they may restrict fish access. </t>
    </r>
    <r>
      <rPr>
        <i/>
        <sz val="10"/>
        <rFont val="Arial Narrow"/>
        <family val="2"/>
      </rPr>
      <t>This indicator is used only if some surface water persists in the AA for more than 4 consecutive weeks of the growing season, and only if there is a minimal area of emergent vegetation.</t>
    </r>
  </si>
  <si>
    <r>
      <t xml:space="preserve">Emergent plants (especially thin-stemmed ones) provide sites for amphibian egg deposition. Populations of many pond-breeding amphibians are correlated with local extent of emergent vegetation (Adams et al. 2011). Aquatic plants  provide some degree of shelter from excessive ultraviolet radiation as well as from predators.  However, excessive plant cover can shade out ephiphytic algae important to some larval amphibians. </t>
    </r>
    <r>
      <rPr>
        <i/>
        <sz val="10"/>
        <rFont val="Arial Narrow"/>
        <family val="2"/>
      </rPr>
      <t>This indicator is used only if some surface water persists in the AA for more than 4 consecutive weeks of the growing season, and only if there is a minimal area of emergent vegetation.</t>
    </r>
  </si>
  <si>
    <r>
      <t xml:space="preserve">Most waterbirds favor emergent herbaceous vegetation rather than woody vegetation, partly because it provides food as well as cover. </t>
    </r>
    <r>
      <rPr>
        <i/>
        <sz val="10"/>
        <rFont val="Arial Narrow"/>
        <family val="2"/>
      </rPr>
      <t>This indicator is used only if some surface water persists in the AA for more than 4 consecutive weeks of the growing season, and only if there is a minimal area of emergent vegetation.</t>
    </r>
  </si>
  <si>
    <r>
      <t xml:space="preserve">These plant species provide particularly dense cover for nesting waterbirds (e.g., American bittern, rails), as well as supporting abundant invertebrate prey. </t>
    </r>
    <r>
      <rPr>
        <i/>
        <sz val="10"/>
        <rFont val="Arial Narrow"/>
        <family val="2"/>
      </rPr>
      <t>This indicator is used only if some surface water persists in the AA for more than 4 consecutive weeks of the growing season, and only if there is a minimal area of emergent vegetation.</t>
    </r>
  </si>
  <si>
    <r>
      <t xml:space="preserve"> Emergent herbaceous vegetation typically hosts extensive growths of epiphytic algae, which along with the supporting herbaceous plants, provide food and cover for a wide variety of invertebrates.  Intermediate cover conditions allow more light penetration of the water column, higher algal productivity, greater oxygenation, and thus tend to support a wide variety of invertebrate groups.</t>
    </r>
    <r>
      <rPr>
        <i/>
        <sz val="10"/>
        <rFont val="Arial Narrow"/>
        <family val="2"/>
      </rPr>
      <t xml:space="preserve"> This indicator is used only if some surface water persists in the AA for more than 4 consecutive weeks of the growing season, and only if there is a minimal area of emergent vegetation.</t>
    </r>
  </si>
  <si>
    <r>
      <t xml:space="preserve">Intermediate densities of emergent plants tend to be most floristically diverse. </t>
    </r>
    <r>
      <rPr>
        <i/>
        <sz val="10"/>
        <rFont val="Arial Narrow"/>
        <family val="2"/>
      </rPr>
      <t>This indicator is used only if some surface water persists in the AA for more than 4 consecutive weeks of the growing season, and only if there is a minimal area of emergent vegetation.</t>
    </r>
  </si>
  <si>
    <r>
      <t xml:space="preserve">Whether woody or herbaceous, vegetation provides more habitat structure for songbirds and most mammals than does open water.  </t>
    </r>
    <r>
      <rPr>
        <i/>
        <sz val="10"/>
        <rFont val="Arial Narrow"/>
        <family val="2"/>
      </rPr>
      <t>This indicator is used only if some surface water persists in the AA for more than 4 consecutive weeks of the growing season, and only if there is a minimal area of emergent vegetation.</t>
    </r>
  </si>
  <si>
    <r>
      <t xml:space="preserve">Cattail and bulrush in particular provide robust nest sites and perches for a variety of wetland-dependent mammals (e.g., muskrat) and birds (e.g., marsh wren, blackbirds). </t>
    </r>
    <r>
      <rPr>
        <i/>
        <sz val="10"/>
        <rFont val="Arial Narrow"/>
        <family val="2"/>
      </rPr>
      <t>This indicator is used only if some surface water persists in the AA for more than 4 consecutive weeks of the growing season, and only if there is a minimal area of emergent vegetation.</t>
    </r>
  </si>
  <si>
    <r>
      <t xml:space="preserve">Shade from vegetation and other features is an important factor in cooling surface water and runoff before it reaches water bodies farther downstream (e.g., Rounds 2007).  A study of many Seattle-area wetlands found that summertime temperatures ranged higher in wetlands that were characterized by relatively large open pools (Reinelt &amp; Horner 1990).  </t>
    </r>
    <r>
      <rPr>
        <i/>
        <sz val="10"/>
        <rFont val="Arial Narrow"/>
        <family val="2"/>
      </rPr>
      <t>This indicator is used only if some surface water persists in the AA for more than 4 consecutive weeks of the growing season, and only if there is a minimal area of emergent vegetation.</t>
    </r>
  </si>
  <si>
    <r>
      <t xml:space="preserve">Shade from vegetation and other features is an important factor in cooling surface water and runoff before it reaches water bodies farther downstream (e.g., Rounds 2007).  However, in higher-gradient intermittent headwater streams, the cooling effect of shade is often much less than the effect of groundwater on stream temperatures (Janisch et al. 2012). Cooling effects may extend about 150 m to 4 km downstream from an individual source of cooler water, depending on the temperature and discharge rate from the source relative to those of the receiving waters (Caldwell et al. 1991, Lewis et al. 2000). </t>
    </r>
    <r>
      <rPr>
        <i/>
        <sz val="10"/>
        <rFont val="Arial Narrow"/>
        <family val="2"/>
      </rPr>
      <t>This indicator is used only if some surface water persists in the AA for more than 4 consecutive weeks of the growing season, and only if there is a minimal area of emergent vegetation.</t>
    </r>
  </si>
  <si>
    <r>
      <t xml:space="preserve">Wider vegetated areas provide more area for sediment particles borne in runoff to be filtered and deposited, and are more resistant to erosion of deposited sediment. </t>
    </r>
    <r>
      <rPr>
        <i/>
        <sz val="10"/>
        <rFont val="Arial Narrow"/>
        <family val="2"/>
      </rPr>
      <t>This indicator is used only if some open surface water persists in the AA for more than 4 consecutive weeks of the growing season.</t>
    </r>
  </si>
  <si>
    <r>
      <t xml:space="preserve">Wider vegetated areas provide more area for phosphorus adsorbed to sediment particles in runoff to be filtered and deposited. Where phosphorus is mainly attached to sediment (as often it is), then buffer widths sufficient for sediment retention (generally 10-30 ft) may be almost as effective for retaining phosphorus (White et al. 2007). But if phosphorus is mostly in dissolved form (orthophosphate, or soluble reactive phosphorus), then vegetated buffers may need to be very large or may not be effective at all (Prepas et al. 2001, Hoffman et al. 2009). </t>
    </r>
    <r>
      <rPr>
        <i/>
        <sz val="10"/>
        <rFont val="Arial Narrow"/>
        <family val="2"/>
      </rPr>
      <t>This indicator is used only if some open surface water persists in the AA for more than 4 consecutive weeks of the growing season.</t>
    </r>
  </si>
  <si>
    <r>
      <t xml:space="preserve">A proliferation of algae and floating aquatics can indicate that the wetland is receiving more nutrients than it is capable of processing effectively.  These non-rooted plants do not oxygenate the sediments, they take up and store nutrients only briefly, and their die-offs create anoxic conditions that mobilize phosphorus temporarily retained in sediments. In the calculations, abundant algae reduces the score but absence of blooms does not increase it. </t>
    </r>
    <r>
      <rPr>
        <i/>
        <sz val="10"/>
        <rFont val="Arial Narrow"/>
        <family val="2"/>
      </rPr>
      <t>This indicator is used only if some open ponded surface water persists in the AA for more than 4 consecutive weeks of the growing season.</t>
    </r>
  </si>
  <si>
    <r>
      <t xml:space="preserve">Although aquatic plants take up phosphorus, their decaying foliage also frequently creates anoxic conditions that promote P release from sediments, if iron concentrations are low and mixing by currents and wind is poor (as it tends to be when SAV occupies most of a water body). </t>
    </r>
    <r>
      <rPr>
        <i/>
        <sz val="10"/>
        <rFont val="Arial Narrow"/>
        <family val="2"/>
      </rPr>
      <t>This indicator is used only if some open ponded surface water persists in the AA for more than 4 consecutive weeks of the growing season.</t>
    </r>
  </si>
  <si>
    <r>
      <t>Wider vegetated areas provide more area for biological processing of nitrate, and for nitrate adsorbed to sediment particles in runoff to be filtered and deposited. The most comprehensive and sophisticated analysis that used statistical procedures (meta-analysis) to synthesize results from over 60 peer-reviewed studies of nitrate removal by buffers in temperate climates found that widths of approximately 10 ft, 92 ft, and 367 ft are needed to achieve 50%, 75%, and 90% removal efficiencies for nitrate (Mayer et al. 2005, Mayer et al. 2007). This assumed that most inputs are through subsurface flow. When surface flow dominates (as often occurs during storms, and where subsurface storm drains have been installed around homes), buffers of 109 ft, 387 ft, and 810 ft are needed to achieve the same removal efficiencies (Mayer et al. 2005). T</t>
    </r>
    <r>
      <rPr>
        <i/>
        <sz val="10"/>
        <rFont val="Arial Narrow"/>
        <family val="2"/>
      </rPr>
      <t>his indicator is used only if some open surface water persists in the AA for more than 4 consecutive weeks of the growing season.</t>
    </r>
  </si>
  <si>
    <r>
      <t xml:space="preserve">Excessive growths of algae and duckweed can reduce diffusion of oxygen into the water and thus deprive wetlands of dissolved oxygen that is critical to salmon survival. </t>
    </r>
    <r>
      <rPr>
        <i/>
        <sz val="10"/>
        <rFont val="Arial Narrow"/>
        <family val="2"/>
      </rPr>
      <t>This indicator is used only if some open ponded surface water persists in the AA for more than 4 consecutive weeks of the growing season.</t>
    </r>
  </si>
  <si>
    <r>
      <t xml:space="preserve">SAV provides extensive cover and invertebrate foods for foraging fish. </t>
    </r>
    <r>
      <rPr>
        <i/>
        <sz val="10"/>
        <rFont val="Arial Narrow"/>
        <family val="2"/>
      </rPr>
      <t>This indicator is used only if some open ponded surface water persists in the AA for more than 4 consecutive weeks of the growing season.</t>
    </r>
  </si>
  <si>
    <r>
      <t xml:space="preserve">Wider bands of wetland vegetation provide better cover for young frogs and salamanders as they transition to upland nonbreeding areas. </t>
    </r>
    <r>
      <rPr>
        <i/>
        <sz val="10"/>
        <rFont val="Arial Narrow"/>
        <family val="2"/>
      </rPr>
      <t>This indicator is used only if some open surface water persists in the AA for more than 4 consecutive weeks of the growing season.</t>
    </r>
  </si>
  <si>
    <r>
      <t xml:space="preserve">Submerged aquatic vegetation provides abundant cover for tadpoles and young salamanders. </t>
    </r>
    <r>
      <rPr>
        <i/>
        <sz val="10"/>
        <rFont val="Arial Narrow"/>
        <family val="2"/>
      </rPr>
      <t>This indicator is used only if some open ponded surface water persists in the AA for more than 4 consecutive weeks of the growing season.</t>
    </r>
  </si>
  <si>
    <r>
      <t xml:space="preserve">Interspersion of patches of open water amid patches of vegetation, in about equal proportions, provides waterbirds with the best access to aquatic foods, and waterbird use of such wetlands has been shown to be significantly greater (Kaminski &amp; Prince 1981, Murkin et al. 1982, Rehm &amp; Baldassarre 2007). </t>
    </r>
    <r>
      <rPr>
        <i/>
        <sz val="10"/>
        <rFont val="Arial Narrow"/>
        <family val="2"/>
      </rPr>
      <t>This indicator is used only if some surface open water persists in the AA for more than 4 consecutive weeks of the growing season.</t>
    </r>
  </si>
  <si>
    <r>
      <t xml:space="preserve"> These plants are known to be important foods for many waterfowl species. </t>
    </r>
    <r>
      <rPr>
        <i/>
        <sz val="10"/>
        <rFont val="Arial Narrow"/>
        <family val="2"/>
      </rPr>
      <t>This indicator is used only if some open ponded surface water persists in the AA for more than 4 consecutive weeks of the growing season.</t>
    </r>
  </si>
  <si>
    <r>
      <t xml:space="preserve">These plants potentially increase waterbird habitat suitability by adding considerable habitat space and structure for invertebrates important as foods for waterbirds. </t>
    </r>
    <r>
      <rPr>
        <i/>
        <sz val="10"/>
        <rFont val="Arial Narrow"/>
        <family val="2"/>
      </rPr>
      <t xml:space="preserve"> This indicator is used only if some open ponded surface water persists in the AA for more than 4 consecutive weeks of the growing season.</t>
    </r>
  </si>
  <si>
    <r>
      <t xml:space="preserve">Wider wetlands provide feeding waterbirds with more buffer against disturbances occurring in adjacent uplands. </t>
    </r>
    <r>
      <rPr>
        <i/>
        <sz val="10"/>
        <rFont val="Arial Narrow"/>
        <family val="2"/>
      </rPr>
      <t>This indicator is used only if some open ponded surface water persists in the AA for more than 4 consecutive weeks of the growing season.</t>
    </r>
  </si>
  <si>
    <r>
      <t xml:space="preserve">Wider wetlands provide feeding waterbirds with more buffer against disturbances occurring in adjacent uplands. </t>
    </r>
    <r>
      <rPr>
        <i/>
        <sz val="10"/>
        <rFont val="Arial Narrow"/>
        <family val="2"/>
      </rPr>
      <t>This indicator is used only if some open surface water persists in the AA for more than 4 consecutive weeks of the growing season.</t>
    </r>
  </si>
  <si>
    <r>
      <t xml:space="preserve">These plants usually indicate highly enriched conditions, and those tend to be more productive feeding areas for most waterbird species. </t>
    </r>
    <r>
      <rPr>
        <i/>
        <sz val="10"/>
        <rFont val="Arial Narrow"/>
        <family val="2"/>
      </rPr>
      <t>This indicator is used only if some open ponded surface water persists in the AA for more than 4 consecutive weeks of the growing season.</t>
    </r>
  </si>
  <si>
    <r>
      <t xml:space="preserve">These plants potentially increase waterbird habitat suitability by adding considerable habitat space and structure for invertebrates important as foods for waterbirds. </t>
    </r>
    <r>
      <rPr>
        <i/>
        <sz val="10"/>
        <rFont val="Arial Narrow"/>
        <family val="2"/>
      </rPr>
      <t>This indicator is used only if some open ponded surface water persists in the AA for more than 4 consecutive weeks of the growing season.</t>
    </r>
  </si>
  <si>
    <r>
      <t xml:space="preserve">Greater invertebrate diversity overall may be supported by wetlands with a relatively even mix of open water and vegetation, interspersed throughout (Murkin et al. 1982). Such conditions reflect a variety of light, temperature, and oxygen regimes as well as edge habitats (ecotones) that together provide more niches for invertebrates. </t>
    </r>
    <r>
      <rPr>
        <i/>
        <sz val="10"/>
        <rFont val="Arial Narrow"/>
        <family val="2"/>
      </rPr>
      <t>This indicator is used only if some open ponded surface water persists in the AA for more than 4 consecutive weeks of the growing season.</t>
    </r>
  </si>
  <si>
    <r>
      <t xml:space="preserve">Due to its being almost completely and constantly surrounded by water and providing complex structure, SAV is especially important for aquatic invertebrates. </t>
    </r>
    <r>
      <rPr>
        <i/>
        <sz val="10"/>
        <rFont val="Arial Narrow"/>
        <family val="2"/>
      </rPr>
      <t>This indicator is used only if some open ponded surface water persists in the AA for more than 4 consecutive weeks of the growing season.</t>
    </r>
  </si>
  <si>
    <r>
      <t xml:space="preserve">Wetlands with wider vegetated areas are more likely to contain more plant species and rarer and more sensitive plants, as well as being more insulated from some upland disturbances (Rooney &amp; Bayley 2012, Sebastian-Gonzalez et al. 2012). </t>
    </r>
    <r>
      <rPr>
        <i/>
        <sz val="10"/>
        <rFont val="Arial Narrow"/>
        <family val="2"/>
      </rPr>
      <t>This indicator is used only if some open surface water persists in the AA for more than 4 consecutive weeks of the growing season.</t>
    </r>
  </si>
  <si>
    <r>
      <t xml:space="preserve">Species-area curves indicate that the more habitat that is available, the greater the diversity of bird species.  Wider or at least larger wetlands are used disproportionately by some species of nesting wetland-dependent songbirds. Smaller identical wetlands of equal cumulative area probably support lower numbers and cumulative richness of songbirds and mammals, unless they are close together and connected with corridors of undeveloped land. Wider vegetated zones within wetlands provide more nesting space and structure for songbirds and mammals, as well as better concealment from avian predators (Marzluff et al 2007).  </t>
    </r>
    <r>
      <rPr>
        <i/>
        <sz val="10"/>
        <rFont val="Arial Narrow"/>
        <family val="2"/>
      </rPr>
      <t>This indicator is used only if some open surface water persists in the AA for more than 4 consecutive weeks of the growing season.</t>
    </r>
  </si>
  <si>
    <r>
      <t xml:space="preserve">Plant material from narrower (fringe) wetlands is often more vulnerable to transport into adjoining waters. </t>
    </r>
    <r>
      <rPr>
        <i/>
        <sz val="10"/>
        <rFont val="Arial Narrow"/>
        <family val="2"/>
      </rPr>
      <t>This indicator is used only if some open surface water persists in the AA for more than 4 consecutive weeks of the growing season.</t>
    </r>
  </si>
  <si>
    <r>
      <t xml:space="preserve">Because SAV plants are constantly submerged, their organic matter is likely to be more susceptible to export from wetlands than is organic matter from wetland plants that are not completely immersed in water. </t>
    </r>
    <r>
      <rPr>
        <i/>
        <sz val="10"/>
        <rFont val="Arial Narrow"/>
        <family val="2"/>
      </rPr>
      <t>This indicator is used only if some open ponded surface water persists in the AA for more than 4 consecutive weeks of the growing season.</t>
    </r>
  </si>
  <si>
    <r>
      <t xml:space="preserve">Wider bands of vegetation represent more biomass to be sequestered, and are more effective in trapping organic matter carried to the wetland by upland runoff. </t>
    </r>
    <r>
      <rPr>
        <i/>
        <sz val="10"/>
        <rFont val="Arial Narrow"/>
        <family val="2"/>
      </rPr>
      <t>This indicator is used only if some open surface water persists in the AA for more than 4 consecutive weeks of the growing season.</t>
    </r>
  </si>
  <si>
    <r>
      <t xml:space="preserve">Narrow outlets limit water outflow from a wetland and its downstream or downslope movement, thus increasing storage (Carter et al. 1979). The types of outlets described here are ones that typically are more constricted than natural channels, which usually have adjusted over time to local runoff and thus are wider relative to volume of flow received. </t>
    </r>
    <r>
      <rPr>
        <i/>
        <sz val="10"/>
        <rFont val="Arial Narrow"/>
        <family val="2"/>
      </rPr>
      <t>This indicator is used only if water exits the AA or its wetland for more than 14 days of the growing season.</t>
    </r>
  </si>
  <si>
    <r>
      <t xml:space="preserve">When vegetation and other obstacles create a "roughness" within a wetland, that can slow the outflow and downstream movement of water. This is much truer if the vegetation intercepts a large proportion of the flow during high-flow periods (i.e., is not merely along an upland edge that never floods), and is tall and stiff enough to provide some resistance. However, the vegetation itself occupies space otherwise available for storing water (this effect is usually negligible except in densely wooded floodplains). Water also takes longer to move through complex channel networks (e.g., braided or sinuous) which themselves provide additional friction. Vegetational resistance rapidly diminishes as the water depth becomes greater than the vegetation height (Camfield 1977).  </t>
    </r>
    <r>
      <rPr>
        <i/>
        <sz val="10"/>
        <rFont val="Arial Narrow"/>
        <family val="2"/>
      </rPr>
      <t>This indicator is used only if an tributary channel is present and water exits the AA or its wetland for more than 14 days of the growing season.</t>
    </r>
  </si>
  <si>
    <r>
      <t xml:space="preserve">Like a constricted outlet, vegetation and other obstacles create a "roughness" within a wetland that can slow the water and allow sediment particles to be deposited. This is much truer if the vegetation intercepts a large proportion of the flow during high-flow periods (i.e., is not merely along an upland edge that never floods). Although tall and stiff vegetation provides the most resistance and thus sedimentation, it often tends to have less ground cover, so the net effect is uncertain in some wetlands. Water takes longer to move through complex channel networks (e.g., braided or sinuous) which themselves provide additional friction, thus allowing more suspended sediment to be deposited. The sinuosity is as much the result of sedimentation-erosion dynamics as it is the cause of them. Wetlands with a sheet flow pattern often retain more suspended solids than channelized systems (Morris et al. 1981).  </t>
    </r>
    <r>
      <rPr>
        <i/>
        <sz val="10"/>
        <rFont val="Arial Narrow"/>
        <family val="2"/>
      </rPr>
      <t>This indicator is used only if an tributary channel is present and water exits the AA or its wetland for more than 14 days of the growing season.</t>
    </r>
  </si>
  <si>
    <r>
      <t xml:space="preserve">Like a constricted outlet, vegetation and other obstacles create a "roughness" within a wetland that can slow the water and allow phosphorus adsorbed to sediment particles to be deposited. This is much truer if the vegetation intercepts a large proportion of the flow during high-flow periods (i.e., is not merely along an upland edge that never floods). Although tall and stiff vegetation provides the most resistance and thus may be more effective at allowing sediment to be deposited, it often tends to have less ground cover, so the net effect is uncertain in some wetlands. Water takes longer to move through complex channel networks (e.g., braided or sinuous) which themselves provide additional friction, thus allowing more suspended sediment and the phosphorus associated with it to be deposited. Wetlands with a sheet flow pattern often retain more total phosphorus than channelized systems (Morris et al. 1981, Knox et al. 2008). </t>
    </r>
    <r>
      <rPr>
        <i/>
        <sz val="10"/>
        <rFont val="Arial Narrow"/>
        <family val="2"/>
      </rPr>
      <t>This indicator is used only if an tributary channel is present and water exits the AA or its wetland for more than 14 days of the growing season.</t>
    </r>
  </si>
  <si>
    <r>
      <t xml:space="preserve">Like a constricted outlet, vegetation and other obstacles create a "roughness" within a wetland that can slow the water and allow more time for biological processing of nitrate. This is much truer if the vegetation intercepts a large proportion of the flow during high-flow periods (i.e., is not merely along an upland edge that never floods). Water takes longer to move through complex channel networks (e.g., braided or sinuous) which themselves provide additional friction, thus allowing more suspended sediment and the nitrate associated with it to be deposited. Increased channel complexity also implies greater interspersion of open water and vegetation (see above) and in some cases, more hyporheic flow (Burkholder et al. 2008) -- both of which favor nitrate removal (Fernald et al. 2006). Wetlands with a sheet flow pattern often retain more nitrate than channelized systems (Morris et al. 1981, Knox et al. 2008). </t>
    </r>
    <r>
      <rPr>
        <i/>
        <sz val="10"/>
        <rFont val="Arial Narrow"/>
        <family val="2"/>
      </rPr>
      <t>This indicator is used only if an tributary channel is present and water exits the AA or its wetland for more than 14 days of the growing season.</t>
    </r>
  </si>
  <si>
    <r>
      <t xml:space="preserve">Diffuse flow paths and large spatial complexity of channels within a wetland support a wider variety of microhabitats for fish and their invertebrate foods. </t>
    </r>
    <r>
      <rPr>
        <i/>
        <sz val="10"/>
        <rFont val="Arial Narrow"/>
        <family val="2"/>
      </rPr>
      <t>This indicator is used only if an tributary channel is present and water exits the AA or its wetland for more than 14 days of the growing season.</t>
    </r>
  </si>
  <si>
    <r>
      <t>Diffuse flow paths and large spatial complexity of channels within a wetland support a wider variety of microhabitats for fish and their invertebrate foods.</t>
    </r>
    <r>
      <rPr>
        <i/>
        <sz val="10"/>
        <rFont val="Arial Narrow"/>
        <family val="2"/>
      </rPr>
      <t xml:space="preserve"> This indicator is used only if an tributary channel is present and water exits the AA or its wetland for more than 14 days of the growing season.</t>
    </r>
  </si>
  <si>
    <r>
      <t xml:space="preserve">Diffuse flow paths and large spatial complexity of channels within a wetland support a wider variety of microhabitats for invertebrates, so should result in greater species richness. </t>
    </r>
    <r>
      <rPr>
        <i/>
        <sz val="10"/>
        <rFont val="Arial Narrow"/>
        <family val="2"/>
      </rPr>
      <t>This indicator is used only if an tributary channel is present and water exits the AA or its wetland for more than 14 days of the growing season.</t>
    </r>
  </si>
  <si>
    <r>
      <t xml:space="preserve">Increasing channel complexity within a wetland suggests more varied microtopography and durations of inundation, and those promote greater plant diversity. </t>
    </r>
    <r>
      <rPr>
        <i/>
        <sz val="10"/>
        <rFont val="Arial Narrow"/>
        <family val="2"/>
      </rPr>
      <t>This indicator is used only if an tributary channel is present and water exits the AA or its wetland for more than 14 days of the growing season.</t>
    </r>
  </si>
  <si>
    <r>
      <t xml:space="preserve">Increased channel complexity implies greater interspersion of open water and vegetation, which provides more opportunity for organic matter to be in contact with moving water and thus be exported. </t>
    </r>
    <r>
      <rPr>
        <i/>
        <sz val="10"/>
        <rFont val="Arial Narrow"/>
        <family val="2"/>
      </rPr>
      <t>This indicator is used only if an tributary channel is present and water exits the AA or its wetland for more than 14 days of the growing season.</t>
    </r>
  </si>
  <si>
    <r>
      <t xml:space="preserve">Narrow outlets limit water outflow from a wetland and its downstream or downslope movement, thus causing water to back up into the wetland, which allows more time for suspended sediments to be deposited. The types of outlets described here are ones that typically are more constricted than natural channels. Natural channels usually have adjusted over time to local runoff and thus tend to be wider relative to volume of flow received. A restricting outlet in wetlands can reduce export of sediment (Amatya et al. 2003). </t>
    </r>
    <r>
      <rPr>
        <i/>
        <sz val="10"/>
        <rFont val="Arial Narrow"/>
        <family val="2"/>
      </rPr>
      <t>This indicator is used only if water exits the AA or its wetland for more than 14 days of the growing season.</t>
    </r>
  </si>
  <si>
    <r>
      <t xml:space="preserve">Narrow outlets limit water outflow from a wetland and its downstream or downslope movement, thus causing water to back up into the wetland, which allows more time for sediments to be deposited and phosphorus to be processed. The types of outlets described here are ones that typically are more constricted than natural channels, which usually have adjusted over time to local runoff and thus are wider relative to volume of flow received. A restricting outlet in wetlands can reduce export of phosphorus (Amatya et al. 2003). </t>
    </r>
    <r>
      <rPr>
        <i/>
        <sz val="10"/>
        <rFont val="Arial Narrow"/>
        <family val="2"/>
      </rPr>
      <t>This indicator is used only if water exits the AA or its wetland for more than 14 days of the growing season.</t>
    </r>
  </si>
  <si>
    <r>
      <t>Narrow outlets limit water outflow from a wetland and its downstream or downslope movement, thus causing water to back up into the wetland, which allows more time for nitrate to be processed. The types of outlets described here are ones that typically are more constricted than natural channels, which usually have adjusted over time to local runoff and thus are wider relative to volume of flow received.</t>
    </r>
    <r>
      <rPr>
        <i/>
        <sz val="10"/>
        <rFont val="Arial Narrow"/>
        <family val="2"/>
      </rPr>
      <t>This indicator is used only if water exits the AA or its wetland for more than 14 days of the growing season.</t>
    </r>
  </si>
  <si>
    <r>
      <t xml:space="preserve">Narrow outlets limit water outflow from a wetland and its downstream or downslope movement, thus limiting export of organic matter. The types of outlets described here are ones that typically are more constricted than natural channels, which usually have adjusted over time to local runoff and thus are wider relative to volume of flow received. </t>
    </r>
    <r>
      <rPr>
        <i/>
        <sz val="10"/>
        <rFont val="Arial Narrow"/>
        <family val="2"/>
      </rPr>
      <t>This indicator is used only if water exits the AA or its wetland for more than 14 days of the growing season.</t>
    </r>
  </si>
  <si>
    <r>
      <t xml:space="preserve">Narrow outlets limit water outflow from a wetland and its downstream or downslope movement, thus causing water to back up into the wetland, which allows more time for sedimentation of carbon to occur, although methane emissions may be higher due to greater likelihood of anaerobic conditions developing. The types of outlets described here are ones that typically are more constricted than natural channels, which usually have adjusted over time to local runoff and thus are wider relative to volume of flow received. </t>
    </r>
    <r>
      <rPr>
        <i/>
        <sz val="10"/>
        <rFont val="Arial Narrow"/>
        <family val="2"/>
      </rPr>
      <t>This indicator is used only if water exits the AA or its wetland for more than 14 days of the growing season.</t>
    </r>
  </si>
  <si>
    <r>
      <t xml:space="preserve">Narrow outlets limit water outflow from a wetland and thus tend to cause the wetland to confine and accumulate sediment that has been washed in. The types of outlets described here are ones that typically are more constricted than natural channels.  Natural channels usually have adjusted over time to local runoff and thus tend to be wider relative to volume of flow received. </t>
    </r>
    <r>
      <rPr>
        <i/>
        <sz val="10"/>
        <rFont val="Arial Narrow"/>
        <family val="2"/>
      </rPr>
      <t>This indicator is used only if water exits the AA or its wetland for more than 14 days of the growing season.</t>
    </r>
  </si>
  <si>
    <r>
      <t xml:space="preserve">A variety of herbaceous vegetation types implies a variety of seed and foliage types that are available to foraging waterbirds. </t>
    </r>
    <r>
      <rPr>
        <i/>
        <sz val="10"/>
        <rFont val="Arial Narrow"/>
        <family val="2"/>
      </rPr>
      <t>This indicator is not used if herbaceous cover is &lt;5% of the AA or &lt;0.01 acre.</t>
    </r>
  </si>
  <si>
    <r>
      <t xml:space="preserve">The second condition implies greater diversity of plants, which sometimes is associated with greater diversity of aquatic invertebrates.  </t>
    </r>
    <r>
      <rPr>
        <i/>
        <sz val="10"/>
        <rFont val="Arial Narrow"/>
        <family val="2"/>
      </rPr>
      <t>This indicator is not used if herbaceous cover is &lt;5% of the AA or &lt;0.01 acre.</t>
    </r>
  </si>
  <si>
    <r>
      <t>Wetlands not dominated a one or two plant species are, by definition, more diverse.</t>
    </r>
    <r>
      <rPr>
        <i/>
        <sz val="10"/>
        <rFont val="Arial Narrow"/>
        <family val="2"/>
      </rPr>
      <t>This indicator is not used if herbaceous cover is &lt;5% of the AA or &lt;0.01 acre.</t>
    </r>
  </si>
  <si>
    <r>
      <t xml:space="preserve">A variety of plant species, without one or two being strongly dominant, tends to support a greater diversity of songbirds and small mammals  (Martin 1988, Nur et al 1996; Knops et al. 1999). </t>
    </r>
    <r>
      <rPr>
        <i/>
        <sz val="10"/>
        <rFont val="Arial Narrow"/>
        <family val="2"/>
      </rPr>
      <t>This indicator is not used if herbaceous cover is &lt;5% of the AA or &lt;0.01 acre.</t>
    </r>
  </si>
  <si>
    <r>
      <t xml:space="preserve">Strong dominance by one or a few species, even if those are natives, is sometimes an indicator of impaired ecological condition. </t>
    </r>
    <r>
      <rPr>
        <i/>
        <sz val="10"/>
        <rFont val="Arial Narrow"/>
        <family val="2"/>
      </rPr>
      <t>This indicator is not used if herbaceous cover is &lt;5% of the AA or &lt;0.01 acre.</t>
    </r>
  </si>
  <si>
    <r>
      <t xml:space="preserve">Flowers from forbs (including some crops such as alfalfa, Gathmann et al. 1994) provide the most opportunities for a diverse array of pollinator species, although some graminoids (e.g., native bunchgrasses) are used as well. </t>
    </r>
    <r>
      <rPr>
        <i/>
        <sz val="10"/>
        <rFont val="Arial Narrow"/>
        <family val="2"/>
      </rPr>
      <t>This indicator is not used if herbaceous cover is &lt;5% of the AA or &lt;0.01 acre.</t>
    </r>
  </si>
  <si>
    <r>
      <t xml:space="preserve">Presence of a wider variety of plant species suggests greater availability of pollen and nectar throughout the year, and supports a greater diversity of pollinators (Gardiner et al. 2010). </t>
    </r>
    <r>
      <rPr>
        <i/>
        <sz val="10"/>
        <rFont val="Arial Narrow"/>
        <family val="2"/>
      </rPr>
      <t>This indicator is not used if herbaceous cover is &lt;5% of the AA or &lt;0.01 acre.</t>
    </r>
  </si>
  <si>
    <r>
      <t xml:space="preserve">Once wetlands become dominated by non-native (exotic) species, the plant community structure is simplified (e.g., Perkins &amp; Willson 2005) and there are fewer species left to lose, implying that such wetlands dominated are more resistant to further change (Werner et al. 2002, Wigand et al. 2003).  By itself, increased species richness in a wetland does not always confer increased resistance (decreased sensitivity) of a wetland’s functions to artificial changes (e.g., Engelhardt &amp; Kadlec 2001).  </t>
    </r>
    <r>
      <rPr>
        <i/>
        <sz val="10"/>
        <rFont val="Arial Narrow"/>
        <family val="2"/>
      </rPr>
      <t>This indicator is not used if herbaceous cover is &lt;5% of the AA or &lt;0.01 acre.</t>
    </r>
  </si>
  <si>
    <t xml:space="preserve">Dentirification rates are lower in many moss-dominated wetlands than in marshes and floodplain riparian forests.  Marshes tend to retain or remove nitrogen (Bedford et al. 1999).  </t>
  </si>
  <si>
    <r>
      <t xml:space="preserve">Instream and abovewater wood also provides extensive cover and invertebrate foods for foraging fish. </t>
    </r>
    <r>
      <rPr>
        <i/>
        <sz val="10"/>
        <rFont val="Arial Narrow"/>
        <family val="2"/>
      </rPr>
      <t>This indicator is used only if &gt;5% of the vegetative cover in the AA is woody and the AA is in a landscape that would normally support woodlands</t>
    </r>
  </si>
  <si>
    <r>
      <t xml:space="preserve">Large woody debris helps protect frogs and young turtles from aerial predators, as well as providing important basking sites for frogs and turtles. </t>
    </r>
    <r>
      <rPr>
        <i/>
        <sz val="10"/>
        <rFont val="Arial Narrow"/>
        <family val="2"/>
      </rPr>
      <t>This indicator is used only if &gt;5% of the vegetative cover in the AA is woody and the AA is in a landscape that would normally support woodlands</t>
    </r>
  </si>
  <si>
    <r>
      <t xml:space="preserve">Downed wood provides food, cover, and a stable microclimate for many wetland-associated salamanders and frogs during their nonbreeding phase (Kluber et al. 2009). </t>
    </r>
    <r>
      <rPr>
        <i/>
        <sz val="10"/>
        <rFont val="Arial Narrow"/>
        <family val="2"/>
      </rPr>
      <t>This indicator is used only if &gt;5% of the vegetative cover in the AA is woody and the AA is in a landscape that would normally support woodlands.</t>
    </r>
  </si>
  <si>
    <t>Aberrant Timing of Water Inputs (AltTiming)</t>
  </si>
  <si>
    <t>The ducks, cormorants, loons, grebes, terns, and others which comprise the most waterbird species mostly prefer wetlands which contain at least some permanent surface water, so that is weighted the highest.  However, wetland productivity is often greater in seasonal and semi-permanent wetlands, and shorebirds may use those the most.  Preference for particular hydroperiods varies by season as well as by species, so it is particularly important to maintain a variety of wetland hydroperiods within a landscape.</t>
  </si>
  <si>
    <t>Vegetative cover (annual maximum) is:</t>
  </si>
  <si>
    <r>
      <t xml:space="preserve">The most prevalent invasive herbaceous plants in Oregon wetlands also produce less seed per plant than native annual herbaceous plants (Evans-Peters et al. 2012) and this, combined with their tendency to spread and rapily fill in areas of shallow water, reduces the suitability of invaded wetlands as feeding waterbird habitat. </t>
    </r>
    <r>
      <rPr>
        <i/>
        <sz val="10"/>
        <rFont val="Arial Narrow"/>
        <family val="2"/>
      </rPr>
      <t>This indicator is not used if herbaceous cover is &lt;5% of the AA or &lt;0.01 acre.</t>
    </r>
  </si>
  <si>
    <r>
      <t xml:space="preserve">Invasion by non-native species typically results in a reduction in native plant species richness. In some regions, a change of only 4 inches in mean water level or a change of only 1 inch in the degree of fluctuation may cause a shift from native to non-native species (Magee &amp; Kentula 2005). </t>
    </r>
    <r>
      <rPr>
        <i/>
        <sz val="10"/>
        <rFont val="Arial Narrow"/>
        <family val="2"/>
      </rPr>
      <t>This indicator is not used if herbaceous cover is &lt;5% of the AA or &lt;0.01 acre.</t>
    </r>
  </si>
  <si>
    <r>
      <t xml:space="preserve">Although some non-native plants attract pollinators (e.g., Woods et al. 2012), many of those plants tend to be invasive, reducing the overall diversity of plant species available for pollination at different times of the season, with adverse effects on some pollinators (Moron et al. 2009, Hanula &amp; Horn 2011, Fiedler et al. 2012). A broad seasonal distribution of available pollen and nectar sources is critical to many pollinator species. </t>
    </r>
    <r>
      <rPr>
        <i/>
        <sz val="10"/>
        <rFont val="Arial Narrow"/>
        <family val="2"/>
      </rPr>
      <t>This indicator is not used if herbaceous cover is &lt;5% of the AA or &lt;0.01 acre.</t>
    </r>
  </si>
  <si>
    <r>
      <t xml:space="preserve">Wetlands already dominated by non-native invasive species are likely to be more resistant to further impacts, at least to their remaining plant communities (Werner et al. 2002, Wigand 2003, Stohlgren et al. 2002). </t>
    </r>
    <r>
      <rPr>
        <i/>
        <sz val="10"/>
        <rFont val="Arial Narrow"/>
        <family val="2"/>
      </rPr>
      <t>This indicator is not used if herbaceous cover is &lt;5% of the AA or &lt;0.01 acre.</t>
    </r>
  </si>
  <si>
    <r>
      <t xml:space="preserve">Alteration of a wetland's water quality or its normal water or sediment regime is usually followed by invasion by non-native species, making these an indicator of past or ongoing alteration. </t>
    </r>
    <r>
      <rPr>
        <i/>
        <sz val="10"/>
        <rFont val="Arial Narrow"/>
        <family val="2"/>
      </rPr>
      <t>This indicator is not used if herbaceous cover is &lt;5% of the AA or &lt;0.01 acre.</t>
    </r>
  </si>
  <si>
    <t>Although plants take up phosphorus (see above) their decaying foliage also frequently creates anoxic conditions that promote P release from sediments, if iron concentrations are low and mixing by currents and wind is poor (as it tends to be when emergent plants occupy most of a water body). This indicator is used only if some surface water persists in the AA for more than 4 consecutive weeks of the growing season, and only if there is a minimal area of emergent vegetation.</t>
  </si>
  <si>
    <t>Partly-submerged plants trap suspended sediment with their foliage and stabilize sediment with their roots.  This indicator is used only if some surface water persists in the AA for more than 4 consecutive weeks of the growing season, and only if there is a minimal area of emergent vegetation.</t>
  </si>
  <si>
    <t>Large woody debris helps protect young fish from aerial predators and provides cooler water preferred by salmonids.  Only the wood that is at or above the water surface is assessed because of the impracticality of assessing underwater wood accurately when using a rapid assessment method. This indicator is used only if &gt;5% of the vegetative cover in the AA is woody and the AA is in a landscape that would normally support woodlands.</t>
  </si>
  <si>
    <t>Downed wood provides food, cover, and a stable microclimate for many  invertebrates that live in soil and peat of wetlands that seldom flood. This indicator is used only if &gt;5% of the vegetative cover in the AA is woody and the AA is in a landscape that would normally support woodlands.</t>
  </si>
  <si>
    <t>Shrubs contribute to onsite plant diversity, but are generally less diverse than herbaceous plants, which are often more diverse without the shading and nutrient-competitive effects of shrubs. Sparse shrub cover sometimes indicates overgrazing by deer, which reduces plant diversity (Allombert et al. 2005). Such damage to shrubs and ground cover occurs in places where fragmentation of forests has created deer densities of more than about 1 per 25 acres (Thiemann et al. 2009, Martin et al. 2010). This indicator is used only if &gt;5% of the vegetative cover in the AA is woody and the AA is in a landscape that would normally support woodlands.</t>
  </si>
  <si>
    <t>A mix of diameter classes may indicate a wider variety of woody species available for pollination. The formula gives equal weight to the variety of classes and increasing mean diameter. Deciduous trees allow more light penetration and thus tend to support more flowering plants in the understory. Larger trees provide more deadwood for bee and wasp colonies. This indicator is used only if &gt;5% of the vegetative cover in the AA is woody and the AA is in a landscape that would normally support woodlands.</t>
  </si>
  <si>
    <t>Dead wood provides critical nesting habitat for many pollinators. Although some types of vegetation disturbance benefit pollinator reproduction the removal of dead wood, which often accompanies lakeshore development, has been associated with reduced pollination (Trant et al. 2010). This indicator is used only if &gt;5% of the vegetative cover in the AA is woody and the AA is in a landscape that would normally support woodlands.</t>
  </si>
  <si>
    <t>Downed wood provides nest sites and shelter for some pollinators (Cane 2001). This indicator is used only if &gt;5% of the vegetative cover in the AA is woody and the AA is in a landscape that would normally support woodlands.</t>
  </si>
  <si>
    <t xml:space="preserve">Larger-diameter stands tend to be older and provide more structure useful to a variety of songbirds and mammals. Tall snags are especially useful to raptors as hunting perches. A mixture of tree species, especially mixtures that include aspen, is necessary to sustain populations of most boreal woodpecker species [Drever &amp; Martin 2010]. This indicator is used only if &gt;5% of the vegetative cover in the AA is woody and the AA is in a landscape that would normally support woodlands.
</t>
  </si>
  <si>
    <t>Tree cavities are needed by many nesting songbirds and mammals, and by roosting bats. Tall snags are especially useful to raptors as hunting perches. This indicator is used only if &gt;5% of the vegetative cover in the AA is woody and the AA is in a landscape that would normally support woodlands.</t>
  </si>
  <si>
    <t>Downed wood provides cover for many small mammals. Downed wood is often the result of natural windthrow, which also creates small patches of semi-open canopy within blocks of forest and in so doing can support a larger number of wildlife species, despite the temporary loss of nest trees (Zmihorski 2010). This indicator is used only if &gt;5% of the vegetative cover in the AA is woody and the AA is in a landscape that would normally support woodlands.</t>
  </si>
  <si>
    <t>Shrubs that are not under a tree canopy are preferred by many nesting songbirds, such as song sparrow, Lincoln's sparrow, and common yellowthroat. This indicator is used only if &gt;5% of the vegetative cover in the AA is woody and the AA is in a landscape that would normally support woodlands.</t>
  </si>
  <si>
    <t>Larger trees represent larger stores of sequestered carbon. Although research originally suggested that younger trees are better for carbon sequestration than older trees, because they are more productive and thus accumulate carbon faster (Ryan 2005), more recent research (Law et al. 2008) has shown a significant continuation of sequestration by tree stands that are hundreds of years old. Evergreen plants tend to decompose more slowly and foster acidic conditions. Such conditions further slow decomposition of organic matter (Collins and Kuehl 2001), thus leading to greater carbon sequestration. Acidic conditions and/or slowly-decomposing (recalcitrant) evergreen vegetation also can repress both methane generation (Valentine et al. 1994, Updegraff et al. 1995) and methane oxidation, but not necessarily CO2 emissions (Bridgham &amp; Richardson 2003). Carbon can be sequestered more effectively under such conditions (Blanco-Canqui &amp; Lal 2008). The formula used here gives equal weight to the variety of classes and increasing mean diameter. This indicator is used only if &gt;5% of the vegetative cover in the AA is woody and the AA is in a landscape that would normally support woodlands.</t>
  </si>
  <si>
    <t>Larger-diameter trees are generally older, implying that recovery (resilience) from their loss will take longer than from loss of young trees (Smith et al. 1975).  Resilience is one component of wetland sensitivity.  This indicator is used only if &gt;5% of the vegetative cover in the AA is woody and the AA is in a landscape that would normally support woodlands.</t>
  </si>
  <si>
    <t>Magee, T. K. and M. E. Kentula. 2005. Response of wetland plant species to hydrologic conditions. Wetlands Ecology and Management 13:163-181.</t>
  </si>
  <si>
    <t>Emergent plants occupy an annual maximum of:</t>
  </si>
  <si>
    <t>&lt;5% of the parts of the AA that are inundated for &gt;7 days at some time of the year.</t>
  </si>
  <si>
    <t>&gt;95% of the parts of the AA that are inundated for &gt;7 days at some time of the year.</t>
  </si>
  <si>
    <t>One depth class covering &gt;90% of the AA’s inundated area (use the classes in the question above).</t>
  </si>
  <si>
    <t>One depth class covering 51-90% of the AA’s inundated area (use the classes in the question above).</t>
  </si>
  <si>
    <t>&gt;2500 acres (&gt;4 sq.mi) of the AA and adjacent ponded waters.</t>
  </si>
  <si>
    <r>
      <rPr>
        <b/>
        <sz val="10"/>
        <rFont val="Arial Narrow"/>
        <family val="2"/>
      </rPr>
      <t xml:space="preserve">SAV </t>
    </r>
    <r>
      <rPr>
        <sz val="10"/>
        <rFont val="Arial Narrow"/>
        <family val="2"/>
      </rPr>
      <t>(submerged &amp; floating-leaved aquatic vegetation, excluding the species listed above) occupies an annual maximum of:</t>
    </r>
  </si>
  <si>
    <t xml:space="preserve">[SRv,PRv, PD] </t>
  </si>
  <si>
    <t>&lt;5% and no inhabited building is within 300 ft of the AA.</t>
  </si>
  <si>
    <t>&lt;5% and inhabited building is within 300 ft of the AA.</t>
  </si>
  <si>
    <t>Water Fluctuation Range - Maximum  (Fluctu)</t>
  </si>
  <si>
    <t>Water-cooling functions of wetlands are more valuable where upland vegetation is not providing that function, as is often true where perennial vegetation is sparse around the wetland perimeter.</t>
  </si>
  <si>
    <t>MAX (AVERAGE(WidthWet,BuffWidth,PerimPctPer, EdgeShape,DistPerCov,PerCovPct,SizePerenn), AVERAGE(DistPond,ConnLocalW,ConnScapeW,HUCbest))</t>
  </si>
  <si>
    <t>AVERAGE(NutrLoad,ContamIn,SedLoad,SoilDisturb,ErodeUp,WQin,ConnecUp, ImpervRCA,ImpervSCA)</t>
  </si>
  <si>
    <t>AVERAGE(DistRd,UpWeed,VisitNo,VisitOften,Visibil)</t>
  </si>
  <si>
    <r>
      <t xml:space="preserve">IF((Tidal=1),AVERAGE(AltTiming, ConstricT), </t>
    </r>
    <r>
      <rPr>
        <b/>
        <sz val="10"/>
        <rFont val="Arial Narrow"/>
        <family val="2"/>
      </rPr>
      <t>ELSE</t>
    </r>
    <r>
      <rPr>
        <sz val="10"/>
        <rFont val="Arial Narrow"/>
        <family val="2"/>
      </rPr>
      <t>: AVERAGE(AltTiming,Constric,TransRCA))</t>
    </r>
  </si>
  <si>
    <r>
      <t xml:space="preserve">IF((Tidal=1),AVERAGE(DistPerCov,SizePerenn,ForestPct,PerCovPct,ConnLocalW, ConnScapeW, BuffWidthT, PerimPerT), </t>
    </r>
    <r>
      <rPr>
        <b/>
        <sz val="10"/>
        <rFont val="Arial Narrow"/>
        <family val="2"/>
      </rPr>
      <t xml:space="preserve"> ELSE</t>
    </r>
    <r>
      <rPr>
        <sz val="10"/>
        <rFont val="Arial Narrow"/>
        <family val="2"/>
      </rPr>
      <t>: AVERAGE(DistPerCov,SizePerenn,ForestPct, ConnLocalW,ConnScapeW, BuffWidth, PerimPctPer))</t>
    </r>
  </si>
  <si>
    <t>Eilers, J. M., D. H. Landers, A. D. Newell, M. E. Mitch, M. Morrison, and J. Ford. 1993. Major ion chemistry of lakes on the Kenai Peninsula, Alaska. Canadian Journal of Fisheries and Aquatic Sciences 50:816-826.</t>
  </si>
  <si>
    <t>&gt;95% of the AA with or without inhabited building nearby.</t>
  </si>
  <si>
    <t>All Ponded Water as a Percentage (Driest)  (PondWpctDry)</t>
  </si>
  <si>
    <r>
      <rPr>
        <b/>
        <sz val="11"/>
        <rFont val="Arial"/>
        <family val="2"/>
      </rPr>
      <t>Predominant HGM Class</t>
    </r>
    <r>
      <rPr>
        <sz val="11"/>
        <rFont val="Arial"/>
        <family val="2"/>
      </rPr>
      <t xml:space="preserve">: </t>
    </r>
    <r>
      <rPr>
        <sz val="10"/>
        <rFont val="Arial Narrow"/>
        <family val="2"/>
        <scheme val="minor"/>
      </rPr>
      <t>Estuarine=E, Lacustrine=L, Riverine=R, S= Slope, F= Flats, D= Depressional</t>
    </r>
  </si>
  <si>
    <r>
      <rPr>
        <b/>
        <sz val="11"/>
        <rFont val="Arial"/>
        <family val="2"/>
      </rPr>
      <t>Soil Unit</t>
    </r>
    <r>
      <rPr>
        <sz val="11"/>
        <rFont val="Arial"/>
        <family val="2"/>
      </rPr>
      <t xml:space="preserve"> Mapped in Most of the AA:</t>
    </r>
  </si>
  <si>
    <r>
      <t xml:space="preserve">Data Form S.  ORWAP Version 3.1.       </t>
    </r>
    <r>
      <rPr>
        <b/>
        <u/>
        <sz val="11"/>
        <rFont val="Arial"/>
        <family val="2"/>
      </rPr>
      <t>NOTE</t>
    </r>
    <r>
      <rPr>
        <sz val="11"/>
        <rFont val="Arial"/>
        <family val="2"/>
      </rPr>
      <t xml:space="preserve">: Do not enter numbers in grayed-out cells.  </t>
    </r>
  </si>
  <si>
    <t>Zero for both this group's maximum and its sum score, and no recent onsite observation of these species by a qualified observer under conditions similar to what now occur.</t>
  </si>
  <si>
    <t>Intermediate (i.e., not as described above or below).</t>
  </si>
  <si>
    <t>Is a stream or water body that connects these areas for 9 or more continuous months annually.</t>
  </si>
  <si>
    <t>Is a stream or water body that connects these areas intermittently (at least once annually, but for less than 9 months continually).</t>
  </si>
  <si>
    <t>Is a probable groundwater connection, or connection via direct runoff only (no channel connection).</t>
  </si>
  <si>
    <t>Never exists (a topographic ridge probably prevents all the AA's runoff and groundwater from reaching the problem area).</t>
  </si>
  <si>
    <t>&lt;5 ft, or no vegetation between upland and open water.</t>
  </si>
  <si>
    <r>
      <t>Unlikely</t>
    </r>
    <r>
      <rPr>
        <sz val="10"/>
        <rFont val="Arial Narrow"/>
        <family val="2"/>
      </rPr>
      <t xml:space="preserve"> because site characteristics above are deficient, and/or this is an area where beaver are routinely removed.  But beaver occur within 2 miles.</t>
    </r>
  </si>
  <si>
    <r>
      <rPr>
        <b/>
        <sz val="10"/>
        <rFont val="Arial Narrow"/>
        <family val="2"/>
      </rPr>
      <t>None</t>
    </r>
    <r>
      <rPr>
        <sz val="10"/>
        <rFont val="Arial Narrow"/>
        <family val="2"/>
      </rPr>
      <t>.  Beaver are absent from this part of the region.</t>
    </r>
  </si>
  <si>
    <t>A regularly-used boat dock is present within or contiguous to the AA.</t>
  </si>
  <si>
    <t>Fish (native or stocked) are known to be present in the AA, or can access it during at least one day annually.</t>
  </si>
  <si>
    <t>None of the above, and could not estimate fish presence/absence.</t>
  </si>
  <si>
    <t>Is exported more quickly than usual as it mostly passes through ditches or pipes intended to accelerate drainage.  They may be within the AA or connected to its outlet or within 30 ft of the AA's edge.</t>
  </si>
  <si>
    <t>Trace to 5% of the normally vegetated AA (grazing, mowing, or fire have occurred but vegetation height effects are mostly unnoticeable).</t>
  </si>
  <si>
    <t xml:space="preserve">Publicly owned (municipal, county, state, federal).  </t>
  </si>
  <si>
    <t>&gt;6 ft deep.</t>
  </si>
  <si>
    <t>&gt;50 acres.</t>
  </si>
  <si>
    <t>&lt;1% of the emergent vegetation, or cattail and bulrush are absent.</t>
  </si>
  <si>
    <t>&gt;75%, of the emergent vegetation.</t>
  </si>
  <si>
    <t>&gt; 300 ft.</t>
  </si>
  <si>
    <t>1- 4 acres.</t>
  </si>
  <si>
    <t>&gt;2500 acres (&gt;4 sq.mi).</t>
  </si>
  <si>
    <t>none, or &lt;5% of the water area.</t>
  </si>
  <si>
    <t>&gt;95% of the water area.</t>
  </si>
  <si>
    <t>&lt;0.5 ft or stable.</t>
  </si>
  <si>
    <t>&lt;5% of the AA, or none (i.e., all water persists for &gt;4 months).</t>
  </si>
  <si>
    <t>Unknown.</t>
  </si>
  <si>
    <t>Non-native amphibians (e.g., bullfrog) or reptiles (e.g., red-ear slider).</t>
  </si>
  <si>
    <t>Carp.</t>
  </si>
  <si>
    <t>Non-native fish that prey on tadpoles or turtles (e.g., bass, walleye, crappie, brook trout).</t>
  </si>
  <si>
    <t>Non-native invertebrates (e.g., New Zealand mudsnail, mitten crab, rusty crayfish).</t>
  </si>
  <si>
    <t>Nutria.</t>
  </si>
  <si>
    <t>None of above.</t>
  </si>
  <si>
    <t>None, or &lt;100 sq. ft.</t>
  </si>
  <si>
    <t>&gt;10,000 sq. ft within AA.</t>
  </si>
  <si>
    <t>Persistent (&gt;9 months/year).</t>
  </si>
  <si>
    <t>Seasonal (14 days to 9 months/year, not necessarily consecutive).</t>
  </si>
  <si>
    <t>Temporary (&lt;14 days, not necessarily consecutive).</t>
  </si>
  <si>
    <t>&lt;2% (internal flow is absent or barely detectable; basically flat).</t>
  </si>
  <si>
    <t>50-95% of the vegetated part of the AA.</t>
  </si>
  <si>
    <t>&gt;95% of the herbaceous part of the AA.</t>
  </si>
  <si>
    <t>Mostly (50-80%) native species.</t>
  </si>
  <si>
    <t>Overwhelmingly (&gt;80%) native species.</t>
  </si>
  <si>
    <t>&gt;95% of the normally vegetated AA.</t>
  </si>
  <si>
    <t>&gt;95% of the vegetated part of the AA.</t>
  </si>
  <si>
    <t>Evergreen 1-4" diameter and &gt;3 ft tall.</t>
  </si>
  <si>
    <t>Deciduous 4-9" diameter.</t>
  </si>
  <si>
    <t>Evergreen 4-9" diameter.</t>
  </si>
  <si>
    <t>Deciduous 9-21" diameter.</t>
  </si>
  <si>
    <t>Evergreen 9-21" diameter.</t>
  </si>
  <si>
    <t>Deciduous &gt;21" diameter.</t>
  </si>
  <si>
    <t>Evergreen &gt;21" diameter.</t>
  </si>
  <si>
    <t>Several.</t>
  </si>
  <si>
    <t>None.</t>
  </si>
  <si>
    <t>Few.</t>
  </si>
  <si>
    <t>Several (e.g., &gt;3 per 300 ft of channel or shoreline).</t>
  </si>
  <si>
    <t>&gt;95% of the vegetated part of the AA or the water edge (whichever is greater in early summer).</t>
  </si>
  <si>
    <t>&lt;1% or none.</t>
  </si>
  <si>
    <t>&gt;75%.</t>
  </si>
  <si>
    <t>&lt;5%.</t>
  </si>
  <si>
    <t>&gt;95%.</t>
  </si>
  <si>
    <t>&lt;5%, or there is no upland perennial cover along the upland edge.</t>
  </si>
  <si>
    <t>&lt;5%, or none.</t>
  </si>
  <si>
    <t>Intermediate.</t>
  </si>
  <si>
    <t>Several (extensive micro-topography).</t>
  </si>
  <si>
    <t>Yes, and constructed or restored mostly within last 3 years.</t>
  </si>
  <si>
    <t>Yes, and constructed or restored mostly 3-7 years ago.</t>
  </si>
  <si>
    <t>Yes, and constructed or restored mostly &gt; 7 years ago.</t>
  </si>
  <si>
    <t>Yes, but time of origin or restoration unknown.</t>
  </si>
  <si>
    <t>No.</t>
  </si>
  <si>
    <t>Unknown if wetland is constructed, restored, or natural.</t>
  </si>
  <si>
    <t>Owned by non-profit conservation organization or easement holder who allows public access to this AA.</t>
  </si>
  <si>
    <t>&lt;25%.</t>
  </si>
  <si>
    <t>&gt;50%.</t>
  </si>
  <si>
    <t>Low-impact commercial timber harvest (e.g., selective thinning).</t>
  </si>
  <si>
    <t>Commercial or traditional-use harvesting of native plants, their fruits, or mushrooms.</t>
  </si>
  <si>
    <t>Waterfowl hunting.</t>
  </si>
  <si>
    <t>Fishing.</t>
  </si>
  <si>
    <t>Trapping of furbearers.</t>
  </si>
  <si>
    <t>None of the above.</t>
  </si>
  <si>
    <t>300 - 1500 ft and downslope or at same elevation.</t>
  </si>
  <si>
    <t>&gt;1500 ft downslope, or none downslope, or no information.</t>
  </si>
  <si>
    <t>&lt;1%.</t>
  </si>
  <si>
    <t>&gt;6%.</t>
  </si>
  <si>
    <t>&gt;10%.</t>
  </si>
  <si>
    <t>Few or none.</t>
  </si>
  <si>
    <t>&lt;100 ft.</t>
  </si>
  <si>
    <t>&gt; 2 miles.</t>
  </si>
  <si>
    <t>&lt;1 mile.</t>
  </si>
  <si>
    <t>1-5 miles.</t>
  </si>
  <si>
    <t>&gt;5 miles.</t>
  </si>
  <si>
    <t>&gt;2 miles.</t>
  </si>
  <si>
    <t>Herbaceous vegetation (perennial grasses, sedges, forbs; not under a woody canopy; not crops).</t>
  </si>
  <si>
    <t>Unshaded shrubland (woody plants shorter than 20 ft).</t>
  </si>
  <si>
    <t>Trees (woody plants taller than 20 ft).</t>
  </si>
  <si>
    <t>&lt;5% of the land.</t>
  </si>
  <si>
    <t>60 to 90% of the land.</t>
  </si>
  <si>
    <t>&lt;5% of the circle.</t>
  </si>
  <si>
    <t>50 to 80%.</t>
  </si>
  <si>
    <t>&gt;80%.</t>
  </si>
  <si>
    <t>Data are inadequate (NWI mapping not completed in HUC).</t>
  </si>
  <si>
    <t>No data.</t>
  </si>
  <si>
    <t>Buildings, roads, bridges.</t>
  </si>
  <si>
    <t>Row crops (during some years).</t>
  </si>
  <si>
    <t>Arid.</t>
  </si>
  <si>
    <t>Semi-arid.</t>
  </si>
  <si>
    <t>Dry.</t>
  </si>
  <si>
    <t>Moist.</t>
  </si>
  <si>
    <t>Wet.</t>
  </si>
  <si>
    <t>Very Wet.</t>
  </si>
  <si>
    <t>Total suspended solids (TSS), sedimentation, or turbidity.</t>
  </si>
  <si>
    <t>Petrochemicals, heavy metals (iron, manganese, lead, zinc, etc.), other toxins.</t>
  </si>
  <si>
    <t>For 9 or more continuous months annually.</t>
  </si>
  <si>
    <t>Intermittently (at least once annually, but for less than 9 months continually).</t>
  </si>
  <si>
    <t>Never (or less than annually).</t>
  </si>
  <si>
    <t>The source area for a surface-water drinking water (DW) source.</t>
  </si>
  <si>
    <t>The source area for a groundwater drinking water source.</t>
  </si>
  <si>
    <t>Neither of above.</t>
  </si>
  <si>
    <t>In the upper one-third of its watershed.</t>
  </si>
  <si>
    <t>In the middle one-third of its watershed.</t>
  </si>
  <si>
    <t>In the lower one-third of its watershed.</t>
  </si>
  <si>
    <t>&lt;1% of its RCA.</t>
  </si>
  <si>
    <t>10 to 100% of its RCA.</t>
  </si>
  <si>
    <t>&lt;10%.</t>
  </si>
  <si>
    <t>10 to 25%.</t>
  </si>
  <si>
    <t>&gt;25%.</t>
  </si>
  <si>
    <t>Mostly true.</t>
  </si>
  <si>
    <t>Somewhat true.</t>
  </si>
  <si>
    <t>Mostly untrue.</t>
  </si>
  <si>
    <t>&lt;1% of its SCA, or wetland is in the floodplain of a major river.</t>
  </si>
  <si>
    <t>10 to 100% of its SCA.</t>
  </si>
  <si>
    <t>Agriculture or Rural Residential.</t>
  </si>
  <si>
    <t>Forest or Open Space, or entirely public lands.</t>
  </si>
  <si>
    <t>Not zoned, or no information.</t>
  </si>
  <si>
    <t>Moderately saline (5 to 25 ppt salinity).</t>
  </si>
  <si>
    <t>Fresh (&lt;0.5 ppt salinity).</t>
  </si>
  <si>
    <t>&gt;90%.</t>
  </si>
  <si>
    <t>&lt;5 ft, or no vegetation between upland and subtidal water.</t>
  </si>
  <si>
    <t>&lt;100 linear ft per acre, or none, or all have been artificially straightened.</t>
  </si>
  <si>
    <t>&lt;5%, or no water is present in the AA at average daily high tide.</t>
  </si>
  <si>
    <t>&lt;5%, or no water remains in the AA at low tide.</t>
  </si>
  <si>
    <t>2 or 3.</t>
  </si>
  <si>
    <t>&gt;3.</t>
  </si>
  <si>
    <t>&lt;20% of the AA's vegetated area (most species-rich, no dominants or co-dominants).</t>
  </si>
  <si>
    <t>&gt;80% of the AA's vegetated area (monotypic or nearly so).</t>
  </si>
  <si>
    <t>None or little.</t>
  </si>
  <si>
    <t>None or few.</t>
  </si>
  <si>
    <t>Many (&gt;1 piece per 5 acres or per 10 channel widths).</t>
  </si>
  <si>
    <t>Artificially landscaped or heavily grazed areas, lawn, annual crops.</t>
  </si>
  <si>
    <t>Other type of non-perennial cover.</t>
  </si>
  <si>
    <t>&lt;1% (flat -- almost no noticeable slope).</t>
  </si>
  <si>
    <t>2-6%.</t>
  </si>
  <si>
    <t>7-10%.</t>
  </si>
  <si>
    <t>11-30%.</t>
  </si>
  <si>
    <t>&gt;30%.</t>
  </si>
  <si>
    <t>0% (such activities are absent).</t>
  </si>
  <si>
    <t>Yes, and time of restoration unknown.</t>
  </si>
  <si>
    <t>Yes, and restored within last 3 years.</t>
  </si>
  <si>
    <t>Yes, and restored 3-7 years ago.</t>
  </si>
  <si>
    <t>Yes, and restored more than 7 years ago.</t>
  </si>
  <si>
    <t>Unknown if wetland is restored, created, or naturally occurring.</t>
  </si>
  <si>
    <t>Within 15 ft of the AA's low marsh.</t>
  </si>
  <si>
    <t>Within 15 ft  of the AA's high marsh.</t>
  </si>
  <si>
    <t>Neither.</t>
  </si>
  <si>
    <t>Waterfowl hunting or furbearer trapping.</t>
  </si>
  <si>
    <t xml:space="preserve">Publicly owned (municipal, county, state, federal). </t>
  </si>
  <si>
    <t>Non-profit conservation organization that allows public access to this AA.</t>
  </si>
  <si>
    <t>Lower 1/3 (often on a bay and distant from the head-of-tide of a major river; includes most saline tidal wetlands).</t>
  </si>
  <si>
    <t>Mid 1/3.</t>
  </si>
  <si>
    <t>Upper 1/3 (near the head-of-tide of a major river; includes most brackish and fresh tidal wetlands).</t>
  </si>
  <si>
    <t>None, or &lt;1%.</t>
  </si>
  <si>
    <t>Regular (nearly all of the daily high tides, &gt;9 months/year).</t>
  </si>
  <si>
    <t>Seasonal (14 days to 9 months/year, not necessarily consecutive, at least monthly).</t>
  </si>
  <si>
    <t>No tidal connection allows fish passage between marine waters and the AA.</t>
  </si>
  <si>
    <t>Not impeded by anything other than (possibly) natural topography.</t>
  </si>
  <si>
    <t>Exported more quickly than usual due to ditches or pipes within the AA or connected to its outlet.</t>
  </si>
  <si>
    <t>Non-native invertebrates (e.g., New Zealand mudsnail, mitten crab, rusty crayfish, oyster drill) are known to be present in the AA or in connected waters within 300 ft.</t>
  </si>
  <si>
    <t>A regularly-used boat dock is not within the AA, but there is one within 300 ft of the AA and there is a persistent or tidal surface connection between the dock and the AA.</t>
  </si>
  <si>
    <t>Large ships that empty ballast water are regularly present in nearby contiguous waters.</t>
  </si>
  <si>
    <t>Macroalgae (seaweed).</t>
  </si>
  <si>
    <t>Eelgrass.</t>
  </si>
  <si>
    <t>Graminoids (other than eelgrass).</t>
  </si>
  <si>
    <t>Forbs.</t>
  </si>
  <si>
    <t>Shrubs and/or trees.</t>
  </si>
  <si>
    <t xml:space="preserve">Mostly (&gt;50% cover) non-native species AND &gt;10% of the herbaceous cover is invasive species.   </t>
  </si>
  <si>
    <r>
      <t xml:space="preserve">IF((Tidal=1),0, IF((TooSteep=1),0, IF((NeverWater+TempWet &gt;0),AVERAGE(Wscape, Hydropd,HerbExpos, Lscape,Stressors), </t>
    </r>
    <r>
      <rPr>
        <b/>
        <sz val="10"/>
        <rFont val="Arial Narrow"/>
        <family val="2"/>
      </rPr>
      <t>ELSE</t>
    </r>
    <r>
      <rPr>
        <sz val="10"/>
        <rFont val="Arial Narrow"/>
        <family val="2"/>
      </rPr>
      <t>: (2*AVERAGE(Hydro,Struc, Wscape) + AVERAGE(Stressors,Lscape,Produc)) /3)</t>
    </r>
  </si>
  <si>
    <t>See below.</t>
  </si>
  <si>
    <r>
      <t xml:space="preserve">IF((Tidal=1),TidalScoreWBF, IF((TooSteep=1),0, IF((NeverWater=1), AVERAGE(Wscape, Hydropd,HerbExpos,Lscape,Stressors),  </t>
    </r>
    <r>
      <rPr>
        <b/>
        <sz val="10"/>
        <rFont val="Arial Narrow"/>
        <family val="2"/>
      </rPr>
      <t xml:space="preserve">ELSE: </t>
    </r>
    <r>
      <rPr>
        <sz val="10"/>
        <rFont val="Arial Narrow"/>
        <family val="2"/>
      </rPr>
      <t>AVERAGE[Hydropd, (3*AVERAGE(Hydro,Struc, Waterscape) + AVERAGE(Stress,Lscape,Produc))/4]</t>
    </r>
  </si>
  <si>
    <t>0% (No evidence of such activities).</t>
  </si>
  <si>
    <t>Cartar, R. V. 2005. Short-term effects of experimental boreal forest and logging disturbance on bumble bees, bumble and bee-pollinated flowers and the bee–flower match. Biodiversity &amp; Conservation 14:1895-1907.</t>
  </si>
  <si>
    <t>Pennington, D. N. 2008. Riparian bird communities along an urban gradient: effects of local vegetation, landscape biophysical heterogeneity, and spatial scale. Ph. D. Dissertation. University of Minnesota, Twin Cities, MN.</t>
  </si>
  <si>
    <t>Productivity (Current)</t>
  </si>
  <si>
    <r>
      <t xml:space="preserve">IF((Tidal=1),AVERAGE(InvasT,VegCutT),  </t>
    </r>
    <r>
      <rPr>
        <b/>
        <sz val="10"/>
        <rFont val="Arial Narrow"/>
        <family val="2"/>
      </rPr>
      <t>ELSE</t>
    </r>
    <r>
      <rPr>
        <sz val="10"/>
        <rFont val="Arial Narrow"/>
        <family val="2"/>
      </rPr>
      <t>: AVERAGE(Invas,Algae, WidthWet,SeasPct,PestAnim, VegCut, RareOnsite, HerbDom,Gcover,Girreg)</t>
    </r>
  </si>
  <si>
    <t>Species of Conservation Concern Scores:</t>
  </si>
  <si>
    <t>Descriptions</t>
  </si>
  <si>
    <r>
      <t xml:space="preserve">What percent (approximate) of the </t>
    </r>
    <r>
      <rPr>
        <b/>
        <sz val="11"/>
        <rFont val="Arial"/>
        <family val="2"/>
      </rPr>
      <t>wetland</t>
    </r>
    <r>
      <rPr>
        <sz val="11"/>
        <rFont val="Arial"/>
        <family val="2"/>
      </rPr>
      <t xml:space="preserve"> were you able to visit?</t>
    </r>
  </si>
  <si>
    <r>
      <t xml:space="preserve">What percent (approximate) of the </t>
    </r>
    <r>
      <rPr>
        <b/>
        <sz val="11"/>
        <rFont val="Arial"/>
        <family val="2"/>
      </rPr>
      <t xml:space="preserve">AA </t>
    </r>
    <r>
      <rPr>
        <sz val="11"/>
        <rFont val="Arial"/>
        <family val="2"/>
      </rPr>
      <t>were you able to visit?</t>
    </r>
  </si>
  <si>
    <t>How many wetlands have you assessed previously using ORWAP (approximate)?</t>
  </si>
  <si>
    <t>ORWAP Version 3.1.   Cover Page: Basic Description of Assessment</t>
  </si>
  <si>
    <t>Invasive or Non-native - % of Vegetative Cover (Invas)</t>
  </si>
  <si>
    <t xml:space="preserve">[FA,SBM,PD] </t>
  </si>
  <si>
    <t>Soil Composition (SoilTexT)</t>
  </si>
  <si>
    <t>Zero for both this group's maximum and its sum score, and no recent onsite observation of these species during breeding season by a qualified observer under conditions similar to what now occur.</t>
  </si>
  <si>
    <t>Development (Commercial, Industrial, Urban Residential, etc.), or no undeveloped parcels exist upslope from the AA.</t>
  </si>
  <si>
    <t>Phosphorus, chlorophyll-a, or algae.</t>
  </si>
  <si>
    <t>Nitrates, ammonia, chlorophyll-a, or algae.</t>
  </si>
  <si>
    <t>Temperature or dissolved oxygen.</t>
  </si>
  <si>
    <t>During an average growing season, when water levels are lowest (but surface water still occupies &gt;400 sq ft or &gt;1% of the AA), the percentage of the remaining surface water within the AA that is shaded by trees and/or shrubs located within the AA is:</t>
  </si>
  <si>
    <t>&gt;95% of the water.</t>
  </si>
  <si>
    <t>The proportion of the SCA comprised of buildings, roads, parking lots, exposed bedrock, and other surface that is usually unvegetated at the time of peak annual runoff is about :</t>
  </si>
  <si>
    <r>
      <t xml:space="preserve">Rare species have often become rare because they are among species that are most sensitive to environmental disturbances.  </t>
    </r>
    <r>
      <rPr>
        <i/>
        <sz val="10"/>
        <rFont val="Arial Narrow"/>
        <family val="2"/>
      </rPr>
      <t>In calculations, a 1 is assigned to each species group having a rarity score of High.  The maximum across all groups and the average across all groups is then taken, and the two are then average.</t>
    </r>
  </si>
  <si>
    <r>
      <t xml:space="preserve">Rare native species are usually the first to disappear after a wetland is subjected to alteration of its water quality, hydrologic connectivity, or normal water or sediment regimes.  Thus, their absence is sometimes indicative of past or ongoing impacts to the wetland's processes and condition. </t>
    </r>
    <r>
      <rPr>
        <i/>
        <sz val="10"/>
        <rFont val="Arial Narrow"/>
        <family val="2"/>
      </rPr>
      <t xml:space="preserve"> In calculations, a 1 is assigned to each species group having a rarity score of High.  The maximum across all groups and the average across all groups is then taken, and the two are then average.</t>
    </r>
  </si>
  <si>
    <t>Cell Name</t>
  </si>
  <si>
    <t>Restored or Created Wetland (NewWet)</t>
  </si>
  <si>
    <t xml:space="preserve">Larger contiguous tracts of nearby natural land are more likely to meet the habitat needs of dispersing amphibians than small or fragmented patches.  In B.C., scattered tree patches of 2.0 to 3.7 acres, preferably in riparian locations, were the minimum needed to allow successful overland passage of one frog species (Chan-McLeod &amp; Moy 2007). </t>
  </si>
  <si>
    <r>
      <t xml:space="preserve">Beaver ponds often provide abundant aquatic vegetation for attachment of eggs of frogs and salamanders, as well as cover for adults. </t>
    </r>
    <r>
      <rPr>
        <i/>
        <sz val="10"/>
        <rFont val="Arial Narrow"/>
        <family val="2"/>
      </rPr>
      <t>This indicator is used only if some surface water persists in the AA for more than 4 consecutive weeks of the growing season.</t>
    </r>
  </si>
  <si>
    <t>AVERAGE(DistRd, Salin, WQin,ConnecUp)</t>
  </si>
  <si>
    <t xml:space="preserve">Most waterbird species prefer ponded areas, due to usually greater food availability and reduced energy expenditures to maintain position in space. Especially at times of high water in channels, larger ponded areas provide refuge for many species. </t>
  </si>
  <si>
    <r>
      <t>AVERAGE[Forb,</t>
    </r>
    <r>
      <rPr>
        <sz val="10"/>
        <rFont val="Arial Narrow"/>
        <family val="2"/>
      </rPr>
      <t>AVERAGE(Gcover,Invas,HerbDom)]</t>
    </r>
  </si>
  <si>
    <t xml:space="preserve">Nitrogen added to a wetland by N-fixing plants can increase the wetland's overall plant productivity (Bormann &amp; Sidle 1990, Mead &amp; Preston 1992, Chapin et al. 1994), potentially making more organic matter available for export. Presence of alder in conifer woodlands also can speed the decomposition of organic material from the conifers (Fyles &amp; Fyles 1993) perhaps making it more useful for supporting aquatic life. The presence of nitrogen-fixers such as alder can benefit soil productivity for decades  Alder basal area has been shown to increase the total understory biomass and net production of shrubs and herbs (especially forbs) (Hanley et al. 2006). </t>
  </si>
  <si>
    <r>
      <t xml:space="preserve">Estimates the relative amount of horizontal space in which precipitation and runoff could be stored, at least temporarily. The ability of wetland water storage to reduce stream peak flows is greatest in summer and fall (Roulet &amp; Woo 1988, Quinton &amp; Roulet 1998). </t>
    </r>
    <r>
      <rPr>
        <i/>
        <sz val="10"/>
        <rFont val="Arial Narrow"/>
        <family val="2"/>
      </rPr>
      <t>This indicator is used only if surface water does not dry up completely during most years.</t>
    </r>
  </si>
  <si>
    <t>The effectiveness of a wetland for storing water or delaying the downslope movement of surface water for long or short periods (but for longer than a tidal cycle), and in doing so to potentially influence the height, timing, duration, and frequency of inundation in downstream or downslope areas.</t>
  </si>
  <si>
    <t>NotNewWet</t>
  </si>
  <si>
    <t>AVERAGE(DamageType,FloodProp, RiverProx)</t>
  </si>
  <si>
    <t xml:space="preserve">[3*Elev +  2*AVERAGE(WetPctRCA,ImpervRCA,TransRCA) + UpTreePctPer)] /6
</t>
  </si>
  <si>
    <t xml:space="preserve">[INV,FA,FR,AM,WBF] </t>
  </si>
  <si>
    <t xml:space="preserve">[NR,AM,WBF,WBN,PD] </t>
  </si>
  <si>
    <t xml:space="preserve">[WBF,WBN] </t>
  </si>
  <si>
    <t xml:space="preserve">[NR,INV,AM,WBN,SBM] </t>
  </si>
  <si>
    <t>1-5% of the AA.</t>
  </si>
  <si>
    <t>&gt;6 ft.</t>
  </si>
  <si>
    <t>&gt;75% of the AA.</t>
  </si>
  <si>
    <t>The portion of estuaries closest to the ocean is likely to have salinitly levels harmful to amphibians, as well as waves and tidal currents that disrupt egg masses, and increased access by predatory fish.</t>
  </si>
  <si>
    <t>Amphibians in this region do not breed in salt marshes because physiologically they are unable to endure prolonged inundation by full-strength or moderately saline seawater.</t>
  </si>
  <si>
    <t>Daily tidal fluctuations in the low marsh environment probably preclude successful breeding by most amphibians due to the high risk of stranding of egg masses which amphibians attach to underwater vegetation.</t>
  </si>
  <si>
    <t>Wider tidal wetlands are more likely to include pockets or seeps of fresher water where salt-intolerant amphibians can survive.  They also provide more cover and isolation from predatory fish.</t>
  </si>
  <si>
    <t>Tidal wetlands that are inaccessible to fish may be more supportive of amphibians because fish are significant predators on eggs and tadpoles.  If seawater intrudes into a tidal wetland only seasonally or temporarily, water from rain and runoff may reduce salinity to levels that amphibians can tolerate for short periods.</t>
  </si>
  <si>
    <t>Tidal wetlands that are contiguous with non-tidal wetlands or which have tributaries sourced in nearby uplands are more likely to have reduced salinities that allow amphibians to survive physiologically.</t>
  </si>
  <si>
    <t>See F52.</t>
  </si>
  <si>
    <t>See F53.</t>
  </si>
  <si>
    <t>Sum=</t>
  </si>
  <si>
    <t>Final score=</t>
  </si>
  <si>
    <t xml:space="preserve">     Control structure that regulates inflow to the AA (including tide gates), or flow regulation in tributaries, or water level in adjoining water body is regulated.</t>
  </si>
  <si>
    <t xml:space="preserve">     Irrigation runoff or seepage.</t>
  </si>
  <si>
    <t xml:space="preserve">     Snow storage areas that drain directly to the wetland.</t>
  </si>
  <si>
    <t xml:space="preserve">     Increased pavement and other impervious surface in the CA.</t>
  </si>
  <si>
    <t xml:space="preserve">     Straightening, ditching, dredging, and/or lining of tributary channels in the CA.</t>
  </si>
  <si>
    <t>When most of the timing shift began.</t>
  </si>
  <si>
    <t>Spatial extent within the AA of timing shift.</t>
  </si>
  <si>
    <t>Input timing now vs. previously.</t>
  </si>
  <si>
    <t>Flashiness or muting.</t>
  </si>
  <si>
    <t xml:space="preserve">    Stormwater or wastewater effluent (including failing septic systems), landfills.</t>
  </si>
  <si>
    <t xml:space="preserve">     Fertilizers applied to lawns, ag lands, or other areas in the RCA.</t>
  </si>
  <si>
    <t xml:space="preserve">     Livestock, dogs.</t>
  </si>
  <si>
    <t xml:space="preserve">     Artificial drainage of upslope lands.</t>
  </si>
  <si>
    <t xml:space="preserve">     Other waterborne human-related nutrient sources within the RCA.</t>
  </si>
  <si>
    <t>Usual load of nutrients.</t>
  </si>
  <si>
    <t>Frequency &amp; duration of input.</t>
  </si>
  <si>
    <t>AA proximity to main sources (actual or potential).</t>
  </si>
  <si>
    <t>Accelerated Inputs of Contaminants and/or Salts (ContamIn).</t>
  </si>
  <si>
    <t xml:space="preserve">     Stormwater or wastewater effluent (including failing septic systems), landfills, snow storage areas.</t>
  </si>
  <si>
    <t xml:space="preserve">     Metals &amp; chemical wastes from mining, shooting ranges, oil/ gas extraction, other sources.</t>
  </si>
  <si>
    <t>Irrigation of lands, especially those with saline soils.</t>
  </si>
  <si>
    <t xml:space="preserve">     Oil or chemical spills (not just chronic inputs) from nearby roads.</t>
  </si>
  <si>
    <t xml:space="preserve">     Road salt.</t>
  </si>
  <si>
    <t xml:space="preserve">     Pesticides applied to lawns, ag lands, roadsides, or other areas in the RCA, but excluding spot applications for controlling non-natives in the AA.</t>
  </si>
  <si>
    <t xml:space="preserve">     Artificial drainage of contaminated or saline soils.</t>
  </si>
  <si>
    <t xml:space="preserve">     Erosion of contaminated soils.</t>
  </si>
  <si>
    <t xml:space="preserve">     Other contaminant sources within the RCA.</t>
  </si>
  <si>
    <t>Usual toxicity of most toxic contaminants.</t>
  </si>
  <si>
    <t>* See ORWAP Map Viewer for waters designated as 303d; see Oregon DEQ web site for reasons.</t>
  </si>
  <si>
    <t>Excessive Sediment Loading from Runoff Contributing Area (SedRCA).</t>
  </si>
  <si>
    <t xml:space="preserve">     Erosion from plowed fields, fill, timber harvest, dirt roads, vegetation clearing, fires.</t>
  </si>
  <si>
    <t xml:space="preserve">     Erosion from construction, in-channel machinery in the RCA.</t>
  </si>
  <si>
    <t xml:space="preserve">     Erosion from off-road vehicles in the RCA.</t>
  </si>
  <si>
    <t xml:space="preserve">     Erosion from livestock or foot traffic in the RCA.</t>
  </si>
  <si>
    <t xml:space="preserve">     Stormwater or wastewater effluent.</t>
  </si>
  <si>
    <t xml:space="preserve">     Sediment from road sanding, gravel mining, other mining, oil/ gas extraction.</t>
  </si>
  <si>
    <t xml:space="preserve">     Accelerated channel downcutting or headcutting of tributaries due to altered land use.</t>
  </si>
  <si>
    <t xml:space="preserve">     Other human-related disturbances within the RCA.</t>
  </si>
  <si>
    <t>Erosion in RCA.</t>
  </si>
  <si>
    <t>Recentness of significant soil disturbance in the RCA.</t>
  </si>
  <si>
    <t>Duration of sediment inputs to the AA.</t>
  </si>
  <si>
    <t>AA proximity to actual or potential sources.</t>
  </si>
  <si>
    <r>
      <t>* H</t>
    </r>
    <r>
      <rPr>
        <b/>
        <sz val="10"/>
        <rFont val="Arial Narrow"/>
        <family val="2"/>
      </rPr>
      <t>igh</t>
    </r>
    <r>
      <rPr>
        <sz val="10"/>
        <rFont val="Arial Narrow"/>
        <family val="2"/>
      </rPr>
      <t xml:space="preserve">-intensity= plowing, grading, excavation, erosion with or without veg removal; </t>
    </r>
    <r>
      <rPr>
        <b/>
        <sz val="10"/>
        <rFont val="Arial Narrow"/>
        <family val="2"/>
      </rPr>
      <t xml:space="preserve"> low</t>
    </r>
    <r>
      <rPr>
        <sz val="10"/>
        <rFont val="Arial Narrow"/>
        <family val="2"/>
      </rPr>
      <t>-intensity= veg removal only with little or no apparent erosion or disturbance of soil or sediment.</t>
    </r>
  </si>
  <si>
    <r>
      <t xml:space="preserve">Soil or Sediment Alteration </t>
    </r>
    <r>
      <rPr>
        <b/>
        <i/>
        <sz val="12"/>
        <rFont val="Arial"/>
        <family val="2"/>
      </rPr>
      <t xml:space="preserve">Within the Assessment Area </t>
    </r>
    <r>
      <rPr>
        <b/>
        <sz val="12"/>
        <rFont val="Arial"/>
        <family val="2"/>
      </rPr>
      <t>(SoilDisturb).</t>
    </r>
  </si>
  <si>
    <t xml:space="preserve">     Compaction from livestock, machinery, off-road vehicles, or mountain bikes, especially during wetter periods.</t>
  </si>
  <si>
    <t xml:space="preserve">     Leveling or other grading not to the natural contour.</t>
  </si>
  <si>
    <t xml:space="preserve">     Tillage, plowing (but excluding disking for enhancement of native plants).</t>
  </si>
  <si>
    <t xml:space="preserve">     Fill, riprap, other armoring, excluding small amounts of upland soils containing organic amendments (compost, etc.) or small amounts of topsoil stockpiled or imported from another wetland.</t>
  </si>
  <si>
    <t xml:space="preserve">     Excavation.</t>
  </si>
  <si>
    <t xml:space="preserve">     Dredging in or adjacent to the AA.</t>
  </si>
  <si>
    <t xml:space="preserve">     Boat traffic in or adjacent to the AA and sufficient to cause shore erosion or stir bottom sediments.</t>
  </si>
  <si>
    <t xml:space="preserve">     Artificial water level or flow manipulations sufficient to cause erosion or stir bottom sediments.</t>
  </si>
  <si>
    <t>Spatial extent of altered soil.</t>
  </si>
  <si>
    <t>Recentness of significant soil alteration in AA.</t>
  </si>
  <si>
    <t>Duration.</t>
  </si>
  <si>
    <t>Timing of soil alteration.</t>
  </si>
  <si>
    <t>&gt;95% of AA.</t>
  </si>
  <si>
    <t>&lt;3 yrs ago.</t>
  </si>
  <si>
    <t>Shift of weeks.</t>
  </si>
  <si>
    <t>Became very flashy or controlled.</t>
  </si>
  <si>
    <t>5-95% of AA.</t>
  </si>
  <si>
    <t>3-9 yrs ago.</t>
  </si>
  <si>
    <t>Shift of days.</t>
  </si>
  <si>
    <t>&lt;5% of AA.</t>
  </si>
  <si>
    <t>10-100 yrs ago.</t>
  </si>
  <si>
    <t>Shift of hours or minutes.</t>
  </si>
  <si>
    <t>Became mildly flashy or controlled.</t>
  </si>
  <si>
    <t>Large (e.g., feedlots, extensive residential on septic) or or 303d* for nutrients.</t>
  </si>
  <si>
    <t>Frequent and year-round.</t>
  </si>
  <si>
    <t>0-50 ft.</t>
  </si>
  <si>
    <t>Moderate (e.g., grazing, light residential on septic, light agriculture).</t>
  </si>
  <si>
    <t>Frequent but mostly seasonal.</t>
  </si>
  <si>
    <t>50-300 ft. or in groundwater.</t>
  </si>
  <si>
    <t>Limited (e.g., a few animals,  lawns, sewered residential).</t>
  </si>
  <si>
    <t>Infrequent &amp; during high runoff events mainly.</t>
  </si>
  <si>
    <t>In other part of contributing area.</t>
  </si>
  <si>
    <t>Industrial effluent or 303d* for toxics.</t>
  </si>
  <si>
    <t>Wastewater treatment plant, cropland, fossil fuel extraction, pipeline, power station, managed landfill.</t>
  </si>
  <si>
    <t>Low density residential or commercial.</t>
  </si>
  <si>
    <t>Extensive evidence, high intensity*.</t>
  </si>
  <si>
    <t>Current &amp; ongoing.</t>
  </si>
  <si>
    <t>0-50 ft., or farther but on steep erodible slopes.</t>
  </si>
  <si>
    <t>Potentially (based on high-intensity* land use) or scattered evidence.</t>
  </si>
  <si>
    <t>1-12 months ago.</t>
  </si>
  <si>
    <t>50-300 ft.</t>
  </si>
  <si>
    <t>Potentially (based on low-intensity* land use) with little or no direct evidence.</t>
  </si>
  <si>
    <t>&gt;1 yr ago.</t>
  </si>
  <si>
    <t>Infrequent &amp; mainly during high runoff or severe wind events.</t>
  </si>
  <si>
    <t>&gt;95% of AA or &gt;95% of  its upland edge (if any).</t>
  </si>
  <si>
    <t>Long-lasting, minimal veg recovery.</t>
  </si>
  <si>
    <t>5-95% of AA or 5-95% of its upland edge (if any).</t>
  </si>
  <si>
    <t>Long-lasting but mostly revegetated.</t>
  </si>
  <si>
    <t>&lt;5% of AA and &lt;5% of its upland edge (if any).</t>
  </si>
  <si>
    <t>Short-term, revegetated, not intense.</t>
  </si>
  <si>
    <t>Infrequent &amp; mainly during scattered events.</t>
  </si>
  <si>
    <t>AVERAGE(Groundw,SoilTex,WetPctRCA,WetPctSCA)</t>
  </si>
  <si>
    <r>
      <t xml:space="preserve">IF((Bldgs+Agric&gt;0), Fdam, </t>
    </r>
    <r>
      <rPr>
        <b/>
        <sz val="10"/>
        <rFont val="Arial Narrow"/>
        <family val="2"/>
      </rPr>
      <t>ELSE</t>
    </r>
    <r>
      <rPr>
        <sz val="10"/>
        <rFont val="Arial Narrow"/>
        <family val="2"/>
      </rPr>
      <t>: AVERAGE(FDam,AVERAGE(Yield,Zoning,GISscoreWSv))</t>
    </r>
  </si>
  <si>
    <t>&lt;256.</t>
  </si>
  <si>
    <t>256 - 1020.</t>
  </si>
  <si>
    <t>1021-1785.</t>
  </si>
  <si>
    <t>1786 - 2550.</t>
  </si>
  <si>
    <t>2551 - 3315.</t>
  </si>
  <si>
    <t>3316 - 4079.</t>
  </si>
  <si>
    <t>&gt; 4079.</t>
  </si>
  <si>
    <t>Slight.</t>
  </si>
  <si>
    <t>Moderate.</t>
  </si>
  <si>
    <t>Severe.</t>
  </si>
  <si>
    <t>Very severe.</t>
  </si>
  <si>
    <t>Could not determine.</t>
  </si>
  <si>
    <t>&lt;.01 acre.</t>
  </si>
  <si>
    <t>&gt;10,000 acres.</t>
  </si>
  <si>
    <r>
      <t>AVERAGE(Gradient,WidthWet,Gcover,Thruflo</t>
    </r>
    <r>
      <rPr>
        <sz val="10"/>
        <rFont val="Arial Narrow"/>
        <family val="2"/>
      </rPr>
      <t>)</t>
    </r>
  </si>
  <si>
    <t>AVERAGE(DistPerCov,PerCovPct,SizePerenn,Arid)</t>
  </si>
  <si>
    <t>AVERAGE(Lentic,Gradient,Fluctu,Beaver,PermWpct, PondWpctDry,PondWpctWet)</t>
  </si>
  <si>
    <t>AVERAGE(WidthWet,MAX(EmPct,SAV,WoodOver), PondWpctWet,PondWpctDry, WaterMixWet, WaterMixDry))</t>
  </si>
  <si>
    <t>AVERAGE(Gcover,Girreg,WoodDown,GDD,VegCut,BuffWidth,PerimPctPer)</t>
  </si>
  <si>
    <r>
      <t xml:space="preserve">IF Tidal=1,Tidal11, </t>
    </r>
    <r>
      <rPr>
        <b/>
        <sz val="10"/>
        <rFont val="Arial Narrow"/>
        <family val="2"/>
      </rPr>
      <t xml:space="preserve">ELSE: </t>
    </r>
    <r>
      <rPr>
        <sz val="10"/>
        <rFont val="Arial Narrow"/>
        <family val="2"/>
      </rPr>
      <t xml:space="preserve"> AVERAGE(Waterscape, PchemStress, AVERAGE(Hydro,AqStruc,TerrStruc,Lscape,BioStress))</t>
    </r>
  </si>
  <si>
    <t>Terrestrial Structure (Nonbreeding habitat)</t>
  </si>
  <si>
    <t>AVERAGE(DistPond,DistLake,HUCbest,ConnScapeW,ConnLocalW)</t>
  </si>
  <si>
    <t>AVERAGE(DistOpenL,OpenLpct, WoodyDryShade,UpTreePctPer, PerimPctPer,BuffWidth)</t>
  </si>
  <si>
    <t>AVERAGE (Hydropd,AVERAGE(Lentic,Gradient), AVERAGE(OWareaDry,PondWpctDry), MAX(SeasWpct, PermWpct),DepthDom, DepthEven, Fluctu))</t>
  </si>
  <si>
    <t>AVERAGE (EmArea, AVERAGE(HerbExpos, WidthDry,VegCut), AVERAGE(Islands,WaterMixDry, Cttail, EmPct))</t>
  </si>
  <si>
    <t>AVERAGE(VisitNo,VisitOften,WQin,ConnecUp)</t>
  </si>
  <si>
    <t>AVERAGE(Moss,Algae,SAV,IceDura,Invas,FishAcc)</t>
  </si>
  <si>
    <t>[AVERAGE(BuffWidth,PerimPctPer,SizePerenn,DistPerCov,PerCovPct) +AVERAGE(OpenLpct,DistOpenL)] 2</t>
  </si>
  <si>
    <t>Ponded Open Water Area - Wettest  (OWareaWet)</t>
  </si>
  <si>
    <t>Duration of Connection Beween AA &amp; Water Quality Problem Area (ConnDown)</t>
  </si>
  <si>
    <t>High (≥ 0.75 for maximum score, or ≥ 0.90 for this group's sum score), or there is a recent (within 5 years) onsite observation of any of these species by a qualified observer under conditions similar to what now occur.</t>
  </si>
  <si>
    <t>Low (≤ 0.33 for both the maximum score this group's sum score, but not 0 for both).</t>
  </si>
  <si>
    <t>High (≥ 0.60 for maximum score, or &gt;0.90 for sum score), or there is a recent onsite observation of any of these species by a qualified observer under conditions similar to what now occur.</t>
  </si>
  <si>
    <t>Low (≤ 0.21 for maximum score AND &lt;0.15 for sum score, but not 0 for both).</t>
  </si>
  <si>
    <t>Low (&lt; 0.33 for maximum score and for sum score, but not 0 for both).</t>
  </si>
  <si>
    <t>High (≥ 0.60 for maximum score, or ≥1.00 for this group's sum score), or there is a recent breeding-season observation of any of these species onsite by a qualified observer under conditions similar to what now occur.</t>
  </si>
  <si>
    <t>Low (≤ 0.09 for maximum score and for sum score, but not 0 for both).</t>
  </si>
  <si>
    <t>High (≥ 0.60 for maximum score, or &gt;1.13 for sum score), or there is a recent onsite observation of any of these species by a qualified observer under conditions similar to what now occur.</t>
  </si>
  <si>
    <t>Low (≤ 0.09 for maximum score AND &lt;0.13 for sum score, but not 0 for both).</t>
  </si>
  <si>
    <t>High (≥ 0.75 for maximum score, or for this group's sum score), or there is a recent onsite observation of any of these species by a qualified observer under conditions similar to what now occur.</t>
  </si>
  <si>
    <t>Low (&lt; 0.75 for maximum score AND for this group's sum score, but not 0 for both).</t>
  </si>
  <si>
    <t>High (≥ 0.75 for maximum score, or &gt; 4.00 for sum score), or there is a recent onsite observation of any of these species by a qualified observer under conditions similar to what now occur.</t>
  </si>
  <si>
    <t>Low (≤ 0.12 for maximum score AND &lt;  0.20 for sum score, but not 0 for both).</t>
  </si>
  <si>
    <t xml:space="preserve">According to the ORWAP Report, the score for occurrences of rare amphibian or reptile species in the vicinity of this AA is: </t>
  </si>
  <si>
    <t>100 to &lt;300 ft.</t>
  </si>
  <si>
    <t>300 to &lt;1000 ft.</t>
  </si>
  <si>
    <t>1000 ft. to &lt; 0.5 mile.</t>
  </si>
  <si>
    <t>1000 ft. to &lt;0.5 mile.</t>
  </si>
  <si>
    <t>0.5 mile to 2 miles.</t>
  </si>
  <si>
    <t>300 to &lt; 0.5 mile.</t>
  </si>
  <si>
    <t>0.5 to &lt;1 miles.</t>
  </si>
  <si>
    <t>.01 to &lt; 1 acre.</t>
  </si>
  <si>
    <t>1 to &lt;10 acres.</t>
  </si>
  <si>
    <t>10 to &lt;100 acres.</t>
  </si>
  <si>
    <t>100 to &lt;1000 acres.</t>
  </si>
  <si>
    <t>1000 to 10,000 acres.</t>
  </si>
  <si>
    <t>5 to &lt;20% of the land.</t>
  </si>
  <si>
    <t>20 to &lt;60% of the land.</t>
  </si>
  <si>
    <t>5 to &lt;20%.</t>
  </si>
  <si>
    <t>20 to &lt;50%.</t>
  </si>
  <si>
    <t>1 to &lt;10% of its RCA.</t>
  </si>
  <si>
    <t>1 to &lt;10% of its SCA.</t>
  </si>
  <si>
    <t>25 to &lt;50% of the AA.</t>
  </si>
  <si>
    <t>50 to 95% of the AA.</t>
  </si>
  <si>
    <t>0.5 to &lt; 1 ft deep.</t>
  </si>
  <si>
    <t>1 to &lt;3 ft deep.</t>
  </si>
  <si>
    <t>5 to &lt;30% of the parts of the AA that are inundated for &gt;7 days at some time of the year.</t>
  </si>
  <si>
    <t>30 to &lt;60% of the parts of the AA that are inundated for &gt;7 days at some time of the year.</t>
  </si>
  <si>
    <t>1 to &lt;25% of the emergent vegetation.</t>
  </si>
  <si>
    <t>5 to &lt;25% of the water.</t>
  </si>
  <si>
    <t>25 to &lt;50% of the water.</t>
  </si>
  <si>
    <t>5 to &lt;30% of the AA.</t>
  </si>
  <si>
    <t>30 to &lt;70% of the AA.</t>
  </si>
  <si>
    <t>5 to &lt;25% of the water area.</t>
  </si>
  <si>
    <t>25 to &lt;50% of the water area.</t>
  </si>
  <si>
    <t>0.5 to &lt; 1 ft.</t>
  </si>
  <si>
    <t>1 to &lt;3 ft.</t>
  </si>
  <si>
    <t>5 to &lt;25% of the AA.</t>
  </si>
  <si>
    <t>100 to &lt;1000 sq. ft.  within AA.</t>
  </si>
  <si>
    <t>1 to &lt;3%.</t>
  </si>
  <si>
    <t>2 to &lt;6%.</t>
  </si>
  <si>
    <t>5 to &lt;25% of the vegetated part of the AA.</t>
  </si>
  <si>
    <t>25 to &lt;50% of the vegetated part of the AA.</t>
  </si>
  <si>
    <t>5 to &lt;25% of the herbaceous part of the AA.</t>
  </si>
  <si>
    <t>25 to &lt;50% of the herbaceous part of the AA.</t>
  </si>
  <si>
    <t>5 to &lt;50% of the normally vegetated AA.</t>
  </si>
  <si>
    <t>5 to &lt;25% of the vegetated AA.</t>
  </si>
  <si>
    <t>25 to &lt;50% of the vegetated AA.</t>
  </si>
  <si>
    <t>5 to &lt;25% of the vegetated AA or the water edge (whichever is greater in early summer).</t>
  </si>
  <si>
    <t>25 to &lt;50% of the vegetated AA or the water edge (whichever is greater in early summer).</t>
  </si>
  <si>
    <t>1 to &lt;25%.</t>
  </si>
  <si>
    <t>25 to &lt;50%.</t>
  </si>
  <si>
    <t>5 to &lt;25%.</t>
  </si>
  <si>
    <t>50 to &lt;75%.</t>
  </si>
  <si>
    <t>5 to &lt;25% of perennial cover.</t>
  </si>
  <si>
    <t>5 to &lt;50% and inhabited building is within 300 ft of the AA.</t>
  </si>
  <si>
    <t>5 to &lt;50%.</t>
  </si>
  <si>
    <t>Function Rating</t>
  </si>
  <si>
    <t>Values Rating</t>
  </si>
  <si>
    <t>CI</t>
  </si>
  <si>
    <t xml:space="preserve">Function Score </t>
  </si>
  <si>
    <t>Values Score</t>
  </si>
  <si>
    <t>Values Score (raw)</t>
  </si>
  <si>
    <t>Higher IF &gt;=</t>
  </si>
  <si>
    <t>Lower IF &lt;=</t>
  </si>
  <si>
    <t xml:space="preserve">Function Scores </t>
  </si>
  <si>
    <t>Values Scores</t>
  </si>
  <si>
    <t>Comments</t>
  </si>
  <si>
    <t>CI: LMa</t>
  </si>
  <si>
    <t>CI: LMb</t>
  </si>
  <si>
    <t>CI:MHa</t>
  </si>
  <si>
    <t>CI:MHb</t>
  </si>
  <si>
    <t>AVERAGE(WQin,ConnecUp,ContamDown,ConnDown,ContamIn,AltTiming,SedRCA, PestAnim,Algae)</t>
  </si>
  <si>
    <r>
      <t xml:space="preserve">IF((RareTypeT=1),1, </t>
    </r>
    <r>
      <rPr>
        <b/>
        <sz val="10"/>
        <rFont val="Arial Narrow"/>
        <family val="2"/>
      </rPr>
      <t>ELSE</t>
    </r>
    <r>
      <rPr>
        <sz val="10"/>
        <rFont val="Arial Narrow"/>
        <family val="2"/>
      </rPr>
      <t>: (3*AVERAGE(EmAreaT,LowMarshT,WidthHiT) + 2*AVERAGE(TnonT,SalinT,PerimPctPerT,BuffWidthT) + AVERAGE(VegformsT,VegSpDomT,GcoverT,CliffT)) /6)</t>
    </r>
  </si>
  <si>
    <t>IF((WQin=1),1, MAX(HydroStress, WQstress,ConnecStress,DisturbStress)))</t>
  </si>
  <si>
    <t>AVERAGE(WidthLoT, SoilTexT, RareTypeT, AVERAGE(VegformsT,VegSpDomT,InvasT,GcoverT))</t>
  </si>
  <si>
    <t>SalinT x [3*AVERAGE(EstPosT,LowMarsh,SalinT) + 2*AVERAGE(WidthHiT, OutDuraT,TnonT) + AVERAGE(DistPond,DistRd,PerimPctPerT,BuffWidthT)] /6</t>
  </si>
  <si>
    <t>AVERAGE(OutDura,Constric)))</t>
  </si>
  <si>
    <t>AVERAGE(Algae, SAV,PermW,DepthDom,Fluctu,NewWet)</t>
  </si>
  <si>
    <r>
      <t xml:space="preserve">IF((NeverWater+TempWet&gt;0), "", </t>
    </r>
    <r>
      <rPr>
        <b/>
        <sz val="10"/>
        <rFont val="Arial Narrow"/>
        <family val="2"/>
      </rPr>
      <t>ELSE:</t>
    </r>
    <r>
      <rPr>
        <sz val="10"/>
        <rFont val="Arial Narrow"/>
        <family val="2"/>
      </rPr>
      <t xml:space="preserve"> AVERAGE(ThruFlo,SAV,EmArea,EmPct,WoodOver)</t>
    </r>
  </si>
  <si>
    <r>
      <t xml:space="preserve">IF((Tidal=1), AVERAGE[Ownership,AVERAGE(Conven,Invest,Zoning)], </t>
    </r>
    <r>
      <rPr>
        <b/>
        <sz val="10"/>
        <rFont val="Arial Narrow"/>
        <family val="2"/>
      </rPr>
      <t>ELSE</t>
    </r>
    <r>
      <rPr>
        <sz val="10"/>
        <rFont val="Arial Narrow"/>
        <family val="2"/>
      </rPr>
      <t>: AVERAGE[Ownership,AVERAGE(Conven,Invest,Zoning)]</t>
    </r>
  </si>
  <si>
    <t xml:space="preserve">The capacity to support an abundance and diversity of native amphibians (frogs, toads, salamanders) and native wetland-dependent reptiles (e.g., turtles).  </t>
  </si>
  <si>
    <t>AVERAGE[PestAnim,AVERAGE(AltTiming,ContamIn,SedRCA,WQin,ConnecUp), average(GDD,IceDura)]</t>
  </si>
  <si>
    <t>AVERAGE(ContamIn,SoilDisturb,SedRCA,AltTime,WQin,ConnecUp)</t>
  </si>
  <si>
    <t>AVERAGE(ConnLocalW,ConnScapeW,DistPond, Beaver,HUCbest)</t>
  </si>
  <si>
    <t>AVERAGE(EmArea,AVERAGE(WaterMixWet,Girreg,Gcover,Cliff,Cttail, EmPct,HerbDom, ShrExpos, WoodyPct, WoodyDryShade,Snags, WoodDown, TreeDiams))</t>
  </si>
  <si>
    <t>AVERAGE(VisitNo,VisitOften,DisRd,VegCut)</t>
  </si>
  <si>
    <t xml:space="preserve">For a list of functions to which each question pertains, see bracketed codes in column E.  Codes for functions and their benefits are: WS= Water Storage,  WC= Water Cooling, SR= Sediment Retention, PR= Phosphorus Retention, NR= Nitrate Removal, CS= Carbon Sequestration, OE= Organic Nutrient Export, INV= Aquatic Invertebrate Habitat, FA= Anadromous Fish Habitat, FR= Resident Fish Habitat, AM= Amphibians &amp; Reptile Habitat, WBF= Feeding Waterbird Habitat, WBN= Nesting Waterbird Habitat, SBM= Songbird, Raptor, &amp; Mammal Habitat, POL= Pollinator Habitat, PD= Native Plant Diversity, PU= Public Use &amp; Recognition, EC= Ecological Condition, Sens= Sensitivity, STR= Stressors. </t>
  </si>
  <si>
    <r>
      <t>&lt;5% of the</t>
    </r>
    <r>
      <rPr>
        <b/>
        <sz val="10"/>
        <rFont val="Arial Narrow"/>
        <family val="2"/>
      </rPr>
      <t xml:space="preserve"> </t>
    </r>
    <r>
      <rPr>
        <sz val="10"/>
        <rFont val="Arial Narrow"/>
        <family val="2"/>
      </rPr>
      <t>land.</t>
    </r>
  </si>
  <si>
    <t xml:space="preserve">Yes, for the HUC8 watershed               
</t>
  </si>
  <si>
    <t xml:space="preserve">Yes, for the HUC10 watershed </t>
  </si>
  <si>
    <t xml:space="preserve">Yes, for the HUC12 watershed </t>
  </si>
  <si>
    <r>
      <t xml:space="preserve">Within a </t>
    </r>
    <r>
      <rPr>
        <u/>
        <sz val="10"/>
        <rFont val="Arial Narrow"/>
        <family val="2"/>
      </rPr>
      <t>2-mile</t>
    </r>
    <r>
      <rPr>
        <sz val="10"/>
        <rFont val="Arial Narrow"/>
        <family val="2"/>
      </rPr>
      <t xml:space="preserve"> radius of the AA center, the amount of </t>
    </r>
    <r>
      <rPr>
        <b/>
        <sz val="10"/>
        <rFont val="Arial Narrow"/>
        <family val="2"/>
      </rPr>
      <t>herbaceous openland</t>
    </r>
    <r>
      <rPr>
        <sz val="10"/>
        <rFont val="Arial Narrow"/>
        <family val="2"/>
      </rPr>
      <t xml:space="preserve"> in f</t>
    </r>
    <r>
      <rPr>
        <b/>
        <sz val="10"/>
        <rFont val="Arial Narrow"/>
        <family val="2"/>
      </rPr>
      <t>lat terrain</t>
    </r>
    <r>
      <rPr>
        <sz val="10"/>
        <rFont val="Arial Narrow"/>
        <family val="2"/>
      </rPr>
      <t xml:space="preserve"> is:</t>
    </r>
  </si>
  <si>
    <r>
      <t xml:space="preserve">Within a </t>
    </r>
    <r>
      <rPr>
        <u/>
        <sz val="10"/>
        <rFont val="Arial Narrow"/>
        <family val="2"/>
      </rPr>
      <t>2-mile</t>
    </r>
    <r>
      <rPr>
        <sz val="10"/>
        <rFont val="Arial Narrow"/>
        <family val="2"/>
      </rPr>
      <t xml:space="preserve"> radius of the AA center: </t>
    </r>
  </si>
  <si>
    <r>
      <t>Within a</t>
    </r>
    <r>
      <rPr>
        <b/>
        <sz val="10"/>
        <rFont val="Arial Narrow"/>
        <family val="2"/>
      </rPr>
      <t xml:space="preserve"> </t>
    </r>
    <r>
      <rPr>
        <b/>
        <u/>
        <sz val="10"/>
        <rFont val="Arial Narrow"/>
        <family val="2"/>
      </rPr>
      <t>0</t>
    </r>
    <r>
      <rPr>
        <u/>
        <sz val="10"/>
        <rFont val="Arial Narrow"/>
        <family val="2"/>
      </rPr>
      <t>.5 mile</t>
    </r>
    <r>
      <rPr>
        <sz val="10"/>
        <rFont val="Arial Narrow"/>
        <family val="2"/>
      </rPr>
      <t xml:space="preserve"> radius of the AA center:</t>
    </r>
  </si>
  <si>
    <t>Include areas not shown as ESH,  if ODFW has confirmed they qualify as ESH.                                                         [WCv, FA, FAv]</t>
  </si>
  <si>
    <t xml:space="preserve"> [WBFv, WBNv]</t>
  </si>
  <si>
    <r>
      <t xml:space="preserve">The AA is within or contiguous to a designated </t>
    </r>
    <r>
      <rPr>
        <b/>
        <sz val="10"/>
        <rFont val="Arial Narrow"/>
        <family val="2"/>
      </rPr>
      <t>Wetland Priority Area,</t>
    </r>
    <r>
      <rPr>
        <sz val="10"/>
        <rFont val="Arial Narrow"/>
        <family val="2"/>
      </rPr>
      <t xml:space="preserve"> according to the map layer of that name.</t>
    </r>
  </si>
  <si>
    <t>Water storage (WS)</t>
  </si>
  <si>
    <t>Sediment retention (SR)</t>
  </si>
  <si>
    <t>Nutrient transformation (NT)</t>
  </si>
  <si>
    <t>Thermoregulation (WC)</t>
  </si>
  <si>
    <t>Aquatic invertebrate habitat (INV)</t>
  </si>
  <si>
    <t>Amphibian habitat (AM)</t>
  </si>
  <si>
    <t>Fish habitat (FH)</t>
  </si>
  <si>
    <t>Waterbird habitat (WB)</t>
  </si>
  <si>
    <t xml:space="preserve">According to the ORWAP Report, the score for occurrences of rare non-anadromous fish species in the vicinity of this AA is: </t>
  </si>
  <si>
    <r>
      <t>The AA is within an</t>
    </r>
    <r>
      <rPr>
        <b/>
        <sz val="10"/>
        <rFont val="Arial Narrow"/>
        <family val="2"/>
      </rPr>
      <t xml:space="preserve"> Important Bird Area (IBA)</t>
    </r>
    <r>
      <rPr>
        <sz val="10"/>
        <rFont val="Arial Narrow"/>
        <family val="2"/>
      </rPr>
      <t>, as officially designated, according to the map layer of that name.</t>
    </r>
  </si>
  <si>
    <t>According to the ORWAP Report,  the wetland is in a hydrologic landscape unit classified as:</t>
  </si>
  <si>
    <t>The upstream problem area mentioned above (OF28) has a surface water connection to the AA:</t>
  </si>
  <si>
    <t xml:space="preserve">The connection between the downstream problem area mentioned above (OF30) and the AA: </t>
  </si>
  <si>
    <t>According to ORWAP Map Viewer's Surface Water Drinking Source Water Areas layer and the Ground Water Drinking Source Water Areas layer, the AA is within:</t>
  </si>
  <si>
    <t xml:space="preserve">Within a designated Sole Source Aquifer area (EPA): the North Florence Dunal Aquifer.  </t>
  </si>
  <si>
    <t>Within a designated Groundwater Management Area (ODEQ).</t>
  </si>
  <si>
    <t xml:space="preserve">1)  Consider which end of the HUC is the bottom.  Where streams join, the “V” that they form on the map points towards the  bottom of the HUC.
2)  If the AA is closer to the HUC's outlet than to its upper end, and is closer to the river or large stream that exits at the bottom of the HUC than it is to the boundary (margin) of the HUC, then check "lower 1/3”  If not near that river, check "middle 1/3".              
3) If the AA is not in a 100-yr floodplain, is closer to the HUC upper end than to its outlet, and is closer to the boundary (margin) of the HUC than to the river or large stream that exits at the bottom of the HUC, then check "upper 1/3” 
4) For all other conditions, check "middle 1/3".  [WCv,SRv,PRv,OE,FA,Sens] </t>
  </si>
  <si>
    <t>Delimit the wetland's Runoff Contributing Area (RCA) using a topographic base map.  The area of the AA's wetland is:</t>
  </si>
  <si>
    <t>According to ORWAP Map Viewer's Oregon Soils layer, the erosion hazard rating of the soil within 200 ft away and upslope of the AA is:</t>
  </si>
  <si>
    <t>Delimit (or visualize, for large river basins) the wetland's Streamflow Contributing Area (SCA) using a topographic base map. The area of the AA's wetland is:</t>
  </si>
  <si>
    <t>According to ORWAP Map Viewer's Oregon Zoning layer, the dominant zoned land use designation for currently undeveloped parcels upslope from the AA and within 300 ft. of its upland edge is:</t>
  </si>
  <si>
    <t xml:space="preserve">According to ORWAP Map Viewer's Growing Degree Days layer,  the long term normal Growing Degree Days category at the approximate location of the AA is: </t>
  </si>
  <si>
    <t>1 to &lt;25% of the AA.</t>
  </si>
  <si>
    <t>&gt;0 to &lt;0.5 ft.</t>
  </si>
  <si>
    <r>
      <t xml:space="preserve">Tidal wetland - </t>
    </r>
    <r>
      <rPr>
        <sz val="10"/>
        <rFont val="Arial Narrow"/>
        <family val="2"/>
      </rPr>
      <t>a wetland that receives tidal water at least once during a normal year, regardless of salinity, and dominated by emergent or woody vegetation.  Tidal flooding occurs on a 6-hour cycle DURING THE TIME it is flooded by tide, which may be as infreuent as once per year.  If NWI map shows the wetland with a code beginning with E (for estuarine), assume the wetland to be tidal. However, some wetlands lacking that code are also tidal.</t>
    </r>
  </si>
  <si>
    <r>
      <t xml:space="preserve">Identify the parts (if any) of the AA that never contain surface water (only saturated soil) or where the water (either ponded or flowing) usually remains on the land surface </t>
    </r>
    <r>
      <rPr>
        <u/>
        <sz val="10"/>
        <rFont val="Arial Narrow"/>
        <family val="2"/>
      </rPr>
      <t>for less than the entire growing season</t>
    </r>
    <r>
      <rPr>
        <sz val="10"/>
        <rFont val="Arial Narrow"/>
        <family val="2"/>
      </rPr>
      <t xml:space="preserve">. The percentage of the AA containing such areas is: </t>
    </r>
  </si>
  <si>
    <r>
      <t>Within the area described above, and during most of the time when surface water is present, the water area has: S</t>
    </r>
    <r>
      <rPr>
        <b/>
        <sz val="10"/>
        <rFont val="Arial Narrow"/>
        <family val="2"/>
      </rPr>
      <t>elect only one.</t>
    </r>
  </si>
  <si>
    <r>
      <t xml:space="preserve">Use of the AA by beaver during the past 5 years is:  </t>
    </r>
    <r>
      <rPr>
        <b/>
        <sz val="10"/>
        <rFont val="Arial Narrow"/>
        <family val="2"/>
      </rPr>
      <t>Select most applicable ONE.</t>
    </r>
  </si>
  <si>
    <r>
      <t xml:space="preserve">During June, the wetland contains (or is part of) an island that is isolated from the shore by water depths &gt;3 ft. The island may be solid, or it may be a floating vegetation mat suitable for nesting waterbirds.  The island must be larger than 400 sq.ft and without inhabited buildings. </t>
    </r>
    <r>
      <rPr>
        <b/>
        <sz val="10"/>
        <rFont val="Arial Narrow"/>
        <family val="2"/>
      </rPr>
      <t>Enter 1, if true.</t>
    </r>
  </si>
  <si>
    <r>
      <t xml:space="preserve">During most years, most of the AA's surface water (if any) does </t>
    </r>
    <r>
      <rPr>
        <b/>
        <sz val="10"/>
        <rFont val="Arial Narrow"/>
        <family val="2"/>
      </rPr>
      <t xml:space="preserve">not </t>
    </r>
    <r>
      <rPr>
        <sz val="10"/>
        <rFont val="Arial Narrow"/>
        <family val="2"/>
      </rPr>
      <t xml:space="preserve">freeze, or freezes for fewer than 4 continuous weeks. </t>
    </r>
    <r>
      <rPr>
        <b/>
        <sz val="10"/>
        <rFont val="Arial Narrow"/>
        <family val="2"/>
      </rPr>
      <t>Enter 1, if true.</t>
    </r>
  </si>
  <si>
    <r>
      <t xml:space="preserve">The extent of </t>
    </r>
    <r>
      <rPr>
        <u/>
        <sz val="10"/>
        <rFont val="Arial Narrow"/>
        <family val="2"/>
      </rPr>
      <t>mudflats</t>
    </r>
    <r>
      <rPr>
        <sz val="10"/>
        <rFont val="Arial Narrow"/>
        <family val="2"/>
      </rPr>
      <t>, v</t>
    </r>
    <r>
      <rPr>
        <u/>
        <sz val="10"/>
        <rFont val="Arial Narrow"/>
        <family val="2"/>
      </rPr>
      <t>ery shallow water</t>
    </r>
    <r>
      <rPr>
        <sz val="10"/>
        <rFont val="Arial Narrow"/>
        <family val="2"/>
      </rPr>
      <t xml:space="preserve">s, or </t>
    </r>
    <r>
      <rPr>
        <u/>
        <sz val="10"/>
        <rFont val="Arial Narrow"/>
        <family val="2"/>
      </rPr>
      <t>shortgrass meadows,</t>
    </r>
    <r>
      <rPr>
        <sz val="10"/>
        <rFont val="Arial Narrow"/>
        <family val="2"/>
      </rPr>
      <t xml:space="preserve"> within the AA, that meet the definition of </t>
    </r>
    <r>
      <rPr>
        <b/>
        <sz val="10"/>
        <rFont val="Arial Narrow"/>
        <family val="2"/>
      </rPr>
      <t>shorebird habitat</t>
    </r>
    <r>
      <rPr>
        <sz val="10"/>
        <rFont val="Arial Narrow"/>
        <family val="2"/>
      </rPr>
      <t xml:space="preserve">  for at least 3 months during the period of late summer through the following May is:</t>
    </r>
  </si>
  <si>
    <r>
      <t xml:space="preserve">Is </t>
    </r>
    <r>
      <rPr>
        <b/>
        <sz val="10"/>
        <rFont val="Arial Narrow"/>
        <family val="2"/>
      </rPr>
      <t>impeded</t>
    </r>
    <r>
      <rPr>
        <sz val="10"/>
        <rFont val="Arial Narrow"/>
        <family val="2"/>
      </rPr>
      <t xml:space="preserve"> as it mostly passes through a pipe, culvert, tidegate, narrowly breached dike, berm, beaver dam, or other partial obstruction (other than natural topography).</t>
    </r>
  </si>
  <si>
    <r>
      <t xml:space="preserve">Leaves mainly through natural surface exits, not largely through artificial or temporary features which </t>
    </r>
    <r>
      <rPr>
        <b/>
        <sz val="10"/>
        <rFont val="Arial Narrow"/>
        <family val="2"/>
      </rPr>
      <t>impede</t>
    </r>
    <r>
      <rPr>
        <sz val="10"/>
        <rFont val="Arial Narrow"/>
        <family val="2"/>
      </rPr>
      <t xml:space="preserve"> or accelerate outflow.</t>
    </r>
  </si>
  <si>
    <r>
      <t xml:space="preserve">During </t>
    </r>
    <r>
      <rPr>
        <b/>
        <sz val="10"/>
        <rFont val="Arial Narrow"/>
        <family val="2"/>
      </rPr>
      <t>major runoff events</t>
    </r>
    <r>
      <rPr>
        <sz val="10"/>
        <rFont val="Arial Narrow"/>
        <family val="2"/>
      </rPr>
      <t>, in the places described above where surface water exits the AA, it:</t>
    </r>
  </si>
  <si>
    <r>
      <t>Bumps into</t>
    </r>
    <r>
      <rPr>
        <b/>
        <sz val="10"/>
        <rFont val="Arial Narrow"/>
        <family val="2"/>
      </rPr>
      <t xml:space="preserve"> h</t>
    </r>
    <r>
      <rPr>
        <u/>
        <sz val="10"/>
        <rFont val="Arial Narrow"/>
        <family val="2"/>
      </rPr>
      <t>erbaceous vegetation</t>
    </r>
    <r>
      <rPr>
        <sz val="10"/>
        <rFont val="Arial Narrow"/>
        <family val="2"/>
      </rPr>
      <t xml:space="preserve"> but mostly remains in fairly </t>
    </r>
    <r>
      <rPr>
        <u/>
        <sz val="10"/>
        <rFont val="Arial Narrow"/>
        <family val="2"/>
      </rPr>
      <t>straight channels</t>
    </r>
    <r>
      <rPr>
        <sz val="10"/>
        <rFont val="Arial Narrow"/>
        <family val="2"/>
      </rPr>
      <t>.</t>
    </r>
  </si>
  <si>
    <r>
      <t>Bumps into</t>
    </r>
    <r>
      <rPr>
        <b/>
        <sz val="10"/>
        <rFont val="Arial Narrow"/>
        <family val="2"/>
      </rPr>
      <t xml:space="preserve"> </t>
    </r>
    <r>
      <rPr>
        <b/>
        <u/>
        <sz val="10"/>
        <rFont val="Arial Narrow"/>
        <family val="2"/>
      </rPr>
      <t>t</t>
    </r>
    <r>
      <rPr>
        <u/>
        <sz val="10"/>
        <rFont val="Arial Narrow"/>
        <family val="2"/>
      </rPr>
      <t>ree trunks and/or shrub stems</t>
    </r>
    <r>
      <rPr>
        <b/>
        <sz val="10"/>
        <rFont val="Arial Narrow"/>
        <family val="2"/>
      </rPr>
      <t xml:space="preserve"> </t>
    </r>
    <r>
      <rPr>
        <sz val="10"/>
        <rFont val="Arial Narrow"/>
        <family val="2"/>
      </rPr>
      <t xml:space="preserve">but mostly remains in fairly </t>
    </r>
    <r>
      <rPr>
        <b/>
        <sz val="10"/>
        <rFont val="Arial Narrow"/>
        <family val="2"/>
      </rPr>
      <t>s</t>
    </r>
    <r>
      <rPr>
        <u/>
        <sz val="10"/>
        <rFont val="Arial Narrow"/>
        <family val="2"/>
      </rPr>
      <t>traight channels</t>
    </r>
    <r>
      <rPr>
        <sz val="10"/>
        <rFont val="Arial Narrow"/>
        <family val="2"/>
      </rPr>
      <t>.</t>
    </r>
  </si>
  <si>
    <r>
      <t>Bumps into</t>
    </r>
    <r>
      <rPr>
        <b/>
        <sz val="10"/>
        <rFont val="Arial Narrow"/>
        <family val="2"/>
      </rPr>
      <t xml:space="preserve"> </t>
    </r>
    <r>
      <rPr>
        <u/>
        <sz val="10"/>
        <rFont val="Arial Narrow"/>
        <family val="2"/>
      </rPr>
      <t>herbaceous vegetation</t>
    </r>
    <r>
      <rPr>
        <sz val="10"/>
        <rFont val="Arial Narrow"/>
        <family val="2"/>
      </rPr>
      <t xml:space="preserve"> and mostly </t>
    </r>
    <r>
      <rPr>
        <u/>
        <sz val="10"/>
        <rFont val="Arial Narrow"/>
        <family val="2"/>
      </rPr>
      <t>spreads throughou</t>
    </r>
    <r>
      <rPr>
        <sz val="10"/>
        <rFont val="Arial Narrow"/>
        <family val="2"/>
      </rPr>
      <t xml:space="preserve">t, or follows a fairly </t>
    </r>
    <r>
      <rPr>
        <u/>
        <sz val="10"/>
        <rFont val="Arial Narrow"/>
        <family val="2"/>
      </rPr>
      <t>indirect path</t>
    </r>
    <r>
      <rPr>
        <sz val="10"/>
        <rFont val="Arial Narrow"/>
        <family val="2"/>
      </rPr>
      <t xml:space="preserve"> (in widely meandering, multi-branched, or braided channels</t>
    </r>
    <r>
      <rPr>
        <u/>
        <sz val="10"/>
        <rFont val="Arial Narrow"/>
        <family val="2"/>
      </rPr>
      <t>)</t>
    </r>
    <r>
      <rPr>
        <sz val="10"/>
        <rFont val="Arial Narrow"/>
        <family val="2"/>
      </rPr>
      <t>.</t>
    </r>
  </si>
  <si>
    <r>
      <t xml:space="preserve">Bumps into </t>
    </r>
    <r>
      <rPr>
        <u/>
        <sz val="10"/>
        <rFont val="Arial Narrow"/>
        <family val="2"/>
      </rPr>
      <t>tree trunks and/or shrub stems</t>
    </r>
    <r>
      <rPr>
        <sz val="10"/>
        <rFont val="Arial Narrow"/>
        <family val="2"/>
      </rPr>
      <t xml:space="preserve"> and follows a fairly </t>
    </r>
    <r>
      <rPr>
        <u/>
        <sz val="10"/>
        <rFont val="Arial Narrow"/>
        <family val="2"/>
      </rPr>
      <t>indirect path</t>
    </r>
    <r>
      <rPr>
        <sz val="10"/>
        <rFont val="Arial Narrow"/>
        <family val="2"/>
      </rPr>
      <t xml:space="preserve">  (meandering, multi-branched, or braided) from entrance to exit.</t>
    </r>
  </si>
  <si>
    <t xml:space="preserve">Wetlands with no outlet, and wetlands where most surface water is impounded on site, should be considered flat (&lt;2%).  
For other wetlands, estimate gradient as the elevation difference between the inlet and outlet (if any) divided by the distance between them, or the difference between the highest and lowest points in the wetland divided by the distance between them. 
[WS,SR,PR,NR,CS,OE,AM,WBF,WBN] </t>
  </si>
  <si>
    <r>
      <t>The gradient from the lowest to highest point of land within the AA (</t>
    </r>
    <r>
      <rPr>
        <b/>
        <sz val="10"/>
        <rFont val="Arial Narrow"/>
        <family val="2"/>
      </rPr>
      <t xml:space="preserve">or </t>
    </r>
    <r>
      <rPr>
        <sz val="10"/>
        <rFont val="Arial Narrow"/>
        <family val="2"/>
      </rPr>
      <t>from outlet to inlet) is:</t>
    </r>
  </si>
  <si>
    <t>None of above is true, OR AA contains a hot spring. Some groundwater may nonetheless discharge to or flow through the wetland.</t>
  </si>
  <si>
    <r>
      <t>&gt;95% of the vegetated</t>
    </r>
    <r>
      <rPr>
        <b/>
        <sz val="10"/>
        <rFont val="Arial Narrow"/>
        <family val="2"/>
      </rPr>
      <t xml:space="preserve"> </t>
    </r>
    <r>
      <rPr>
        <sz val="10"/>
        <rFont val="Arial Narrow"/>
        <family val="2"/>
      </rPr>
      <t>part of the AA.</t>
    </r>
  </si>
  <si>
    <r>
      <t xml:space="preserve">Those species together comprise </t>
    </r>
    <r>
      <rPr>
        <u/>
        <sz val="10"/>
        <rFont val="Arial Narrow"/>
        <family val="2"/>
      </rPr>
      <t>more than half</t>
    </r>
    <r>
      <rPr>
        <sz val="10"/>
        <rFont val="Arial Narrow"/>
        <family val="2"/>
      </rPr>
      <t xml:space="preserve"> of the areal cover of </t>
    </r>
    <r>
      <rPr>
        <u/>
        <sz val="10"/>
        <rFont val="Arial Narrow"/>
        <family val="2"/>
      </rPr>
      <t>native</t>
    </r>
    <r>
      <rPr>
        <b/>
        <sz val="10"/>
        <rFont val="Arial Narrow"/>
        <family val="2"/>
      </rPr>
      <t xml:space="preserve"> </t>
    </r>
    <r>
      <rPr>
        <sz val="10"/>
        <rFont val="Arial Narrow"/>
        <family val="2"/>
      </rPr>
      <t xml:space="preserve">herbaceous plants at any time during the year, i.e., one dominant species or two co-dominants.  </t>
    </r>
    <r>
      <rPr>
        <b/>
        <sz val="10"/>
        <rFont val="Arial Narrow"/>
        <family val="2"/>
      </rPr>
      <t>Also mark this if &lt;20% of the vegetated cover is native species.</t>
    </r>
  </si>
  <si>
    <r>
      <t xml:space="preserve">Those species together comprise </t>
    </r>
    <r>
      <rPr>
        <u/>
        <sz val="10"/>
        <rFont val="Arial Narrow"/>
        <family val="2"/>
      </rPr>
      <t>less than half</t>
    </r>
    <r>
      <rPr>
        <sz val="10"/>
        <rFont val="Arial Narrow"/>
        <family val="2"/>
      </rPr>
      <t xml:space="preserve"> of the areal cover of </t>
    </r>
    <r>
      <rPr>
        <u/>
        <sz val="10"/>
        <rFont val="Arial Narrow"/>
        <family val="2"/>
      </rPr>
      <t>native</t>
    </r>
    <r>
      <rPr>
        <sz val="10"/>
        <rFont val="Arial Narrow"/>
        <family val="2"/>
      </rPr>
      <t xml:space="preserve"> herbaceous plants at any time during the year.</t>
    </r>
  </si>
  <si>
    <r>
      <t xml:space="preserve">There is evidence that grazing by domestic or wild animals -- or mowing (multiple times per year), plowing, herbicides, harvesting, or fire -- has </t>
    </r>
    <r>
      <rPr>
        <b/>
        <sz val="10"/>
        <rFont val="Arial Narrow"/>
        <family val="2"/>
      </rPr>
      <t>repeatedly</t>
    </r>
    <r>
      <rPr>
        <sz val="10"/>
        <rFont val="Arial Narrow"/>
        <family val="2"/>
      </rPr>
      <t xml:space="preserve"> reduced the AA's vegetation cover (plants that normally grows taller than 4") to</t>
    </r>
    <r>
      <rPr>
        <u/>
        <sz val="10"/>
        <rFont val="Arial Narrow"/>
        <family val="2"/>
      </rPr>
      <t xml:space="preserve"> less than 4 inches</t>
    </r>
    <r>
      <rPr>
        <sz val="10"/>
        <rFont val="Arial Narrow"/>
        <family val="2"/>
      </rPr>
      <t>, or has created an obvious browse line, over the following extent:</t>
    </r>
  </si>
  <si>
    <r>
      <t xml:space="preserve">Within the vegetated part of the AA, woody vegetation (trees, shrubs, </t>
    </r>
    <r>
      <rPr>
        <b/>
        <sz val="10"/>
        <rFont val="Arial Narrow"/>
        <family val="2"/>
      </rPr>
      <t>robust vines</t>
    </r>
    <r>
      <rPr>
        <sz val="10"/>
        <rFont val="Arial Narrow"/>
        <family val="2"/>
      </rPr>
      <t>) taller than 3 ft occupies:</t>
    </r>
  </si>
  <si>
    <r>
      <t xml:space="preserve">The number of horizontal wood pieces thicker than 4 inches that are </t>
    </r>
    <r>
      <rPr>
        <u/>
        <sz val="10"/>
        <rFont val="Arial Narrow"/>
        <family val="2"/>
      </rPr>
      <t>partly submerged</t>
    </r>
    <r>
      <rPr>
        <sz val="10"/>
        <rFont val="Arial Narrow"/>
        <family val="2"/>
      </rPr>
      <t xml:space="preserve"> during most of the spring or early summer, thus </t>
    </r>
    <r>
      <rPr>
        <u/>
        <sz val="10"/>
        <rFont val="Arial Narrow"/>
        <family val="2"/>
      </rPr>
      <t>potentially serving as basking sites</t>
    </r>
    <r>
      <rPr>
        <sz val="10"/>
        <rFont val="Arial Narrow"/>
        <family val="2"/>
      </rPr>
      <t xml:space="preserve"> for turtles, birds, or frogs and cover for fish is:</t>
    </r>
  </si>
  <si>
    <r>
      <t xml:space="preserve">The percentage of the vegetated area in the AA </t>
    </r>
    <r>
      <rPr>
        <u/>
        <sz val="10"/>
        <rFont val="Arial Narrow"/>
        <family val="2"/>
      </rPr>
      <t>or</t>
    </r>
    <r>
      <rPr>
        <sz val="10"/>
        <rFont val="Arial Narrow"/>
        <family val="2"/>
      </rPr>
      <t xml:space="preserve"> along its water edge (whichever has more) that contains nitrogen-fixing plants (e.g., alder, baltic rush, scotch broom, lupine, clover, alfalfa, other legumes) is:</t>
    </r>
  </si>
  <si>
    <r>
      <rPr>
        <b/>
        <sz val="10"/>
        <rFont val="Arial Narrow"/>
        <family val="2"/>
      </rPr>
      <t>Perennial cover</t>
    </r>
    <r>
      <rPr>
        <sz val="10"/>
        <rFont val="Arial Narrow"/>
        <family val="2"/>
      </rPr>
      <t xml:space="preserve">  - vegetation that includes wooded areas, native prairies, sagebrush,  as well as relatively unmanaged commercial lands in which the ground is disturbed less frequently than annually such as perennial ryegrass fields, hayfields, lightly grazed pastures, timber harvest areas, and rangeland.  
It </t>
    </r>
    <r>
      <rPr>
        <u/>
        <sz val="10"/>
        <rFont val="Arial Narrow"/>
        <family val="2"/>
      </rPr>
      <t>does not</t>
    </r>
    <r>
      <rPr>
        <sz val="10"/>
        <rFont val="Arial Narrow"/>
        <family val="2"/>
      </rPr>
      <t xml:space="preserve"> include water, row crops (vegetable, orchards, Christmas tree farms), residential areas, golf courses, recreational fields, pavement, bare soil, rock, bare sand, or gravel or dirt roads. 
 [WCv,SRv,PRv,INV,FA,AM,WBF,WBN,SBM,PD,POL,Sens,STR]</t>
    </r>
  </si>
  <si>
    <t>25 to &lt;50% of perennial cover.</t>
  </si>
  <si>
    <t>50 to &lt;75% of perennial cover.</t>
  </si>
  <si>
    <t>&gt;95% of perennial cover.</t>
  </si>
  <si>
    <r>
      <t xml:space="preserve">Consider the parts of the AA that go dry during a normal year. Viewed from </t>
    </r>
    <r>
      <rPr>
        <u/>
        <sz val="10"/>
        <rFont val="Arial Narrow"/>
        <family val="2"/>
      </rPr>
      <t>6 inches above the soil surface</t>
    </r>
    <r>
      <rPr>
        <sz val="10"/>
        <rFont val="Arial Narrow"/>
        <family val="2"/>
      </rPr>
      <t>, the condition in most of that area just before the year's longest inundation period begins is:</t>
    </r>
  </si>
  <si>
    <r>
      <rPr>
        <b/>
        <sz val="10"/>
        <rFont val="Arial Narrow"/>
        <family val="2"/>
      </rPr>
      <t>Little or no (&lt;5%</t>
    </r>
    <r>
      <rPr>
        <sz val="10"/>
        <rFont val="Arial Narrow"/>
        <family val="2"/>
      </rPr>
      <t>)</t>
    </r>
    <r>
      <rPr>
        <b/>
        <sz val="10"/>
        <rFont val="Arial Narrow"/>
        <family val="2"/>
      </rPr>
      <t xml:space="preserve"> bare ground</t>
    </r>
    <r>
      <rPr>
        <i/>
        <sz val="10"/>
        <rFont val="Arial Narrow"/>
        <family val="2"/>
      </rPr>
      <t xml:space="preserve"> </t>
    </r>
    <r>
      <rPr>
        <sz val="10"/>
        <rFont val="Arial Narrow"/>
        <family val="2"/>
      </rPr>
      <t xml:space="preserve">is visible between erect stems or under canopy </t>
    </r>
    <r>
      <rPr>
        <u/>
        <sz val="10"/>
        <rFont val="Arial Narrow"/>
        <family val="2"/>
      </rPr>
      <t>and</t>
    </r>
    <r>
      <rPr>
        <sz val="10"/>
        <rFont val="Arial Narrow"/>
        <family val="2"/>
      </rPr>
      <t xml:space="preserve"> there is little or no dead detached plant tisuse (thatch) remaining on top of the ground surface </t>
    </r>
    <r>
      <rPr>
        <u/>
        <sz val="10"/>
        <rFont val="Arial Narrow"/>
        <family val="2"/>
      </rPr>
      <t>and</t>
    </r>
    <r>
      <rPr>
        <sz val="10"/>
        <rFont val="Arial Narrow"/>
        <family val="2"/>
      </rPr>
      <t xml:space="preserve"> ground surface is extensively blanketed by moss, lichens, graminoids with great stem densities, or plants with ground-hugging foliage.  </t>
    </r>
  </si>
  <si>
    <r>
      <rPr>
        <b/>
        <sz val="10"/>
        <rFont val="Arial Narrow"/>
        <family val="2"/>
      </rPr>
      <t>Some (5-20%)</t>
    </r>
    <r>
      <rPr>
        <sz val="10"/>
        <rFont val="Arial Narrow"/>
        <family val="2"/>
      </rPr>
      <t xml:space="preserve"> bare ground or remaining thatch is visible.  Herbaceous plants have moderate stem densities and do not closely hug the ground.</t>
    </r>
  </si>
  <si>
    <r>
      <rPr>
        <b/>
        <sz val="10"/>
        <rFont val="Arial Narrow"/>
        <family val="2"/>
      </rPr>
      <t>Much (20-50%</t>
    </r>
    <r>
      <rPr>
        <sz val="10"/>
        <rFont val="Arial Narrow"/>
        <family val="2"/>
      </rPr>
      <t>) bare ground or thatch is visible.  Low stem density and/or tall plants with little living ground cover during early growing season.</t>
    </r>
  </si>
  <si>
    <r>
      <rPr>
        <b/>
        <sz val="10"/>
        <rFont val="Arial Narrow"/>
        <family val="2"/>
      </rPr>
      <t>Mostly (&gt;50%)</t>
    </r>
    <r>
      <rPr>
        <sz val="10"/>
        <rFont val="Arial Narrow"/>
        <family val="2"/>
      </rPr>
      <t xml:space="preserve"> bare ground or thatch.</t>
    </r>
  </si>
  <si>
    <t xml:space="preserve"> In parts of the AA that lack persistent water, the number of small pits, raised mounds, hummocks, boulders, upturned trees, animal burrows, islands, natural levees, wide soil cracks, and microdepressions is:</t>
  </si>
  <si>
    <r>
      <t xml:space="preserve">Based on digging into the substrate and examining the </t>
    </r>
    <r>
      <rPr>
        <u/>
        <sz val="10"/>
        <rFont val="Arial Narrow"/>
        <family val="2"/>
      </rPr>
      <t>surface layer</t>
    </r>
    <r>
      <rPr>
        <sz val="10"/>
        <rFont val="Arial Narrow"/>
        <family val="2"/>
      </rPr>
      <t xml:space="preserve"> of the soil (2 inch depth) that was mapped as being predominant, its composition (excluding </t>
    </r>
    <r>
      <rPr>
        <b/>
        <sz val="10"/>
        <rFont val="Arial Narrow"/>
        <family val="2"/>
      </rPr>
      <t>duff</t>
    </r>
    <r>
      <rPr>
        <sz val="10"/>
        <rFont val="Arial Narrow"/>
        <family val="2"/>
      </rPr>
      <t xml:space="preserve"> and living roots) is mostly:</t>
    </r>
  </si>
  <si>
    <t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t>
  </si>
  <si>
    <t>Most of the AA  is:</t>
  </si>
  <si>
    <t>Walking is physically possible in &gt;5% of the AA during most of year (e.g., free of deep water and dense shrub thickets).</t>
  </si>
  <si>
    <t>All or part of the AA (or an area within sight of the AA and within 100 ft) would be physically accessible to people in wheelchairs (e.g., paved and flat).</t>
  </si>
  <si>
    <t>&lt;300 ft and downslope from the AA or at same elevation.</t>
  </si>
  <si>
    <r>
      <rPr>
        <b/>
        <sz val="10"/>
        <rFont val="Arial Narrow"/>
        <family val="2"/>
      </rPr>
      <t xml:space="preserve">Mature forested wetland </t>
    </r>
    <r>
      <rPr>
        <sz val="10"/>
        <rFont val="Arial Narrow"/>
        <family val="2"/>
      </rPr>
      <t xml:space="preserve">(anywhere): a wetland in which mean diameter of trees (d.b.h., FACW and FAC species only) exceeds 18 inches, </t>
    </r>
    <r>
      <rPr>
        <u/>
        <sz val="10"/>
        <rFont val="Arial Narrow"/>
        <family val="2"/>
      </rPr>
      <t>and/or</t>
    </r>
    <r>
      <rPr>
        <sz val="10"/>
        <rFont val="Arial Narrow"/>
        <family val="2"/>
      </rPr>
      <t xml:space="preserve"> the average age of trees exceeds 80 years, </t>
    </r>
    <r>
      <rPr>
        <u/>
        <sz val="10"/>
        <rFont val="Arial Narrow"/>
        <family val="2"/>
      </rPr>
      <t xml:space="preserve">or </t>
    </r>
    <r>
      <rPr>
        <sz val="10"/>
        <rFont val="Arial Narrow"/>
        <family val="2"/>
      </rPr>
      <t>there are &gt;5 trees/acre with diameter &gt;32 inches.</t>
    </r>
  </si>
  <si>
    <t>Carex obnupta, Argentina egedii, Juncus lesueurii, J. nevadensis, J. falcatus, Sisyrinchium californicum, and/or Salix hookeriana 
 [PDv]</t>
  </si>
  <si>
    <r>
      <t xml:space="preserve">In the "Data" column, </t>
    </r>
    <r>
      <rPr>
        <b/>
        <i/>
        <sz val="10"/>
        <rFont val="Arial Narrow"/>
        <family val="2"/>
      </rPr>
      <t>place an X</t>
    </r>
    <r>
      <rPr>
        <i/>
        <sz val="10"/>
        <rFont val="Arial Narrow"/>
        <family val="2"/>
      </rPr>
      <t xml:space="preserve"> next to any item that is likely to have caused the</t>
    </r>
    <r>
      <rPr>
        <b/>
        <i/>
        <sz val="10"/>
        <rFont val="Arial Narrow"/>
        <family val="2"/>
      </rPr>
      <t xml:space="preserve"> timing</t>
    </r>
    <r>
      <rPr>
        <i/>
        <sz val="10"/>
        <rFont val="Arial Narrow"/>
        <family val="2"/>
      </rPr>
      <t xml:space="preserve"> of water inputs (but not necessarily their volume) to shift by hours, days, or weeks, becoming either </t>
    </r>
    <r>
      <rPr>
        <b/>
        <i/>
        <sz val="10"/>
        <rFont val="Arial Narrow"/>
        <family val="2"/>
      </rPr>
      <t>more muted</t>
    </r>
    <r>
      <rPr>
        <i/>
        <sz val="10"/>
        <rFont val="Arial Narrow"/>
        <family val="2"/>
      </rPr>
      <t xml:space="preserve"> (smaller or less frequent peaks spread over longer times, more temporal homogeneity of flow or water levels) </t>
    </r>
    <r>
      <rPr>
        <b/>
        <i/>
        <sz val="10"/>
        <rFont val="Arial Narrow"/>
        <family val="2"/>
      </rPr>
      <t>or more flashy</t>
    </r>
    <r>
      <rPr>
        <i/>
        <sz val="10"/>
        <rFont val="Arial Narrow"/>
        <family val="2"/>
      </rPr>
      <t xml:space="preserve"> (larger or more frequent spikes but over shorter times).  </t>
    </r>
  </si>
  <si>
    <r>
      <t>If</t>
    </r>
    <r>
      <rPr>
        <b/>
        <i/>
        <sz val="10"/>
        <rFont val="Arial Narrow"/>
        <family val="2"/>
      </rPr>
      <t xml:space="preserve"> any</t>
    </r>
    <r>
      <rPr>
        <i/>
        <sz val="10"/>
        <rFont val="Arial Narrow"/>
        <family val="2"/>
      </rPr>
      <t xml:space="preserve"> items were checked above, then for each row of the table below, you may assign points (3, 2, or 1).  However, if you believe the checked items had no measurable effect on the timing of water conditions in any part of the AA, then leave the "0's" for the scores in the following rows.  To estimate effects, contrast the current condition with the condition, if the checked items never occurred or were no longer present. </t>
    </r>
  </si>
  <si>
    <r>
      <t xml:space="preserve">If </t>
    </r>
    <r>
      <rPr>
        <b/>
        <i/>
        <sz val="10"/>
        <rFont val="Arial Narrow"/>
        <family val="2"/>
      </rPr>
      <t>any</t>
    </r>
    <r>
      <rPr>
        <i/>
        <sz val="10"/>
        <rFont val="Arial Narrow"/>
        <family val="2"/>
      </rPr>
      <t xml:space="preserve"> items were checked above, then for each row of the table below, you may assign points.  However, if you believe the checked items did not cumulatively expose the AA to significantly more nutrients, then leave the "0's" for the scores in the following rows.  To estimate effects, contrast the current condition with the condition if the checked items never occurred or were no longer present. </t>
    </r>
  </si>
  <si>
    <r>
      <t xml:space="preserve">If </t>
    </r>
    <r>
      <rPr>
        <b/>
        <i/>
        <sz val="10"/>
        <rFont val="Arial Narrow"/>
        <family val="2"/>
      </rPr>
      <t>any</t>
    </r>
    <r>
      <rPr>
        <i/>
        <sz val="10"/>
        <rFont val="Arial Narrow"/>
        <family val="2"/>
      </rPr>
      <t xml:space="preserve"> items were checked above, then for each row of the table below, you may assign points.  However, if you believe the checked items did not cumulatively expose the AA to significantly higher levels of contaminants and/or salts, then leave the "0's" for the scores in the following rows.  To estimate effects, contrast the current condition with the condition if the checked items never occurred or were no longer present. </t>
    </r>
  </si>
  <si>
    <r>
      <t xml:space="preserve">In the "Data" column, </t>
    </r>
    <r>
      <rPr>
        <b/>
        <i/>
        <sz val="10"/>
        <rFont val="Arial Narrow"/>
        <family val="2"/>
      </rPr>
      <t>place an X</t>
    </r>
    <r>
      <rPr>
        <i/>
        <sz val="10"/>
        <rFont val="Arial Narrow"/>
        <family val="2"/>
      </rPr>
      <t xml:space="preserve"> next to any item -- occurring in either the AA or its RCA -- that is likely to have accelerated the inputs of nutrients (nitrogen, phosphorus) to the AA.</t>
    </r>
  </si>
  <si>
    <r>
      <t xml:space="preserve">In the "Data" column, </t>
    </r>
    <r>
      <rPr>
        <b/>
        <i/>
        <sz val="10"/>
        <rFont val="Arial Narrow"/>
        <family val="2"/>
      </rPr>
      <t>place an X</t>
    </r>
    <r>
      <rPr>
        <i/>
        <sz val="10"/>
        <rFont val="Arial Narrow"/>
        <family val="2"/>
      </rPr>
      <t xml:space="preserve"> next to any item -- occurring in either the AA or its RCA -- that is likely to have accelerated the inputs of contaminants or salts to the AA.</t>
    </r>
  </si>
  <si>
    <r>
      <t xml:space="preserve">In the "Data" column, </t>
    </r>
    <r>
      <rPr>
        <b/>
        <i/>
        <sz val="10"/>
        <rFont val="Arial Narrow"/>
        <family val="2"/>
      </rPr>
      <t>place an X</t>
    </r>
    <r>
      <rPr>
        <i/>
        <sz val="10"/>
        <rFont val="Arial Narrow"/>
        <family val="2"/>
      </rPr>
      <t xml:space="preserve"> next to any item present in the RCA that is likely to have elevated the load of waterborne or windborne sediment reaching the AA from its RCA.  </t>
    </r>
  </si>
  <si>
    <r>
      <t xml:space="preserve">If </t>
    </r>
    <r>
      <rPr>
        <b/>
        <i/>
        <sz val="10"/>
        <rFont val="Arial Narrow"/>
        <family val="2"/>
      </rPr>
      <t>any</t>
    </r>
    <r>
      <rPr>
        <i/>
        <sz val="10"/>
        <rFont val="Arial Narrow"/>
        <family val="2"/>
      </rPr>
      <t xml:space="preserve"> items were checked above, then for each row of the table below you may assign points (3, 2, or 1) in the last column that describe the combined maximum effect of those items in increasing the amount or transport of sediment into the AA.  To estimate that, contrast it with the condition if checked items never occurred or were no longer present.  </t>
    </r>
  </si>
  <si>
    <r>
      <t xml:space="preserve">In the "Data" column, </t>
    </r>
    <r>
      <rPr>
        <b/>
        <i/>
        <sz val="10"/>
        <rFont val="Arial Narrow"/>
        <family val="2"/>
      </rPr>
      <t>place an X</t>
    </r>
    <r>
      <rPr>
        <i/>
        <sz val="10"/>
        <rFont val="Arial Narrow"/>
        <family val="2"/>
      </rPr>
      <t xml:space="preserve"> next to any item present in the AA that is likely to have compacted, eroded, or otherwise altered the AA's soil.</t>
    </r>
  </si>
  <si>
    <r>
      <t xml:space="preserve">If </t>
    </r>
    <r>
      <rPr>
        <b/>
        <i/>
        <sz val="10"/>
        <rFont val="Arial Narrow"/>
        <family val="2"/>
      </rPr>
      <t>any</t>
    </r>
    <r>
      <rPr>
        <i/>
        <sz val="10"/>
        <rFont val="Arial Narrow"/>
        <family val="2"/>
      </rPr>
      <t xml:space="preserve"> items were checked above, then for each row of the table below you may assign points (3, 2, or 1) in the last column that describe the combined maximum effect of those items in altering the AA's soils.  To estimate that, contrast it with the soil condition if checked items never occurred or were no longer present. </t>
    </r>
  </si>
  <si>
    <t>For a list of functions to which each question pertains, see bracketed codes in column E.  Codes for functions and their benefits are: WS= Water Storage,  WC= Water Cooling, SR= Sediment Retention, PR= Phosphorus Retention, NR= Nitrate Removal, CS= Carbon Sequestration, OE= Organic Export, INV= Invertebrates, FA= Anadromous Fish, FR= Resident Fish, AM= Amphibians, WBF= Feeding Waterbirds, WBN= Nesting Waterbirds, SBM= Songbirds, Mammals, &amp; Raptors, POL= Pollinators, PH= Plant Habitat, PU= Public Use &amp; Recognition, EC= Ecological Condition, Sens= Sensitivity, STR= Stressors.</t>
  </si>
  <si>
    <r>
      <rPr>
        <b/>
        <sz val="16"/>
        <rFont val="Arial Narrow"/>
        <family val="2"/>
      </rPr>
      <t xml:space="preserve">Tidal Data 
Form T </t>
    </r>
    <r>
      <rPr>
        <b/>
        <sz val="12"/>
        <rFont val="Arial Narrow"/>
        <family val="2"/>
      </rPr>
      <t xml:space="preserve">
</t>
    </r>
    <r>
      <rPr>
        <b/>
        <sz val="16"/>
        <rFont val="Arial Narrow"/>
        <family val="2"/>
      </rPr>
      <t xml:space="preserve">ORWAP V 3.1 </t>
    </r>
    <r>
      <rPr>
        <b/>
        <sz val="12"/>
        <rFont val="Arial Narrow"/>
        <family val="2"/>
      </rPr>
      <t xml:space="preserve"> </t>
    </r>
  </si>
  <si>
    <t>Office Data 
Form OF
ORWAP V 3.1</t>
  </si>
  <si>
    <t xml:space="preserve">For guidance and detailed descriptions of how Excel calculates the numbers in the Scores worksheet, see the Technical Supplement and Appendix B of the Manual.  For a documented rationale for each indicator, open each of the worksheet tabs at the bottom (one for each function or value) and see column H.  </t>
  </si>
  <si>
    <t xml:space="preserve">For guidance and detailed descriptions of how Excel calculates the numbers in the Scores worksheet, see the Technical Supplement and Appendix B of the accompanying Manual.  For a documented rationale for each indicator, open each of the worksheet tabs at the bottom (one for each function or value) and see column H.  </t>
  </si>
  <si>
    <t xml:space="preserve"> For a list of functions to which each question pertains, see bracketed codes in column E.  Codes for functions and their benefits are: WS= Water Storage,  WC= Water Cooling, SR= Sediment Retention, PR= Phosphorus Retention, NR= Nitrate Removal, CS= Carbon Sequestration, OE= Organic Export, INV= Invertebrates, FA= Anadromous Fish, FR= Resident Fish, AM= Amphibians, WBF= Feeding Waterbirds, WBN= Nesting Waterbirds, SBM= Songbirds, Mammals, &amp; Raptors, POL= Pollinators, PH= Plant Habitat, PU= Public Use &amp; Recognition, EC= Ecological Condition, Sens= Sensitivity, STR= Stressors.</t>
  </si>
  <si>
    <t xml:space="preserve">For guidance and detailed descriptions of how Excel calculates the numbers in the Scores worksheet, see the Technical Supplement and Appendix B of the Manual.  For a documented rationale for each indicator, open each of the worksheet tabs at the bottom (one for each function or value) and see column H. </t>
  </si>
  <si>
    <r>
      <rPr>
        <sz val="10"/>
        <rFont val="Arial Narrow"/>
        <family val="2"/>
      </rPr>
      <t xml:space="preserve">This is a </t>
    </r>
    <r>
      <rPr>
        <b/>
        <sz val="10"/>
        <rFont val="Arial Narrow"/>
        <family val="2"/>
      </rPr>
      <t>tidal</t>
    </r>
    <r>
      <rPr>
        <sz val="10"/>
        <rFont val="Arial Narrow"/>
        <family val="2"/>
      </rPr>
      <t xml:space="preserve"> wetland (either freshwater or saltwater).  </t>
    </r>
    <r>
      <rPr>
        <b/>
        <sz val="10"/>
        <rFont val="Arial Narrow"/>
        <family val="2"/>
      </rPr>
      <t>Enter 1, if true and continue.</t>
    </r>
  </si>
  <si>
    <r>
      <rPr>
        <b/>
        <sz val="10"/>
        <rFont val="Arial Narrow"/>
        <family val="2"/>
      </rPr>
      <t>Tidal wetland</t>
    </r>
    <r>
      <rPr>
        <sz val="10"/>
        <rFont val="Arial Narrow"/>
        <family val="2"/>
      </rPr>
      <t xml:space="preserve"> - a wetland that receives tidal water at least once during a normal year, regardless of salinity, and dominated by emergent or woody vegetation.  Tidal flooding occurs on a 6-hour cycle DURING THE TIME it is flooded by tide, which may be as infreuent as once per year.  If NWI map shows the wetland with a code beginning with E (for estuarine), assume the wetland to be tidal. However, some wetlands lacking that code are also tidal.</t>
    </r>
  </si>
  <si>
    <t>Brackish (0.5 to &lt;5 ppt salinity, "oligohaline").</t>
  </si>
  <si>
    <r>
      <t xml:space="preserve">At average daily </t>
    </r>
    <r>
      <rPr>
        <u/>
        <sz val="10"/>
        <rFont val="Arial Narrow"/>
        <family val="2"/>
        <scheme val="minor"/>
      </rPr>
      <t>HIGH tide</t>
    </r>
    <r>
      <rPr>
        <sz val="10"/>
        <rFont val="Arial Narrow"/>
        <family val="2"/>
        <scheme val="minor"/>
      </rPr>
      <t xml:space="preserve"> condition, the width of the</t>
    </r>
    <r>
      <rPr>
        <b/>
        <sz val="10"/>
        <rFont val="Arial Narrow"/>
        <family val="2"/>
        <scheme val="minor"/>
      </rPr>
      <t xml:space="preserve"> vegetated wetland</t>
    </r>
    <r>
      <rPr>
        <sz val="10"/>
        <rFont val="Arial Narrow"/>
        <family val="2"/>
        <scheme val="minor"/>
      </rPr>
      <t xml:space="preserve"> that separates adjoining uplands (if any) from subtidal water within or adjoining the AA, is predominantly:</t>
    </r>
  </si>
  <si>
    <r>
      <t xml:space="preserve">At average daily </t>
    </r>
    <r>
      <rPr>
        <u/>
        <sz val="10"/>
        <rFont val="Arial Narrow"/>
        <family val="2"/>
        <scheme val="minor"/>
      </rPr>
      <t>LOW tide</t>
    </r>
    <r>
      <rPr>
        <sz val="10"/>
        <rFont val="Arial Narrow"/>
        <family val="2"/>
        <scheme val="minor"/>
      </rPr>
      <t xml:space="preserve"> condition, the width of the </t>
    </r>
    <r>
      <rPr>
        <b/>
        <sz val="10"/>
        <rFont val="Arial Narrow"/>
        <family val="2"/>
        <scheme val="minor"/>
      </rPr>
      <t>vegetated wetland</t>
    </r>
    <r>
      <rPr>
        <sz val="10"/>
        <rFont val="Arial Narrow"/>
        <family val="2"/>
        <scheme val="minor"/>
      </rPr>
      <t xml:space="preserve"> that separates adjoining uplands (if any) from subtidal water within or adjoining the AA, is predominantly:</t>
    </r>
  </si>
  <si>
    <r>
      <rPr>
        <b/>
        <sz val="10"/>
        <rFont val="Arial Narrow"/>
        <family val="2"/>
      </rPr>
      <t>Impeded</t>
    </r>
    <r>
      <rPr>
        <sz val="10"/>
        <rFont val="Arial Narrow"/>
        <family val="2"/>
      </rPr>
      <t xml:space="preserve"> partially by a pipe, culvert, narrowly breached dike, berm, beaver dam, or other obstruction (other than natural topography).</t>
    </r>
  </si>
  <si>
    <t>50 to 95%.</t>
  </si>
  <si>
    <t>1000 to 10,000 sq. ft. within AA.</t>
  </si>
  <si>
    <t>1 to &lt;3%</t>
  </si>
  <si>
    <t>3 to 6%</t>
  </si>
  <si>
    <t>1 to &lt;10%.</t>
  </si>
  <si>
    <t>10 to &lt;25%.</t>
  </si>
  <si>
    <t>25 &lt;50%.</t>
  </si>
  <si>
    <t>75 to 90%.</t>
  </si>
  <si>
    <t>1 to 2 miles.</t>
  </si>
  <si>
    <t>5 to &lt;30 ft.</t>
  </si>
  <si>
    <t>30 to &lt;50 ft.</t>
  </si>
  <si>
    <t>50 to &lt;100 ft.</t>
  </si>
  <si>
    <t>100 to 300 ft.</t>
  </si>
  <si>
    <t>2 to &lt;5%.</t>
  </si>
  <si>
    <t>5 to 10%.</t>
  </si>
  <si>
    <r>
      <t xml:space="preserve">The extent of mudflats or shortgrass meadows within the AA that meet the definition of </t>
    </r>
    <r>
      <rPr>
        <b/>
        <sz val="10"/>
        <rFont val="Arial Narrow"/>
        <family val="2"/>
      </rPr>
      <t>shorebird habitat</t>
    </r>
    <r>
      <rPr>
        <sz val="10"/>
        <rFont val="Arial Narrow"/>
        <family val="2"/>
      </rPr>
      <t xml:space="preserve"> (column E) for at least 3 months during the period of late summer through the following May is:</t>
    </r>
  </si>
  <si>
    <r>
      <t>At average daily</t>
    </r>
    <r>
      <rPr>
        <u/>
        <sz val="10"/>
        <rFont val="Arial Narrow"/>
        <family val="2"/>
        <scheme val="minor"/>
      </rPr>
      <t xml:space="preserve"> high tide</t>
    </r>
    <r>
      <rPr>
        <sz val="10"/>
        <rFont val="Arial Narrow"/>
        <family val="2"/>
        <scheme val="minor"/>
      </rPr>
      <t xml:space="preserve">, the percentage of the AA's </t>
    </r>
    <r>
      <rPr>
        <u/>
        <sz val="10"/>
        <rFont val="Arial Narrow"/>
        <family val="2"/>
      </rPr>
      <t>water surface</t>
    </r>
    <r>
      <rPr>
        <sz val="10"/>
        <rFont val="Arial Narrow"/>
        <family val="2"/>
      </rPr>
      <t xml:space="preserve"> that is overhung by vegetation within the AA is:</t>
    </r>
  </si>
  <si>
    <r>
      <t xml:space="preserve">At average daily </t>
    </r>
    <r>
      <rPr>
        <u/>
        <sz val="10"/>
        <rFont val="Arial Narrow"/>
        <family val="2"/>
        <scheme val="minor"/>
      </rPr>
      <t>low tide</t>
    </r>
    <r>
      <rPr>
        <sz val="10"/>
        <rFont val="Arial Narrow"/>
        <family val="2"/>
        <scheme val="minor"/>
      </rPr>
      <t xml:space="preserve">, the percentage of the AA's </t>
    </r>
    <r>
      <rPr>
        <u/>
        <sz val="10"/>
        <rFont val="Arial Narrow"/>
        <family val="2"/>
      </rPr>
      <t>water surface</t>
    </r>
    <r>
      <rPr>
        <sz val="10"/>
        <rFont val="Arial Narrow"/>
        <family val="2"/>
      </rPr>
      <t xml:space="preserve"> that is overhung by vegetation within the AA is:</t>
    </r>
  </si>
  <si>
    <r>
      <t xml:space="preserve">According to the ORWAP Report, this AA is located in one of the HUCs that are listed as having a large diversity, area, or number of wetlands relative to the area of the HUC.  </t>
    </r>
    <r>
      <rPr>
        <b/>
        <sz val="10"/>
        <rFont val="Arial Narrow"/>
        <family val="2"/>
      </rPr>
      <t xml:space="preserve"> Select </t>
    </r>
    <r>
      <rPr>
        <b/>
        <u/>
        <sz val="10"/>
        <rFont val="Arial Narrow"/>
        <family val="2"/>
      </rPr>
      <t xml:space="preserve">All </t>
    </r>
    <r>
      <rPr>
        <b/>
        <sz val="10"/>
        <rFont val="Arial Narrow"/>
        <family val="2"/>
      </rPr>
      <t>of the following that are true:</t>
    </r>
  </si>
  <si>
    <r>
      <rPr>
        <b/>
        <sz val="10"/>
        <rFont val="Arial Narrow"/>
        <family val="2"/>
      </rPr>
      <t xml:space="preserve">Select </t>
    </r>
    <r>
      <rPr>
        <b/>
        <u/>
        <sz val="10"/>
        <rFont val="Arial Narrow"/>
        <family val="2"/>
      </rPr>
      <t xml:space="preserve">All </t>
    </r>
    <r>
      <rPr>
        <b/>
        <sz val="10"/>
        <rFont val="Arial Narrow"/>
        <family val="2"/>
      </rPr>
      <t>that apply</t>
    </r>
    <r>
      <rPr>
        <sz val="10"/>
        <rFont val="Arial Narrow"/>
        <family val="2"/>
      </rPr>
      <t>:</t>
    </r>
  </si>
  <si>
    <t>Select first one that applies:</t>
  </si>
  <si>
    <r>
      <t>Determine which</t>
    </r>
    <r>
      <rPr>
        <u/>
        <sz val="10"/>
        <rFont val="Arial Narrow"/>
        <family val="2"/>
      </rPr>
      <t xml:space="preserve"> two native</t>
    </r>
    <r>
      <rPr>
        <sz val="10"/>
        <rFont val="Arial Narrow"/>
        <family val="2"/>
      </rPr>
      <t xml:space="preserve"> herbaceous (forb, fern, and graminoid) species comprise the greatest portion of the herbaceous cover that is unshaded by a woody canopy. </t>
    </r>
    <r>
      <rPr>
        <b/>
        <sz val="10"/>
        <rFont val="Arial Narrow"/>
        <family val="2"/>
      </rPr>
      <t xml:space="preserve"> Then select one:</t>
    </r>
  </si>
  <si>
    <r>
      <t xml:space="preserve">Does the AA contain, or is it part of, any of these wetland types?  </t>
    </r>
    <r>
      <rPr>
        <b/>
        <sz val="10"/>
        <rFont val="Arial Narrow"/>
        <family val="2"/>
      </rPr>
      <t xml:space="preserve">Select </t>
    </r>
    <r>
      <rPr>
        <b/>
        <u/>
        <sz val="10"/>
        <rFont val="Arial Narrow"/>
        <family val="2"/>
      </rPr>
      <t>All</t>
    </r>
    <r>
      <rPr>
        <b/>
        <sz val="10"/>
        <rFont val="Arial Narrow"/>
        <family val="2"/>
      </rPr>
      <t xml:space="preserve"> that apply.  </t>
    </r>
  </si>
  <si>
    <r>
      <rPr>
        <b/>
        <sz val="10"/>
        <rFont val="Arial Narrow"/>
        <family val="2"/>
      </rPr>
      <t>Select only the</t>
    </r>
    <r>
      <rPr>
        <b/>
        <u/>
        <sz val="10"/>
        <rFont val="Arial Narrow"/>
        <family val="2"/>
      </rPr>
      <t xml:space="preserve"> first</t>
    </r>
    <r>
      <rPr>
        <b/>
        <sz val="10"/>
        <rFont val="Arial Narrow"/>
        <family val="2"/>
      </rPr>
      <t xml:space="preserve"> statement</t>
    </r>
    <r>
      <rPr>
        <sz val="10"/>
        <rFont val="Arial Narrow"/>
        <family val="2"/>
      </rPr>
      <t xml:space="preserve"> that is true:</t>
    </r>
  </si>
  <si>
    <r>
      <t xml:space="preserve">The living vegetation form that occupies </t>
    </r>
    <r>
      <rPr>
        <u/>
        <sz val="10"/>
        <rFont val="Arial Narrow"/>
        <family val="2"/>
      </rPr>
      <t xml:space="preserve">the largest part </t>
    </r>
    <r>
      <rPr>
        <sz val="10"/>
        <rFont val="Arial Narrow"/>
        <family val="2"/>
      </rPr>
      <t>of the AA's vegetative cover in late summer is:</t>
    </r>
  </si>
  <si>
    <t>one.</t>
  </si>
  <si>
    <t>20 to &lt;40% of the AA's vegetated area.</t>
  </si>
  <si>
    <t>40 to &lt;60% of the AA's vegetated area.</t>
  </si>
  <si>
    <t>60 to 80% of the AA's vegetated area.</t>
  </si>
  <si>
    <t>0.01 to &lt;0.10 acres (3,920 sq. ft).</t>
  </si>
  <si>
    <t>0.10 to &lt;0.50 acres (21,340 sq. ft).</t>
  </si>
  <si>
    <t>0.50 to &lt;1 acres.</t>
  </si>
  <si>
    <t>1 to &lt;5 acres.</t>
  </si>
  <si>
    <t>5 to &lt;50 acres.</t>
  </si>
  <si>
    <t>50 to &lt;640 acres (1 sq. mi).</t>
  </si>
  <si>
    <t>640 to &lt;1000 acres .</t>
  </si>
  <si>
    <t>1000 to 2500 acres.</t>
  </si>
  <si>
    <r>
      <t>For the wetland as a whole,</t>
    </r>
    <r>
      <rPr>
        <b/>
        <sz val="10"/>
        <rFont val="Arial Narrow"/>
        <family val="2"/>
      </rPr>
      <t xml:space="preserve"> emergent</t>
    </r>
    <r>
      <rPr>
        <sz val="10"/>
        <rFont val="Arial Narrow"/>
        <family val="2"/>
      </rPr>
      <t xml:space="preserve"> plants cumulatively occupy an annual maximum of:</t>
    </r>
  </si>
  <si>
    <t>50 to 95% of the herbaceous part of the AA.</t>
  </si>
  <si>
    <t>Mostly (&gt;50% cover) non-native species AND &lt;10% of the herbaceous cover is invasive species.</t>
  </si>
  <si>
    <t>Mostly (50-80% cover) native species.</t>
  </si>
  <si>
    <t>Overwhelmingly (&gt;80% cover) native species.</t>
  </si>
  <si>
    <r>
      <t>Among the more common invaders in or near tidal wetlands of the Oregon Coast are creeping bentgrass (</t>
    </r>
    <r>
      <rPr>
        <i/>
        <sz val="10"/>
        <rFont val="Arial Narrow"/>
        <family val="2"/>
      </rPr>
      <t>Agrostis stolonifera</t>
    </r>
    <r>
      <rPr>
        <sz val="10"/>
        <rFont val="Arial Narrow"/>
        <family val="2"/>
      </rPr>
      <t>), reed canarygrass (</t>
    </r>
    <r>
      <rPr>
        <i/>
        <sz val="10"/>
        <rFont val="Arial Narrow"/>
        <family val="2"/>
      </rPr>
      <t>Phalaris arundinacea</t>
    </r>
    <r>
      <rPr>
        <sz val="10"/>
        <rFont val="Arial Narrow"/>
        <family val="2"/>
      </rPr>
      <t>), brass-buttons (</t>
    </r>
    <r>
      <rPr>
        <i/>
        <sz val="10"/>
        <rFont val="Arial Narrow"/>
        <family val="2"/>
      </rPr>
      <t>Cotula coronopifolia</t>
    </r>
    <r>
      <rPr>
        <sz val="10"/>
        <rFont val="Arial Narrow"/>
        <family val="2"/>
      </rPr>
      <t>), and Japanese eelgrass (</t>
    </r>
    <r>
      <rPr>
        <i/>
        <sz val="10"/>
        <rFont val="Arial Narrow"/>
        <family val="2"/>
      </rPr>
      <t>Zostera japonica</t>
    </r>
    <r>
      <rPr>
        <sz val="10"/>
        <rFont val="Arial Narrow"/>
        <family val="2"/>
      </rPr>
      <t xml:space="preserve">) (Adamus 2005, Weilhoefer et al. 2013). 
In the </t>
    </r>
    <r>
      <rPr>
        <u/>
        <sz val="10"/>
        <rFont val="Arial Narrow"/>
        <family val="2"/>
      </rPr>
      <t>ORWAP_SuppInfo file</t>
    </r>
    <r>
      <rPr>
        <sz val="10"/>
        <rFont val="Arial Narrow"/>
        <family val="2"/>
      </rPr>
      <t xml:space="preserve">, see P_Invas worksheet for full list of Oregon invasives and see P_Exo for non-native species list.  
[PD,Sens,EC] </t>
    </r>
  </si>
  <si>
    <r>
      <rPr>
        <b/>
        <u/>
        <sz val="10"/>
        <rFont val="Arial Narrow"/>
        <family val="2"/>
      </rPr>
      <t>Note</t>
    </r>
    <r>
      <rPr>
        <b/>
        <sz val="10"/>
        <rFont val="Arial Narrow"/>
        <family val="2"/>
      </rPr>
      <t xml:space="preserve"> for the next four questions</t>
    </r>
    <r>
      <rPr>
        <sz val="10"/>
        <rFont val="Arial Narrow"/>
        <family val="2"/>
      </rPr>
      <t xml:space="preserve">: If the AA lacks an upland edge, evaluate based on the AA's </t>
    </r>
    <r>
      <rPr>
        <u/>
        <sz val="10"/>
        <rFont val="Arial Narrow"/>
        <family val="2"/>
      </rPr>
      <t>entire</t>
    </r>
    <r>
      <rPr>
        <sz val="10"/>
        <rFont val="Arial Narrow"/>
        <family val="2"/>
      </rPr>
      <t xml:space="preserve"> perimeter, and moving outward into whatever areas are adjacent.  In many situations, these questions are best answered by measuring from aerial images and/or topographic maps.</t>
    </r>
  </si>
  <si>
    <t>75 to 95%.</t>
  </si>
  <si>
    <t>100  to 300 ft.</t>
  </si>
  <si>
    <t>75 to 95% of perennial cover.</t>
  </si>
  <si>
    <t>25 - 50%.</t>
  </si>
  <si>
    <r>
      <t xml:space="preserve">Along the </t>
    </r>
    <r>
      <rPr>
        <u/>
        <sz val="10"/>
        <rFont val="Arial Narrow"/>
        <family val="2"/>
      </rPr>
      <t>greatest portion</t>
    </r>
    <r>
      <rPr>
        <sz val="10"/>
        <rFont val="Arial Narrow"/>
        <family val="2"/>
      </rPr>
      <t xml:space="preserve"> of the AA's </t>
    </r>
    <r>
      <rPr>
        <u/>
        <sz val="10"/>
        <rFont val="Arial Narrow"/>
        <family val="2"/>
      </rPr>
      <t>upland edge</t>
    </r>
    <r>
      <rPr>
        <sz val="10"/>
        <rFont val="Arial Narrow"/>
        <family val="2"/>
      </rPr>
      <t xml:space="preserve">, the width (not necessarily the maximum width) of </t>
    </r>
    <r>
      <rPr>
        <b/>
        <sz val="10"/>
        <rFont val="Arial Narrow"/>
        <family val="2"/>
      </rPr>
      <t>perennial cover</t>
    </r>
    <r>
      <rPr>
        <sz val="10"/>
        <rFont val="Arial Narrow"/>
        <family val="2"/>
      </rPr>
      <t xml:space="preserve"> taller than 6 inches during most of the growing season and extending upslope from the AA until mostly shorter or non-perennial cover is reached is:</t>
    </r>
  </si>
  <si>
    <t>Impervious surface ( e.g., paved road, parking lot, building, exposed rock).</t>
  </si>
  <si>
    <t>Bare pervious surface (e.g., recent clearcut, landslide, unpaved road, dike, dunes).</t>
  </si>
  <si>
    <t>1 to &lt;5% of the AA (grazing or the other activities occur but vegetation height effects are mostly unnoticeable).</t>
  </si>
  <si>
    <r>
      <rPr>
        <b/>
        <sz val="10"/>
        <rFont val="Arial Narrow"/>
        <family val="2"/>
      </rPr>
      <t>Little or no (&lt;5%</t>
    </r>
    <r>
      <rPr>
        <sz val="10"/>
        <rFont val="Arial Narrow"/>
        <family val="2"/>
      </rPr>
      <t xml:space="preserve">) </t>
    </r>
    <r>
      <rPr>
        <b/>
        <sz val="10"/>
        <rFont val="Arial Narrow"/>
        <family val="2"/>
      </rPr>
      <t xml:space="preserve">bare ground </t>
    </r>
    <r>
      <rPr>
        <sz val="10"/>
        <rFont val="Arial Narrow"/>
        <family val="2"/>
      </rPr>
      <t xml:space="preserve">is visible between erect stems or under canopy and there is little or no dead detached plant tissue (thatch) remaining on top of the ground surface and ground surface is extensively blanketed by graminoids with great stem densities or by plants with ground-hugging foliage.  </t>
    </r>
  </si>
  <si>
    <r>
      <rPr>
        <b/>
        <sz val="10"/>
        <rFont val="Arial Narrow"/>
        <family val="2"/>
      </rPr>
      <t xml:space="preserve">Some (5-20%) </t>
    </r>
    <r>
      <rPr>
        <sz val="10"/>
        <rFont val="Arial Narrow"/>
        <family val="2"/>
      </rPr>
      <t>bare ground or remaining thatch is visible.  Herbaceous plants have moderate stem densities and do not closely hug the ground.</t>
    </r>
  </si>
  <si>
    <r>
      <rPr>
        <b/>
        <sz val="10"/>
        <rFont val="Arial Narrow"/>
        <family val="2"/>
      </rPr>
      <t>Much (20-50%)</t>
    </r>
    <r>
      <rPr>
        <sz val="10"/>
        <rFont val="Arial Narrow"/>
        <family val="2"/>
      </rPr>
      <t xml:space="preserve"> bare ground or thatch is visible.  Low stem density and/or tall plants with little living ground cover during early growing season.</t>
    </r>
  </si>
  <si>
    <r>
      <t xml:space="preserve">Few or none (minimal </t>
    </r>
    <r>
      <rPr>
        <b/>
        <sz val="10"/>
        <rFont val="Arial Narrow"/>
        <family val="2"/>
      </rPr>
      <t>microtopography</t>
    </r>
    <r>
      <rPr>
        <sz val="10"/>
        <rFont val="Arial Narrow"/>
        <family val="2"/>
      </rPr>
      <t>; &lt;1% of the area that isn't persistently inundated); e.g., many flat sites having a single hydroperiod.</t>
    </r>
  </si>
  <si>
    <r>
      <t xml:space="preserve">In the </t>
    </r>
    <r>
      <rPr>
        <u/>
        <sz val="10"/>
        <rFont val="Arial Narrow"/>
        <family val="2"/>
      </rPr>
      <t>high marsh</t>
    </r>
    <r>
      <rPr>
        <sz val="10"/>
        <rFont val="Arial Narrow"/>
        <family val="2"/>
      </rPr>
      <t xml:space="preserve"> (flooded less than daily),</t>
    </r>
    <r>
      <rPr>
        <sz val="10"/>
        <color rgb="FFFF0000"/>
        <rFont val="Arial Narrow"/>
        <family val="2"/>
      </rPr>
      <t xml:space="preserve"> </t>
    </r>
    <r>
      <rPr>
        <sz val="10"/>
        <rFont val="Arial Narrow"/>
        <family val="2"/>
      </rPr>
      <t>the number of small pits, raised mounds, hummocks, boulders, upturned trees, islands, natural levees, wide soil cracks, and microdepressions is:</t>
    </r>
  </si>
  <si>
    <t xml:space="preserve">The AA was originally a wetland (tidal or nontidal), was artificially drained for many years (and was not a nontidal wetland during that time), and has since had its water regime partly or wholly restored or rehabilitated (e.g., by ditch plugs, berms, tile breakage, non-maintenance).   </t>
  </si>
  <si>
    <r>
      <t xml:space="preserve">There is evidence that grazing by domestic or wild animals -- or mowing (multiple times per year), plowing, herbicides, or harvesting -- has </t>
    </r>
    <r>
      <rPr>
        <b/>
        <sz val="10"/>
        <rFont val="Arial Narrow"/>
        <family val="2"/>
      </rPr>
      <t>repeatedly</t>
    </r>
    <r>
      <rPr>
        <sz val="10"/>
        <rFont val="Arial Narrow"/>
        <family val="2"/>
      </rPr>
      <t xml:space="preserve"> reduced the AA's vegetation cover (plants that normally grows taller than 4 inches) to</t>
    </r>
    <r>
      <rPr>
        <u/>
        <sz val="10"/>
        <rFont val="Arial Narrow"/>
        <family val="2"/>
      </rPr>
      <t xml:space="preserve"> less than 4"</t>
    </r>
    <r>
      <rPr>
        <sz val="10"/>
        <rFont val="Arial Narrow"/>
        <family val="2"/>
      </rPr>
      <t xml:space="preserve"> over the following extent:</t>
    </r>
  </si>
  <si>
    <t>[SRv, PRv, NRv, SEN]</t>
  </si>
  <si>
    <r>
      <t xml:space="preserve">Viewed from </t>
    </r>
    <r>
      <rPr>
        <u/>
        <sz val="10"/>
        <rFont val="Arial Narrow"/>
        <family val="2"/>
      </rPr>
      <t>6 inches</t>
    </r>
    <r>
      <rPr>
        <sz val="10"/>
        <rFont val="Arial Narrow"/>
        <family val="2"/>
      </rPr>
      <t xml:space="preserve"> above the soil surface, the condition in most of the tidal wetland is:</t>
    </r>
  </si>
  <si>
    <t>All or part of the AA (or an area within sight of the AA and within 30 m) would be physically accessible to people in wheelchairs (e.g., paved and flat).</t>
  </si>
  <si>
    <t>50 to 95% with or without inhabited building nearby.</t>
  </si>
  <si>
    <t>5 &lt;50% and no inhabited building is within 300 ft of the AA.</t>
  </si>
  <si>
    <r>
      <t xml:space="preserve">Recent evidence was found </t>
    </r>
    <r>
      <rPr>
        <u/>
        <sz val="10"/>
        <rFont val="Arial Narrow"/>
        <family val="2"/>
      </rPr>
      <t>within the AA</t>
    </r>
    <r>
      <rPr>
        <sz val="10"/>
        <rFont val="Arial Narrow"/>
        <family val="2"/>
      </rPr>
      <t xml:space="preserve"> of the following potentially-sustainable consumptive uses.  
</t>
    </r>
    <r>
      <rPr>
        <b/>
        <sz val="10"/>
        <rFont val="Arial Narrow"/>
        <family val="2"/>
      </rPr>
      <t xml:space="preserve">Select </t>
    </r>
    <r>
      <rPr>
        <b/>
        <u/>
        <sz val="10"/>
        <rFont val="Arial Narrow"/>
        <family val="2"/>
      </rPr>
      <t>All</t>
    </r>
    <r>
      <rPr>
        <b/>
        <sz val="10"/>
        <rFont val="Arial Narrow"/>
        <family val="2"/>
      </rPr>
      <t xml:space="preserve"> that apply.</t>
    </r>
  </si>
  <si>
    <r>
      <t xml:space="preserve">An initial indication of ownership can be found on the </t>
    </r>
    <r>
      <rPr>
        <u/>
        <sz val="10"/>
        <rFont val="Arial Narrow"/>
        <family val="2"/>
      </rPr>
      <t>ORWAP Map Viewer</t>
    </r>
    <r>
      <rPr>
        <sz val="10"/>
        <rFont val="Arial Narrow"/>
        <family val="2"/>
      </rPr>
      <t xml:space="preserve"> under the Land Ownership layer.  However, it is advisable to ask local sources or use local maps with higher precision. 
 [PUv]</t>
    </r>
  </si>
  <si>
    <t>Answer to the best of your knowledge.  Sources for information include the property owner, DSL, and/or the ACOE. 
[PUv]</t>
  </si>
  <si>
    <r>
      <t xml:space="preserve">Locations of some restoration wetlands can be found on the </t>
    </r>
    <r>
      <rPr>
        <u/>
        <sz val="10"/>
        <rFont val="Arial Narrow"/>
        <family val="2"/>
      </rPr>
      <t>ORWAP Map Viewer</t>
    </r>
    <r>
      <rPr>
        <sz val="10"/>
        <rFont val="Arial Narrow"/>
        <family val="2"/>
      </rPr>
      <t xml:space="preserve"> under the Restoration heading. Another potential source is the </t>
    </r>
    <r>
      <rPr>
        <u/>
        <sz val="10"/>
        <rFont val="Arial Narrow"/>
        <family val="2"/>
      </rPr>
      <t>Conservation Registry</t>
    </r>
    <r>
      <rPr>
        <sz val="10"/>
        <rFont val="Arial Narrow"/>
        <family val="2"/>
      </rPr>
      <t>: http://or.conservationregistry.org/      [PUv]</t>
    </r>
  </si>
  <si>
    <r>
      <t>Locations of some restoration wetlands can be found on the</t>
    </r>
    <r>
      <rPr>
        <u/>
        <sz val="10"/>
        <rFont val="Arial Narrow"/>
        <family val="2"/>
      </rPr>
      <t xml:space="preserve"> ORWAP Map Viewer</t>
    </r>
    <r>
      <rPr>
        <sz val="10"/>
        <rFont val="Arial Narrow"/>
        <family val="2"/>
      </rPr>
      <t xml:space="preserve"> under the Restoration heading. Another potential source is the </t>
    </r>
    <r>
      <rPr>
        <u/>
        <sz val="10"/>
        <rFont val="Arial Narrow"/>
        <family val="2"/>
      </rPr>
      <t>Conservation Registry</t>
    </r>
    <r>
      <rPr>
        <sz val="10"/>
        <rFont val="Arial Narrow"/>
        <family val="2"/>
      </rPr>
      <t>: http://or.conservationregistry.org/.          [PUv]</t>
    </r>
  </si>
  <si>
    <r>
      <t xml:space="preserve">Consult  the </t>
    </r>
    <r>
      <rPr>
        <u/>
        <sz val="10"/>
        <rFont val="Arial Narrow"/>
        <family val="2"/>
      </rPr>
      <t>ORWAP Report</t>
    </r>
    <r>
      <rPr>
        <sz val="10"/>
        <rFont val="Arial Narrow"/>
        <family val="2"/>
      </rPr>
      <t xml:space="preserve"> under the Location Information table for "Rare Wetland Type (within 1 mile)". But be aware that it may not apply to the exact AA you have delimited.
[PDv]</t>
    </r>
  </si>
  <si>
    <r>
      <t xml:space="preserve">The AA comprises all or part of </t>
    </r>
    <r>
      <rPr>
        <b/>
        <sz val="10"/>
        <rFont val="Arial Narrow"/>
        <family val="2"/>
      </rPr>
      <t>(a)</t>
    </r>
    <r>
      <rPr>
        <sz val="10"/>
        <rFont val="Arial Narrow"/>
        <family val="2"/>
      </rPr>
      <t xml:space="preserve"> a wooded tidal wetland (&gt;30% cover of trees and/or shrubs), OR </t>
    </r>
    <r>
      <rPr>
        <b/>
        <sz val="10"/>
        <rFont val="Arial Narrow"/>
        <family val="2"/>
      </rPr>
      <t>(b)</t>
    </r>
    <r>
      <rPr>
        <sz val="10"/>
        <rFont val="Arial Narrow"/>
        <family val="2"/>
      </rPr>
      <t xml:space="preserve"> an undiked tidal freshwater wetland (surface salinity &lt;0.5 ppt during most of spring and summer). </t>
    </r>
    <r>
      <rPr>
        <b/>
        <sz val="10"/>
        <rFont val="Arial Narrow"/>
        <family val="2"/>
      </rPr>
      <t xml:space="preserve"> Enter 1, if true.</t>
    </r>
  </si>
  <si>
    <t>3 to 6 ft.</t>
  </si>
  <si>
    <r>
      <t xml:space="preserve">The </t>
    </r>
    <r>
      <rPr>
        <b/>
        <sz val="10"/>
        <rFont val="Arial Narrow"/>
        <family val="2"/>
      </rPr>
      <t>maximum vertical fluctuation</t>
    </r>
    <r>
      <rPr>
        <sz val="10"/>
        <rFont val="Arial Narrow"/>
        <family val="2"/>
      </rPr>
      <t xml:space="preserve"> in surface water within the AA, during a normal year is:</t>
    </r>
  </si>
  <si>
    <r>
      <rPr>
        <b/>
        <sz val="10"/>
        <rFont val="Arial Narrow"/>
        <family val="2"/>
      </rPr>
      <t>Adjacent</t>
    </r>
    <r>
      <rPr>
        <sz val="10"/>
        <rFont val="Arial Narrow"/>
        <family val="2"/>
      </rPr>
      <t xml:space="preserve"> - is used synonymously with abutting, adjoining, bordering, contiguous -- and means no upland (manmade or natural) completely separates the described features along their directly shared edge.  Features joined only by a channel are not necessarily considered to be adjacent -- a large portion of their edges must match.  The features do not have to be hydrologically connected in order to be considered adjacent.</t>
    </r>
  </si>
  <si>
    <r>
      <rPr>
        <b/>
        <sz val="10"/>
        <rFont val="Arial Narrow"/>
        <family val="2"/>
      </rPr>
      <t>Open Water</t>
    </r>
    <r>
      <rPr>
        <sz val="10"/>
        <rFont val="Arial Narrow"/>
        <family val="2"/>
      </rPr>
      <t xml:space="preserve"> - is surface water of any depth that contains no emergent herbaceous or woody vegetation (may contain floating-leaved or completely submersed plants). It may be partially shaded by a tree canopy.</t>
    </r>
  </si>
  <si>
    <r>
      <rPr>
        <b/>
        <sz val="10"/>
        <rFont val="Arial Narrow"/>
        <family val="2"/>
      </rPr>
      <t>maximum vertical fluctuation</t>
    </r>
    <r>
      <rPr>
        <sz val="10"/>
        <rFont val="Arial Narrow"/>
        <family val="2"/>
      </rPr>
      <t xml:space="preserve"> -  is the difference between the highest annual and lowest annual water level during an average year.  
Use field indicators to assess this indicator. 
 [WS,SR,PR,NR,CS,OE,INV,AM,WBN,PD] </t>
    </r>
  </si>
  <si>
    <r>
      <rPr>
        <b/>
        <sz val="10"/>
        <rFont val="Arial Narrow"/>
        <family val="2"/>
      </rPr>
      <t>Repeatedly</t>
    </r>
    <r>
      <rPr>
        <sz val="10"/>
        <rFont val="Arial Narrow"/>
        <family val="2"/>
      </rPr>
      <t xml:space="preserve"> - means the condition occurred in at least half of the last 10 years. [SR,AM,WBN,SBM,PD,EC] </t>
    </r>
  </si>
  <si>
    <r>
      <t xml:space="preserve">In the </t>
    </r>
    <r>
      <rPr>
        <u/>
        <sz val="10"/>
        <rFont val="Arial Narrow"/>
        <family val="2"/>
      </rPr>
      <t>ORWAP Report's</t>
    </r>
    <r>
      <rPr>
        <sz val="10"/>
        <rFont val="Arial Narrow"/>
        <family val="2"/>
      </rPr>
      <t xml:space="preserve"> Location Information table. This question is used as a classification variable mainly to set appropriate expectations for the extent of forest cover.
 [INV,FA,FR,SBM,PD,EC,SENS]</t>
    </r>
  </si>
  <si>
    <r>
      <t xml:space="preserve">Do not base the texture on soil maps unless the AA is inaccessible.  See </t>
    </r>
    <r>
      <rPr>
        <u/>
        <sz val="10"/>
        <rFont val="Arial Narrow"/>
        <family val="2"/>
      </rPr>
      <t>ORWAP Manual's</t>
    </r>
    <r>
      <rPr>
        <sz val="10"/>
        <rFont val="Arial Narrow"/>
        <family val="2"/>
      </rPr>
      <t xml:space="preserve"> protocol (Step 7, pg 33) and chart (Appendix A, pg 52).
Judge which soil type is predominant </t>
    </r>
    <r>
      <rPr>
        <u/>
        <sz val="10"/>
        <rFont val="Arial Narrow"/>
        <family val="2"/>
      </rPr>
      <t>only in the part of the AA that is not inundated</t>
    </r>
    <r>
      <rPr>
        <sz val="10"/>
        <rFont val="Arial Narrow"/>
        <family val="2"/>
      </rPr>
      <t xml:space="preserve"> at the time of your visit.   
</t>
    </r>
    <r>
      <rPr>
        <b/>
        <sz val="10"/>
        <rFont val="Arial Narrow"/>
        <family val="2"/>
      </rPr>
      <t>Duff</t>
    </r>
    <r>
      <rPr>
        <sz val="10"/>
        <rFont val="Arial Narrow"/>
        <family val="2"/>
      </rPr>
      <t xml:space="preserve"> - is loose organic surface material, e.g., dead plant leaves and stems).
Organic soils are much less common in floodplains.
 [WS,PR,NR,CS,OE,PD,Sens] </t>
    </r>
  </si>
  <si>
    <r>
      <rPr>
        <b/>
        <sz val="10"/>
        <rFont val="Arial Narrow"/>
        <family val="2"/>
      </rPr>
      <t>Perennial cover</t>
    </r>
    <r>
      <rPr>
        <sz val="10"/>
        <rFont val="Arial Narrow"/>
        <family val="2"/>
      </rPr>
      <t xml:space="preserve"> - is vegetation that includes wooded areas, native prairies, sagebrush, vegetated wetlands, as well as relatively unmanaged commercial lands in which the ground is disturbed less than annually, such as hayfields, lightly grazed pastures, timber harvest areas, and rangeland.  
It</t>
    </r>
    <r>
      <rPr>
        <u/>
        <sz val="10"/>
        <rFont val="Arial Narrow"/>
        <family val="2"/>
      </rPr>
      <t xml:space="preserve"> does not include</t>
    </r>
    <r>
      <rPr>
        <sz val="10"/>
        <rFont val="Arial Narrow"/>
        <family val="2"/>
      </rPr>
      <t xml:space="preserve"> water, row crops (e.g., vegetable, orchards, Christmas tree farms), lawns, residential areas, golf courses, recreational fields, pavement, bare soil, rock, bare sand, or gravel or dirt roads.                                                                                                              [FA,AM,SBM,POL,Sens,STR] </t>
    </r>
  </si>
  <si>
    <r>
      <t xml:space="preserve">Within a </t>
    </r>
    <r>
      <rPr>
        <u/>
        <sz val="10"/>
        <rFont val="Arial Narrow"/>
        <family val="2"/>
      </rPr>
      <t>2-mile</t>
    </r>
    <r>
      <rPr>
        <sz val="10"/>
        <rFont val="Arial Narrow"/>
        <family val="2"/>
      </rPr>
      <t xml:space="preserve"> radius of the AA center, the percentage of </t>
    </r>
    <r>
      <rPr>
        <u/>
        <sz val="10"/>
        <rFont val="Arial Narrow"/>
        <family val="2"/>
      </rPr>
      <t>land</t>
    </r>
    <r>
      <rPr>
        <b/>
        <u/>
        <sz val="10"/>
        <rFont val="Arial Narrow"/>
        <family val="2"/>
      </rPr>
      <t xml:space="preserve"> </t>
    </r>
    <r>
      <rPr>
        <sz val="10"/>
        <rFont val="Arial Narrow"/>
        <family val="2"/>
      </rPr>
      <t xml:space="preserve">that has </t>
    </r>
    <r>
      <rPr>
        <b/>
        <sz val="10"/>
        <rFont val="Arial Narrow"/>
        <family val="2"/>
      </rPr>
      <t>perennial cover</t>
    </r>
    <r>
      <rPr>
        <sz val="10"/>
        <rFont val="Arial Narrow"/>
        <family val="2"/>
      </rPr>
      <t xml:space="preserve"> is:</t>
    </r>
  </si>
  <si>
    <r>
      <t xml:space="preserve">The distance from the </t>
    </r>
    <r>
      <rPr>
        <u/>
        <sz val="10"/>
        <rFont val="Arial Narrow"/>
        <family val="2"/>
      </rPr>
      <t>AA edge</t>
    </r>
    <r>
      <rPr>
        <sz val="10"/>
        <rFont val="Arial Narrow"/>
        <family val="2"/>
      </rPr>
      <t xml:space="preserve"> to the closest body of </t>
    </r>
    <r>
      <rPr>
        <b/>
        <sz val="10"/>
        <rFont val="Arial Narrow"/>
        <family val="2"/>
      </rPr>
      <t>tidal water</t>
    </r>
    <r>
      <rPr>
        <sz val="10"/>
        <rFont val="Arial Narrow"/>
        <family val="2"/>
      </rPr>
      <t xml:space="preserve"> is:</t>
    </r>
  </si>
  <si>
    <r>
      <t xml:space="preserve">The distance from the </t>
    </r>
    <r>
      <rPr>
        <u/>
        <sz val="10"/>
        <rFont val="Arial Narrow"/>
        <family val="2"/>
      </rPr>
      <t>AA edge</t>
    </r>
    <r>
      <rPr>
        <sz val="10"/>
        <rFont val="Arial Narrow"/>
        <family val="2"/>
      </rPr>
      <t xml:space="preserve"> to the closest patch of </t>
    </r>
    <r>
      <rPr>
        <b/>
        <sz val="10"/>
        <rFont val="Arial Narrow"/>
        <family val="2"/>
      </rPr>
      <t>herbaceous openland</t>
    </r>
    <r>
      <rPr>
        <sz val="10"/>
        <rFont val="Arial Narrow"/>
        <family val="2"/>
      </rPr>
      <t xml:space="preserve"> </t>
    </r>
    <r>
      <rPr>
        <u/>
        <sz val="10"/>
        <rFont val="Arial Narrow"/>
        <family val="2"/>
      </rPr>
      <t>larger than 10 acres</t>
    </r>
    <r>
      <rPr>
        <sz val="10"/>
        <rFont val="Arial Narrow"/>
        <family val="2"/>
      </rPr>
      <t xml:space="preserve"> and in </t>
    </r>
    <r>
      <rPr>
        <b/>
        <sz val="10"/>
        <rFont val="Arial Narrow"/>
        <family val="2"/>
      </rPr>
      <t>flat terrain</t>
    </r>
    <r>
      <rPr>
        <sz val="10"/>
        <rFont val="Arial Narrow"/>
        <family val="2"/>
      </rPr>
      <t xml:space="preserve"> is:</t>
    </r>
  </si>
  <si>
    <r>
      <t xml:space="preserve">The distance from the </t>
    </r>
    <r>
      <rPr>
        <u/>
        <sz val="10"/>
        <rFont val="Arial Narrow"/>
        <family val="2"/>
      </rPr>
      <t>AA center</t>
    </r>
    <r>
      <rPr>
        <sz val="10"/>
        <rFont val="Arial Narrow"/>
        <family val="2"/>
      </rPr>
      <t xml:space="preserve"> to the nearest road with an average daytime traffic rate of at least 1 vehicle/ minute is:</t>
    </r>
  </si>
  <si>
    <r>
      <t xml:space="preserve">Damage to infrastructure or row crops from river flooding has </t>
    </r>
    <r>
      <rPr>
        <u/>
        <sz val="10"/>
        <rFont val="Arial Narrow"/>
        <family val="2"/>
      </rPr>
      <t>been documented</t>
    </r>
    <r>
      <rPr>
        <sz val="10"/>
        <rFont val="Arial Narrow"/>
        <family val="2"/>
      </rPr>
      <t xml:space="preserve"> within that distance.</t>
    </r>
  </si>
  <si>
    <r>
      <rPr>
        <b/>
        <sz val="10"/>
        <rFont val="Arial Narrow"/>
        <family val="2"/>
      </rPr>
      <t xml:space="preserve">Select ONE </t>
    </r>
    <r>
      <rPr>
        <sz val="10"/>
        <rFont val="Arial Narrow"/>
        <family val="2"/>
      </rPr>
      <t>of the below:</t>
    </r>
  </si>
  <si>
    <t>High (≥ 0.33 for maximum score, or there is a recent onsite observation of any of these species by a qualified observer under conditions similar to what now occur.</t>
  </si>
  <si>
    <t xml:space="preserve">Estimate this traffic rate threshold using your judgment and considering the road width, local population, distance to densely settled areas, alternate routes, and other factors. 
[AM,SBM,PD,PUv,STR] </t>
  </si>
  <si>
    <r>
      <rPr>
        <u/>
        <sz val="10"/>
        <rFont val="Arial Narrow"/>
        <family val="2"/>
      </rPr>
      <t>This is a 2-part question</t>
    </r>
    <r>
      <rPr>
        <sz val="10"/>
        <rFont val="Arial Narrow"/>
        <family val="2"/>
      </rPr>
      <t xml:space="preserve">: (1) if no vegetation class comprises more than 10% of the AA, answer "none of the above." (2) If a vegetation class does comprise more than 10%, determine if that vegetation class also comprises less than 10% of a 0.5 mile buffer (~50 acres).                                                                                                                                            
[INVv,AMv,WBFv,WBNv,SBMv,PDv,POLv,Sens] </t>
    </r>
  </si>
  <si>
    <r>
      <t xml:space="preserve">In the </t>
    </r>
    <r>
      <rPr>
        <u/>
        <sz val="10"/>
        <rFont val="Arial Narrow"/>
        <family val="2"/>
      </rPr>
      <t>ORWAP Report</t>
    </r>
    <r>
      <rPr>
        <sz val="10"/>
        <rFont val="Arial Narrow"/>
        <family val="2"/>
      </rPr>
      <t xml:space="preserve">, under the Watershed Information section and the HUC Best table, look at the columns  "Is HUC Best?" and "Greatest Criteria Met."  
[AM,WBF,WBN,SBM,Sens] </t>
    </r>
  </si>
  <si>
    <r>
      <t xml:space="preserve">On the ORWAP Map Viewer, use the layers indicated below to answer. </t>
    </r>
    <r>
      <rPr>
        <b/>
        <sz val="10"/>
        <rFont val="Arial Narrow"/>
        <family val="2"/>
      </rPr>
      <t xml:space="preserve">Select </t>
    </r>
    <r>
      <rPr>
        <b/>
        <u/>
        <sz val="10"/>
        <rFont val="Arial Narrow"/>
        <family val="2"/>
      </rPr>
      <t xml:space="preserve">All </t>
    </r>
    <r>
      <rPr>
        <b/>
        <sz val="10"/>
        <rFont val="Arial Narrow"/>
        <family val="2"/>
      </rPr>
      <t>of the following that are true</t>
    </r>
    <r>
      <rPr>
        <sz val="10"/>
        <rFont val="Arial Narrow"/>
        <family val="2"/>
      </rPr>
      <t>:</t>
    </r>
  </si>
  <si>
    <r>
      <t xml:space="preserve">According to the ORWAP Report, the score for occurrences of rare </t>
    </r>
    <r>
      <rPr>
        <b/>
        <u/>
        <sz val="10"/>
        <rFont val="Arial Narrow"/>
        <family val="2"/>
      </rPr>
      <t>non-breeding</t>
    </r>
    <r>
      <rPr>
        <sz val="10"/>
        <rFont val="Arial Narrow"/>
        <family val="2"/>
      </rPr>
      <t xml:space="preserve"> (feeding) waterbird species in the vicinity of this AA is: </t>
    </r>
  </si>
  <si>
    <r>
      <t>According to the ORWAP Report, the score for occurrences of rare</t>
    </r>
    <r>
      <rPr>
        <u/>
        <sz val="10"/>
        <rFont val="Arial Narrow"/>
        <family val="2"/>
      </rPr>
      <t xml:space="preserve"> nesting </t>
    </r>
    <r>
      <rPr>
        <sz val="10"/>
        <rFont val="Arial Narrow"/>
        <family val="2"/>
      </rPr>
      <t xml:space="preserve">waterbird species in the vicinity of this AA is: </t>
    </r>
  </si>
  <si>
    <r>
      <t xml:space="preserve">According to the ORWAP Report, the score for occurrences of rare </t>
    </r>
    <r>
      <rPr>
        <u/>
        <sz val="10"/>
        <rFont val="Arial Narrow"/>
        <family val="2"/>
      </rPr>
      <t>songbird, raptor, or mamma</t>
    </r>
    <r>
      <rPr>
        <sz val="10"/>
        <rFont val="Arial Narrow"/>
        <family val="2"/>
      </rPr>
      <t xml:space="preserve">l species in the vicinity of this AA is: </t>
    </r>
  </si>
  <si>
    <r>
      <t xml:space="preserve">According to the ORWAP Report, the score for occurrences of rare </t>
    </r>
    <r>
      <rPr>
        <u/>
        <sz val="10"/>
        <rFont val="Arial Narrow"/>
        <family val="2"/>
      </rPr>
      <t>invertebrate</t>
    </r>
    <r>
      <rPr>
        <sz val="10"/>
        <rFont val="Arial Narrow"/>
        <family val="2"/>
      </rPr>
      <t xml:space="preserve"> species in the vicinity of this AA is: </t>
    </r>
  </si>
  <si>
    <r>
      <t xml:space="preserve">According to the ORWAP Report, the score for occurrences of rare </t>
    </r>
    <r>
      <rPr>
        <u/>
        <sz val="10"/>
        <rFont val="Arial Narrow"/>
        <family val="2"/>
      </rPr>
      <t>wetland-indicator plant</t>
    </r>
    <r>
      <rPr>
        <sz val="10"/>
        <rFont val="Arial Narrow"/>
        <family val="2"/>
      </rPr>
      <t xml:space="preserve"> species in the vicinity of this AA is: </t>
    </r>
  </si>
  <si>
    <r>
      <t xml:space="preserve">Use field observations, aerial imagery, and/or the </t>
    </r>
    <r>
      <rPr>
        <u/>
        <sz val="10"/>
        <rFont val="Arial Narrow"/>
        <family val="2"/>
      </rPr>
      <t>ORWAP Map Viewer's</t>
    </r>
    <r>
      <rPr>
        <sz val="10"/>
        <rFont val="Arial Narrow"/>
        <family val="2"/>
      </rPr>
      <t xml:space="preserve"> Persistent Nontidal layer (under Wetlands). 
[AM,WBF,WBN,SBM,PD,Sens] </t>
    </r>
  </si>
  <si>
    <r>
      <t xml:space="preserve">Use field observations, aerial imagery, and/or the </t>
    </r>
    <r>
      <rPr>
        <u/>
        <sz val="10"/>
        <rFont val="Arial Narrow"/>
        <family val="2"/>
      </rPr>
      <t xml:space="preserve">ORWAP Map Viewer's </t>
    </r>
    <r>
      <rPr>
        <sz val="10"/>
        <rFont val="Arial Narrow"/>
        <family val="2"/>
      </rPr>
      <t xml:space="preserve">Persistent Nontidal  layer (under the Wetlands).                                                                                                            
[WBF,WBN] </t>
    </r>
  </si>
  <si>
    <r>
      <t xml:space="preserve">Within a </t>
    </r>
    <r>
      <rPr>
        <u/>
        <sz val="10"/>
        <rFont val="Arial Narrow"/>
        <family val="2"/>
      </rPr>
      <t>2-mile</t>
    </r>
    <r>
      <rPr>
        <sz val="10"/>
        <rFont val="Arial Narrow"/>
        <family val="2"/>
      </rPr>
      <t xml:space="preserve"> radius of the AA center, the cumulative amount of </t>
    </r>
    <r>
      <rPr>
        <u/>
        <sz val="10"/>
        <rFont val="Arial Narrow"/>
        <family val="2"/>
      </rPr>
      <t>forest</t>
    </r>
    <r>
      <rPr>
        <sz val="10"/>
        <rFont val="Arial Narrow"/>
        <family val="2"/>
      </rPr>
      <t xml:space="preserve"> (regardless of </t>
    </r>
    <r>
      <rPr>
        <b/>
        <sz val="10"/>
        <rFont val="Arial Narrow"/>
        <family val="2"/>
      </rPr>
      <t>forest patch</t>
    </r>
    <r>
      <rPr>
        <sz val="10"/>
        <rFont val="Arial Narrow"/>
        <family val="2"/>
      </rPr>
      <t xml:space="preserve"> sizes, and including any in the AA) is:</t>
    </r>
  </si>
  <si>
    <r>
      <rPr>
        <b/>
        <sz val="10"/>
        <rFont val="Arial Narrow"/>
        <family val="2"/>
      </rPr>
      <t>Herbaceous openland</t>
    </r>
    <r>
      <rPr>
        <sz val="10"/>
        <rFont val="Arial Narrow"/>
        <family val="2"/>
      </rPr>
      <t xml:space="preserve"> - can include both perennial and non-perennial cover.  For example, it can include pasture, herbaceous wetland, meadow, prairie, ryegrass fields, row crops, herbaceous rangeland, golf courses, grassed airports, and hayfields.  
</t>
    </r>
    <r>
      <rPr>
        <u/>
        <sz val="10"/>
        <rFont val="Arial Narrow"/>
        <family val="2"/>
      </rPr>
      <t>Do not include</t>
    </r>
    <r>
      <rPr>
        <sz val="10"/>
        <rFont val="Arial Narrow"/>
        <family val="2"/>
      </rPr>
      <t xml:space="preserve"> open water of lakes, ponds, or rivers; or unvegetated surfaces; or areas with woody vegetation.                                                                                                                                        
</t>
    </r>
    <r>
      <rPr>
        <b/>
        <sz val="10"/>
        <rFont val="Arial Narrow"/>
        <family val="2"/>
      </rPr>
      <t>Flat terrain</t>
    </r>
    <r>
      <rPr>
        <sz val="10"/>
        <rFont val="Arial Narrow"/>
        <family val="2"/>
      </rPr>
      <t xml:space="preserve"> - means slope of less than 5%. 
[WBF,WBN,POL] </t>
    </r>
  </si>
  <si>
    <r>
      <t xml:space="preserve">In the </t>
    </r>
    <r>
      <rPr>
        <u/>
        <sz val="10"/>
        <rFont val="Arial Narrow"/>
        <family val="2"/>
      </rPr>
      <t>ORWAP Report</t>
    </r>
    <r>
      <rPr>
        <sz val="10"/>
        <rFont val="Arial Narrow"/>
        <family val="2"/>
      </rPr>
      <t>, under the Location Information table, find the Hydrologic Landscape Class.
[AM,WBNv,SBMv,Sens]</t>
    </r>
  </si>
  <si>
    <r>
      <t xml:space="preserve">According to ORWAP Map Viewer's Water Quality Streams layer and Water Quality Lakes layers, </t>
    </r>
    <r>
      <rPr>
        <u/>
        <sz val="10"/>
        <rFont val="Arial Narrow"/>
        <family val="2"/>
      </rPr>
      <t xml:space="preserve">ALL of the following are true: </t>
    </r>
    <r>
      <rPr>
        <sz val="10"/>
        <rFont val="Arial Narrow"/>
        <family val="2"/>
      </rPr>
      <t xml:space="preserve"> </t>
    </r>
    <r>
      <rPr>
        <b/>
        <sz val="10"/>
        <rFont val="Arial Narrow"/>
        <family val="2"/>
      </rPr>
      <t>(a)</t>
    </r>
    <r>
      <rPr>
        <sz val="10"/>
        <rFont val="Arial Narrow"/>
        <family val="2"/>
      </rPr>
      <t xml:space="preserve">  within 1 mile upstream from the AA edge, a water body or stream reach is labeled as being 303d, Water Quality Limited (categories 3B-5); Potential Concer; or TMDL Approved AND </t>
    </r>
    <r>
      <rPr>
        <b/>
        <sz val="10"/>
        <rFont val="Arial Narrow"/>
        <family val="2"/>
      </rPr>
      <t>(b)</t>
    </r>
    <r>
      <rPr>
        <sz val="10"/>
        <rFont val="Arial Narrow"/>
        <family val="2"/>
      </rPr>
      <t xml:space="preserve"> the problem concerns one or more of the parameters listed below. </t>
    </r>
    <r>
      <rPr>
        <b/>
        <sz val="10"/>
        <rFont val="Arial Narrow"/>
        <family val="2"/>
      </rPr>
      <t xml:space="preserve">Select </t>
    </r>
    <r>
      <rPr>
        <b/>
        <u/>
        <sz val="10"/>
        <rFont val="Arial Narrow"/>
        <family val="2"/>
      </rPr>
      <t>All</t>
    </r>
    <r>
      <rPr>
        <b/>
        <sz val="10"/>
        <rFont val="Arial Narrow"/>
        <family val="2"/>
      </rPr>
      <t xml:space="preserve"> that apply</t>
    </r>
    <r>
      <rPr>
        <sz val="10"/>
        <rFont val="Arial Narrow"/>
        <family val="2"/>
      </rPr>
      <t xml:space="preserve">.   </t>
    </r>
  </si>
  <si>
    <r>
      <t xml:space="preserve">According to ORWAP Map Viewer's  Water Quality Streams layer and Water Quality Lake map layer, </t>
    </r>
    <r>
      <rPr>
        <u/>
        <sz val="10"/>
        <rFont val="Arial Narrow"/>
        <family val="2"/>
      </rPr>
      <t>ALL of the following are true</t>
    </r>
    <r>
      <rPr>
        <sz val="10"/>
        <rFont val="Arial Narrow"/>
        <family val="2"/>
      </rPr>
      <t>: (</t>
    </r>
    <r>
      <rPr>
        <b/>
        <sz val="10"/>
        <rFont val="Arial Narrow"/>
        <family val="2"/>
      </rPr>
      <t>a)</t>
    </r>
    <r>
      <rPr>
        <sz val="10"/>
        <rFont val="Arial Narrow"/>
        <family val="2"/>
      </rPr>
      <t xml:space="preserve"> within 1 mile downhill or downstream from the AA's edge, a water body is labeled as being 303d, Water Quality Limited (categories 3B-5); Potential Concern; or TMDL Approved AND  </t>
    </r>
    <r>
      <rPr>
        <b/>
        <sz val="10"/>
        <rFont val="Arial Narrow"/>
        <family val="2"/>
      </rPr>
      <t>(b)</t>
    </r>
    <r>
      <rPr>
        <sz val="10"/>
        <rFont val="Arial Narrow"/>
        <family val="2"/>
      </rPr>
      <t xml:space="preserve"> the problem concerns one or more of the parameters listed below.  </t>
    </r>
    <r>
      <rPr>
        <b/>
        <sz val="10"/>
        <rFont val="Arial Narrow"/>
        <family val="2"/>
      </rPr>
      <t xml:space="preserve">Select </t>
    </r>
    <r>
      <rPr>
        <b/>
        <u/>
        <sz val="10"/>
        <rFont val="Arial Narrow"/>
        <family val="2"/>
      </rPr>
      <t xml:space="preserve">All </t>
    </r>
    <r>
      <rPr>
        <b/>
        <sz val="10"/>
        <rFont val="Arial Narrow"/>
        <family val="2"/>
      </rPr>
      <t>that apply</t>
    </r>
    <r>
      <rPr>
        <sz val="10"/>
        <rFont val="Arial Narrow"/>
        <family val="2"/>
      </rPr>
      <t xml:space="preserve">. </t>
    </r>
  </si>
  <si>
    <r>
      <t xml:space="preserve">See the </t>
    </r>
    <r>
      <rPr>
        <u/>
        <sz val="10"/>
        <rFont val="Arial Narrow"/>
        <family val="2"/>
      </rPr>
      <t>ORWAP Manual</t>
    </r>
    <r>
      <rPr>
        <sz val="10"/>
        <rFont val="Arial Narrow"/>
        <family val="2"/>
      </rPr>
      <t xml:space="preserve"> for instructions on how to determine the growing degree days category.                                                                                                                                                 
[WCv,NR,CS,OE,AM,WBN,SBM,Sens] </t>
    </r>
  </si>
  <si>
    <r>
      <t xml:space="preserve">See the </t>
    </r>
    <r>
      <rPr>
        <u/>
        <sz val="10"/>
        <rFont val="Arial Narrow"/>
        <family val="2"/>
      </rPr>
      <t>ORWAP Manual</t>
    </r>
    <r>
      <rPr>
        <sz val="10"/>
        <rFont val="Arial Narrow"/>
        <family val="2"/>
      </rPr>
      <t xml:space="preserve"> for instructions on how to determine the zoning designation.  If information is not provided, check local zoning maps.                                                                                        
[WSv,WCv,SRv,PRv,INVv,FAv,FRv,AMv,WBFv,WBNv,SBMv,PDv,POLv]</t>
    </r>
  </si>
  <si>
    <r>
      <t xml:space="preserve">See </t>
    </r>
    <r>
      <rPr>
        <u/>
        <sz val="10"/>
        <rFont val="Arial Narrow"/>
        <family val="2"/>
      </rPr>
      <t>ORWAP Manual's</t>
    </r>
    <r>
      <rPr>
        <sz val="10"/>
        <rFont val="Arial Narrow"/>
        <family val="2"/>
      </rPr>
      <t xml:space="preserve"> illustrations in Figure 3-12 (pg 31)
 [NR, SBM, Sens]</t>
    </r>
  </si>
  <si>
    <r>
      <t xml:space="preserve">See the </t>
    </r>
    <r>
      <rPr>
        <u/>
        <sz val="10"/>
        <rFont val="Arial Narrow"/>
        <family val="2"/>
      </rPr>
      <t>ORWAP Manual</t>
    </r>
    <r>
      <rPr>
        <sz val="10"/>
        <rFont val="Arial Narrow"/>
        <family val="2"/>
      </rPr>
      <t xml:space="preserve"> for instructions on how to determine the erosion hazard rating. 
[SRv,PRv,STR] </t>
    </r>
  </si>
  <si>
    <r>
      <t xml:space="preserve">See the </t>
    </r>
    <r>
      <rPr>
        <u/>
        <sz val="10"/>
        <rFont val="Arial Narrow"/>
        <family val="2"/>
      </rPr>
      <t>ORWAP Manual</t>
    </r>
    <r>
      <rPr>
        <sz val="10"/>
        <rFont val="Arial Narrow"/>
        <family val="2"/>
      </rPr>
      <t xml:space="preserve"> for specific protocol for delimiting the RCA. The RCA includes only the areas that potentially drain directly to the AA's wetland rather than to channels that flow or flood into that wetland.   Exact precision in drawing the boundary is not required. 
[WS,WCv,SR,PR,NR] </t>
    </r>
  </si>
  <si>
    <r>
      <t xml:space="preserve">See the </t>
    </r>
    <r>
      <rPr>
        <u/>
        <sz val="10"/>
        <rFont val="Arial Narrow"/>
        <family val="2"/>
      </rPr>
      <t>ORWAP Manual</t>
    </r>
    <r>
      <rPr>
        <sz val="10"/>
        <rFont val="Arial Narrow"/>
        <family val="2"/>
      </rPr>
      <t>, Appendix A, OF33 on pages 45 - 47 
[NRv]</t>
    </r>
  </si>
  <si>
    <r>
      <t xml:space="preserve">In the </t>
    </r>
    <r>
      <rPr>
        <u/>
        <sz val="10"/>
        <rFont val="Arial Narrow"/>
        <family val="2"/>
      </rPr>
      <t>ORWAP Map Viewe</t>
    </r>
    <r>
      <rPr>
        <sz val="10"/>
        <rFont val="Arial Narrow"/>
        <family val="2"/>
      </rPr>
      <t>r, the water source layers are under Water Source &amp; Quality.
[NRv]</t>
    </r>
  </si>
  <si>
    <r>
      <t xml:space="preserve">In the </t>
    </r>
    <r>
      <rPr>
        <u/>
        <sz val="10"/>
        <rFont val="Arial Narrow"/>
        <family val="2"/>
      </rPr>
      <t>ORWAP Map Viewer</t>
    </r>
    <r>
      <rPr>
        <sz val="10"/>
        <rFont val="Arial Narrow"/>
        <family val="2"/>
      </rPr>
      <t xml:space="preserve"> open the Water Quality Streams layer and the Water Quality Lakes layer (under Water Source &amp; Quality). Use the Point Identy tool to determine the reason for the listings. 
 [WCv,SRv,PRv,NRv,FA] </t>
    </r>
  </si>
  <si>
    <r>
      <t xml:space="preserve"> In the </t>
    </r>
    <r>
      <rPr>
        <u/>
        <sz val="10"/>
        <rFont val="Arial Narrow"/>
        <family val="2"/>
      </rPr>
      <t>NRCS county soil survey</t>
    </r>
    <r>
      <rPr>
        <sz val="10"/>
        <rFont val="Arial Narrow"/>
        <family val="2"/>
      </rPr>
      <t xml:space="preserve">, the Water Features table provides information about periods of flooding, ponding, and highwater table depths. Descriptions of the soil units may include information on saturation persistence. Also consider the hydroperiod label on NWI wetland polygons. 
[WS,FA,FR] </t>
    </r>
  </si>
  <si>
    <r>
      <t xml:space="preserve">This question is asking about the spatial median depth that occurs during most of that time, even if inundation is only seasonal or temporary. If inundation in most but not all of the AA is brief, the answer will be based on the depth of the most persistently inundated part of the AA. Include surface water in channels and ditches as well as ponded areas.                                      
In the </t>
    </r>
    <r>
      <rPr>
        <u/>
        <sz val="10"/>
        <rFont val="Arial Narrow"/>
        <family val="2"/>
      </rPr>
      <t>ORWAP Manual</t>
    </r>
    <r>
      <rPr>
        <sz val="10"/>
        <rFont val="Arial Narrow"/>
        <family val="2"/>
      </rPr>
      <t>, se the diagram in Appendix A (pg.48). 
[WC,SR,PR,CS,OE,INV,FA,FR,WBF,WBN,PD,Sens]</t>
    </r>
  </si>
  <si>
    <r>
      <t xml:space="preserve">Estimate these proportions by considering the gradient and microtopography of the site.
 In the </t>
    </r>
    <r>
      <rPr>
        <u/>
        <sz val="10"/>
        <rFont val="Arial Narrow"/>
        <family val="2"/>
      </rPr>
      <t>ORWAP Manual</t>
    </r>
    <r>
      <rPr>
        <sz val="10"/>
        <rFont val="Arial Narrow"/>
        <family val="2"/>
      </rPr>
      <t xml:space="preserve">, see the diagram in Appendix A (pg.48).   
[INV,FR,WBF,WBN,PD] </t>
    </r>
  </si>
  <si>
    <t xml:space="preserve">If multiple small patches are separated by less than 150 ft, they may be combined when evaluating this question. 
[SR,PR,OE,INV,FR,WBF,WBN,SBM,PD] </t>
  </si>
  <si>
    <r>
      <t>The percentage of the emergent vegetation cover in the AA that is cattail (</t>
    </r>
    <r>
      <rPr>
        <i/>
        <sz val="10"/>
        <rFont val="Arial Narrow"/>
        <family val="2"/>
      </rPr>
      <t>Typha</t>
    </r>
    <r>
      <rPr>
        <sz val="10"/>
        <rFont val="Arial Narrow"/>
        <family val="2"/>
      </rPr>
      <t xml:space="preserve"> spp.) or tall bulrush is:</t>
    </r>
  </si>
  <si>
    <r>
      <rPr>
        <b/>
        <sz val="10"/>
        <rFont val="Arial Narrow"/>
        <family val="2"/>
      </rPr>
      <t>Ponded</t>
    </r>
    <r>
      <rPr>
        <sz val="10"/>
        <rFont val="Arial Narrow"/>
        <family val="2"/>
      </rPr>
      <t xml:space="preserve"> - Most surface water is not visibly flowing. Flow, if any, is not sufficient to suspend fine sediment.  These include pools in floodplains and may be either large (e.g., an off-channel pond) or small (size of a puddle).  
</t>
    </r>
    <r>
      <rPr>
        <b/>
        <sz val="10"/>
        <rFont val="Arial Narrow"/>
        <family val="2"/>
      </rPr>
      <t xml:space="preserve">Open water - </t>
    </r>
    <r>
      <rPr>
        <sz val="10"/>
        <rFont val="Arial Narrow"/>
        <family val="2"/>
      </rPr>
      <t xml:space="preserve">is surface water of any depth that contains no emergent herbaceous or wood vegetation (may contain floating-leaved or completely submersed species).  It may be partially shaded by a tree canopy.  
[WS,WBF,WBN] </t>
    </r>
  </si>
  <si>
    <r>
      <t xml:space="preserve">When water levels are </t>
    </r>
    <r>
      <rPr>
        <u/>
        <sz val="10"/>
        <rFont val="Arial Narrow"/>
        <family val="2"/>
      </rPr>
      <t>highest</t>
    </r>
    <r>
      <rPr>
        <sz val="10"/>
        <rFont val="Arial Narrow"/>
        <family val="2"/>
      </rPr>
      <t xml:space="preserve">, during a normal year, the surface water that is </t>
    </r>
    <r>
      <rPr>
        <b/>
        <sz val="10"/>
        <rFont val="Arial Narrow"/>
        <family val="2"/>
      </rPr>
      <t>ponded</t>
    </r>
    <r>
      <rPr>
        <sz val="10"/>
        <rFont val="Arial Narrow"/>
        <family val="2"/>
      </rPr>
      <t xml:space="preserve"> continually for &gt;6 days occupies:</t>
    </r>
  </si>
  <si>
    <r>
      <t xml:space="preserve">When water levels are </t>
    </r>
    <r>
      <rPr>
        <u/>
        <sz val="10"/>
        <rFont val="Arial Narrow"/>
        <family val="2"/>
      </rPr>
      <t>highest</t>
    </r>
    <r>
      <rPr>
        <sz val="10"/>
        <rFont val="Arial Narrow"/>
        <family val="2"/>
      </rPr>
      <t xml:space="preserve">, during a normal year, the AA's </t>
    </r>
    <r>
      <rPr>
        <b/>
        <sz val="10"/>
        <rFont val="Arial Narrow"/>
        <family val="2"/>
      </rPr>
      <t>ponded open water</t>
    </r>
    <r>
      <rPr>
        <sz val="10"/>
        <rFont val="Arial Narrow"/>
        <family val="2"/>
      </rPr>
      <t xml:space="preserve"> occupies a cumulative area of:</t>
    </r>
  </si>
  <si>
    <r>
      <t xml:space="preserve">When water levels are </t>
    </r>
    <r>
      <rPr>
        <u/>
        <sz val="10"/>
        <rFont val="Arial Narrow"/>
        <family val="2"/>
      </rPr>
      <t>lowest</t>
    </r>
    <r>
      <rPr>
        <sz val="10"/>
        <rFont val="Arial Narrow"/>
        <family val="2"/>
      </rPr>
      <t xml:space="preserve">, during a normal year, but surface water still occupies </t>
    </r>
    <r>
      <rPr>
        <u/>
        <sz val="10"/>
        <rFont val="Arial Narrow"/>
        <family val="2"/>
      </rPr>
      <t xml:space="preserve">&gt;1,076 sq feet (100 sq meter) OR  &gt;1% of the AA </t>
    </r>
    <r>
      <rPr>
        <sz val="10"/>
        <rFont val="Arial Narrow"/>
        <family val="2"/>
      </rPr>
      <t xml:space="preserve">(whichever is more), the water that is </t>
    </r>
    <r>
      <rPr>
        <b/>
        <sz val="10"/>
        <rFont val="Arial Narrow"/>
        <family val="2"/>
      </rPr>
      <t>ponded</t>
    </r>
    <r>
      <rPr>
        <sz val="10"/>
        <rFont val="Arial Narrow"/>
        <family val="2"/>
      </rPr>
      <t xml:space="preserve"> (either visible or concealed by vegetation) in the AA occupies:</t>
    </r>
  </si>
  <si>
    <r>
      <t>When water levels are l</t>
    </r>
    <r>
      <rPr>
        <u/>
        <sz val="10"/>
        <rFont val="Arial Narrow"/>
        <family val="2"/>
      </rPr>
      <t>owest</t>
    </r>
    <r>
      <rPr>
        <sz val="10"/>
        <rFont val="Arial Narrow"/>
        <family val="2"/>
      </rPr>
      <t xml:space="preserve">, during a normal year, the AA's </t>
    </r>
    <r>
      <rPr>
        <b/>
        <sz val="10"/>
        <rFont val="Arial Narrow"/>
        <family val="2"/>
      </rPr>
      <t>ponded open water</t>
    </r>
    <r>
      <rPr>
        <sz val="10"/>
        <rFont val="Arial Narrow"/>
        <family val="2"/>
      </rPr>
      <t xml:space="preserve"> occupies a cumulative area, including adjacent ponded waters, of:</t>
    </r>
  </si>
  <si>
    <r>
      <rPr>
        <b/>
        <sz val="10"/>
        <rFont val="Arial Narrow"/>
        <family val="2"/>
      </rPr>
      <t>SAV</t>
    </r>
    <r>
      <rPr>
        <sz val="10"/>
        <rFont val="Arial Narrow"/>
        <family val="2"/>
      </rPr>
      <t xml:space="preserve"> -  are herbaceous plants that characteristically grow at or below the water surface, i.e., whose leaves are primarily and characteristically under or on the water surface during most of the part of the growing season when surface water is present.  Some species are rooted in the sediment whereas others are not. If pond lily (</t>
    </r>
    <r>
      <rPr>
        <i/>
        <sz val="10"/>
        <rFont val="Arial Narrow"/>
        <family val="2"/>
      </rPr>
      <t>Nuphar</t>
    </r>
    <r>
      <rPr>
        <sz val="10"/>
        <rFont val="Arial Narrow"/>
        <family val="2"/>
      </rPr>
      <t xml:space="preserve">) is the predominant species, consider its maximum extent only during the period when surface water is present beneath the leaves.  
[OE,INV,FR,AM,WBF,WBN] </t>
    </r>
  </si>
  <si>
    <r>
      <rPr>
        <b/>
        <sz val="10"/>
        <rFont val="Arial Narrow"/>
        <family val="2"/>
      </rPr>
      <t>Valley width</t>
    </r>
    <r>
      <rPr>
        <sz val="10"/>
        <rFont val="Arial Narrow"/>
        <family val="2"/>
      </rPr>
      <t xml:space="preserve"> -  is delimited by an abrupt increase in slope on both sides of the channel. 
[AM,SBM,PD,Sens] </t>
    </r>
  </si>
  <si>
    <r>
      <rPr>
        <b/>
        <sz val="10"/>
        <rFont val="Arial Narrow"/>
        <family val="2"/>
      </rPr>
      <t xml:space="preserve">Shorebird habitat </t>
    </r>
    <r>
      <rPr>
        <sz val="10"/>
        <rFont val="Arial Narrow"/>
        <family val="2"/>
      </rPr>
      <t xml:space="preserve">- areas must have </t>
    </r>
    <r>
      <rPr>
        <b/>
        <sz val="10"/>
        <rFont val="Arial Narrow"/>
        <family val="2"/>
      </rPr>
      <t>(a)</t>
    </r>
    <r>
      <rPr>
        <sz val="10"/>
        <rFont val="Arial Narrow"/>
        <family val="2"/>
      </rPr>
      <t xml:space="preserve"> grasses shorter than 6", or a mudflat, during any part of this period, </t>
    </r>
    <r>
      <rPr>
        <b/>
        <sz val="10"/>
        <rFont val="Arial Narrow"/>
        <family val="2"/>
      </rPr>
      <t>AND (b)</t>
    </r>
    <r>
      <rPr>
        <sz val="10"/>
        <rFont val="Arial Narrow"/>
        <family val="2"/>
      </rPr>
      <t xml:space="preserve"> soils that either are saturated or covered with &lt;2 inches of water during any part of this period, </t>
    </r>
    <r>
      <rPr>
        <b/>
        <sz val="10"/>
        <rFont val="Arial Narrow"/>
        <family val="2"/>
      </rPr>
      <t>AND (c)</t>
    </r>
    <r>
      <rPr>
        <sz val="10"/>
        <rFont val="Arial Narrow"/>
        <family val="2"/>
      </rPr>
      <t xml:space="preserve"> no detectable surrounding slope (e.g., not the bottom of an incised dry channel), </t>
    </r>
    <r>
      <rPr>
        <b/>
        <sz val="10"/>
        <rFont val="Arial Narrow"/>
        <family val="2"/>
      </rPr>
      <t>AND (d)</t>
    </r>
    <r>
      <rPr>
        <sz val="10"/>
        <rFont val="Arial Narrow"/>
        <family val="2"/>
      </rPr>
      <t xml:space="preserve"> not shaded by shrubs or trees. See photograph in Appendix A of manual. This addresses needs of most migratory sandpipers, plovers, curlews, and godwits.
 [WBF] </t>
    </r>
  </si>
  <si>
    <r>
      <rPr>
        <b/>
        <sz val="10"/>
        <rFont val="Arial Narrow"/>
        <family val="2"/>
      </rPr>
      <t xml:space="preserve">Major runoff events - </t>
    </r>
    <r>
      <rPr>
        <sz val="10"/>
        <rFont val="Arial Narrow"/>
        <family val="2"/>
      </rPr>
      <t xml:space="preserve">would include biennial high water caused by storms and/or rapid snowmelt. 
</t>
    </r>
    <r>
      <rPr>
        <b/>
        <sz val="10"/>
        <rFont val="Arial Narrow"/>
        <family val="2"/>
      </rPr>
      <t>Impeded</t>
    </r>
    <r>
      <rPr>
        <sz val="10"/>
        <rFont val="Arial Narrow"/>
        <family val="2"/>
      </rPr>
      <t xml:space="preserve"> - means causing a delay or reduction in water velocity or volume. 
[WS,SR,PR,NR,CS,OE,Sens,STR] </t>
    </r>
  </si>
  <si>
    <r>
      <t xml:space="preserve">This mainly refers to surface water that moves between the inlet and outlet.  Some judgment is required in assessing straight vs. indirect flow path.  
See </t>
    </r>
    <r>
      <rPr>
        <u/>
        <sz val="10"/>
        <rFont val="Arial Narrow"/>
        <family val="2"/>
      </rPr>
      <t xml:space="preserve">ORWAP Manual </t>
    </r>
    <r>
      <rPr>
        <sz val="10"/>
        <rFont val="Arial Narrow"/>
        <family val="2"/>
      </rPr>
      <t xml:space="preserve"> Appendix A diagram (pg 50).
[WS,SR,PR,NR,OE,INV,FA,FR,WBF,WBN,PD] </t>
    </r>
  </si>
  <si>
    <r>
      <t xml:space="preserve">Forbs -  </t>
    </r>
    <r>
      <rPr>
        <sz val="10"/>
        <rFont val="Arial Narrow"/>
        <family val="2"/>
      </rPr>
      <t>are flowering non-woody vascular plants (excludes grasses, sedges, ferns, mosses). 
[POL]</t>
    </r>
  </si>
  <si>
    <r>
      <t xml:space="preserve">Overwhelmingly (&gt;80% cover) non-native species AND </t>
    </r>
    <r>
      <rPr>
        <u/>
        <sz val="10"/>
        <rFont val="Arial Narrow"/>
        <family val="2"/>
      </rPr>
      <t>&gt;10%</t>
    </r>
    <r>
      <rPr>
        <sz val="10"/>
        <rFont val="Arial Narrow"/>
        <family val="2"/>
      </rPr>
      <t xml:space="preserve"> of the herbaceous cover is </t>
    </r>
    <r>
      <rPr>
        <u/>
        <sz val="10"/>
        <rFont val="Arial Narrow"/>
        <family val="2"/>
      </rPr>
      <t>invasive species</t>
    </r>
    <r>
      <rPr>
        <sz val="10"/>
        <rFont val="Arial Narrow"/>
        <family val="2"/>
      </rPr>
      <t>.  
(See ORWAP SuppInfo file for species designations).</t>
    </r>
  </si>
  <si>
    <r>
      <t xml:space="preserve">Overwhelmingly (&gt;80% cover) non-native species AND </t>
    </r>
    <r>
      <rPr>
        <u/>
        <sz val="10"/>
        <rFont val="Arial Narrow"/>
        <family val="2"/>
      </rPr>
      <t>&lt;10%</t>
    </r>
    <r>
      <rPr>
        <sz val="10"/>
        <rFont val="Arial Narrow"/>
        <family val="2"/>
      </rPr>
      <t xml:space="preserve"> of the herbaceous cover is </t>
    </r>
    <r>
      <rPr>
        <u/>
        <sz val="10"/>
        <rFont val="Arial Narrow"/>
        <family val="2"/>
      </rPr>
      <t>invasive species</t>
    </r>
    <r>
      <rPr>
        <sz val="10"/>
        <rFont val="Arial Narrow"/>
        <family val="2"/>
      </rPr>
      <t xml:space="preserve">; 
OR 50-80% of cover is non-native species regardless of invasiveness. </t>
    </r>
  </si>
  <si>
    <t>Includes most bogs and fens.  May be a floating island.
[NR,CS,OE,WBF,WBN,Sens]</t>
  </si>
  <si>
    <r>
      <rPr>
        <u/>
        <sz val="10"/>
        <rFont val="Arial Narrow"/>
        <family val="2"/>
      </rPr>
      <t>Only the wood that is at or above the water surface is assessed</t>
    </r>
    <r>
      <rPr>
        <sz val="10"/>
        <rFont val="Arial Narrow"/>
        <family val="2"/>
      </rPr>
      <t xml:space="preserve"> because of the impracticality of assessing underwater wood accurately when using a rapid assessment method.  
[FA,FR,AM] </t>
    </r>
  </si>
  <si>
    <t xml:space="preserve">Exclude temporary "burn piles."
[INV,AM,SBM,POL] </t>
  </si>
  <si>
    <r>
      <rPr>
        <b/>
        <sz val="10"/>
        <rFont val="Arial Narrow"/>
        <family val="2"/>
      </rPr>
      <t>Vegetated part</t>
    </r>
    <r>
      <rPr>
        <sz val="10"/>
        <rFont val="Arial Narrow"/>
        <family val="2"/>
      </rPr>
      <t xml:space="preserve"> - should not include floating-leaved or submersed aquatics. 
[SBM,PD] </t>
    </r>
  </si>
  <si>
    <r>
      <t>For a more complete list, see</t>
    </r>
    <r>
      <rPr>
        <b/>
        <sz val="10"/>
        <rFont val="Arial Narrow"/>
        <family val="2"/>
      </rPr>
      <t xml:space="preserve"> </t>
    </r>
    <r>
      <rPr>
        <u/>
        <sz val="10"/>
        <rFont val="Arial Narrow"/>
        <family val="2"/>
      </rPr>
      <t>ORWAP_SuppInfo</t>
    </r>
    <r>
      <rPr>
        <sz val="10"/>
        <rFont val="Arial Narrow"/>
        <family val="2"/>
      </rPr>
      <t xml:space="preserve">, worksheet NFIX (includes native and non-native species).  Do not include algae. 
[OE,INV,Sens] </t>
    </r>
  </si>
  <si>
    <t xml:space="preserve"> Base this on the cumulative canopy width of the trees.
[WSv,FA,WBF,WBN,SBM] </t>
  </si>
  <si>
    <r>
      <t xml:space="preserve">Along the AA's </t>
    </r>
    <r>
      <rPr>
        <u/>
        <sz val="10"/>
        <rFont val="Arial Narrow"/>
        <family val="2"/>
      </rPr>
      <t>edge (perimeter)</t>
    </r>
    <r>
      <rPr>
        <sz val="10"/>
        <rFont val="Arial Narrow"/>
        <family val="2"/>
      </rPr>
      <t xml:space="preserve">, the cover of </t>
    </r>
    <r>
      <rPr>
        <u/>
        <sz val="10"/>
        <rFont val="Arial Narrow"/>
        <family val="2"/>
      </rPr>
      <t>invasive woody or herbaceous plants</t>
    </r>
    <r>
      <rPr>
        <sz val="10"/>
        <rFont val="Arial Narrow"/>
        <family val="2"/>
      </rPr>
      <t xml:space="preserve"> occupies: 
[If vegetation is so senesced that apparently-dominant edge species cannot be identified even to genus, answer "none"].</t>
    </r>
  </si>
  <si>
    <r>
      <t xml:space="preserve">See </t>
    </r>
    <r>
      <rPr>
        <u/>
        <sz val="10"/>
        <rFont val="Arial Narrow"/>
        <family val="2"/>
      </rPr>
      <t>ORWAP_SuppInfo file</t>
    </r>
    <r>
      <rPr>
        <sz val="10"/>
        <rFont val="Arial Narrow"/>
        <family val="2"/>
      </rPr>
      <t xml:space="preserve">, worksheet P_Invas. 
Some of the most common invaders along upland edges of Oregon wetlands are Himalayan blackberry, knotweed, sweetbrier rose, Russian olive, English ivy, nightshade, pepperweed, medusahead, white clover, ryegrass, quackgrass, false brome, bentgrass, dandelion, oxeye daisy, pennyroyal, bull and creeping thistles, tansy ragwort, poison hemlock, and teasel.    If a plant cannot be identified to species (e.g., winter conditions) but its genus contains an invasive species, assume the unidentified plant to also be invasive.  
[PD,STR] </t>
    </r>
  </si>
  <si>
    <r>
      <rPr>
        <b/>
        <sz val="10"/>
        <rFont val="Arial Narrow"/>
        <family val="2"/>
      </rPr>
      <t xml:space="preserve">Bare ground- </t>
    </r>
    <r>
      <rPr>
        <sz val="10"/>
        <rFont val="Arial Narrow"/>
        <family val="2"/>
      </rPr>
      <t xml:space="preserve"> includes unvegetated soil, rock, sand, or mud between stems if any. Bare ground under a tree or shrub canopy should be counted.  
Wetlands that are dominated by annual plant species tend to have more extensive areas that are bare during the early growing season. 
[WS,WC,SR,PR,NR,CS,OE,INV,AM,SBM,POL,Sens,EC]</t>
    </r>
  </si>
  <si>
    <r>
      <t xml:space="preserve">The AA is part of an area designated as a BLM Area of Critical Environmental Concern (ACEC) or Outstanding Natural Area (ONA), Federal Research Natural Area (RNA) or Special Interest Area (SIA), or Natural Heritage Conservation Area (NHCA). </t>
    </r>
    <r>
      <rPr>
        <b/>
        <sz val="10"/>
        <rFont val="Arial Narrow"/>
        <family val="2"/>
      </rPr>
      <t>Enter 1, if true.</t>
    </r>
  </si>
  <si>
    <t xml:space="preserve">Judge this based on proximity to population centers, roads, trails, accessibility of the AA to the public, wetland size, usual water depth, and physical evidence of human visitation. Exclude visits that are not likely to continue and/or that are not an annual occurrence (e.g., by construction, maintenance, or monitoring crews). 
[AM,WBF,WBN,SBM,PD,PUv,STR] </t>
  </si>
  <si>
    <t xml:space="preserve">See note above.  
[AM,WBF,WBN,SBM,PD,PUv,STR] </t>
  </si>
  <si>
    <t xml:space="preserve">Evidence of these consumptive uses may consist of direct observation, or presence of physical evidence (e.g., recently cut stumps, fishing lures, shell cases), or might be obtained from communication with the land owner or manager. 
[FRv,WBFv,PUv] </t>
  </si>
  <si>
    <t>Assume there are (when unknown), if there is an inhabited structure within the specified distance and the neighborhood is known to not be connected to a municipal drinking water system (e.g., is outside an urban growth boundary or other densely settled area). 
[NRv]</t>
  </si>
  <si>
    <r>
      <t>See</t>
    </r>
    <r>
      <rPr>
        <u/>
        <sz val="10"/>
        <rFont val="Arial Narrow"/>
        <family val="2"/>
      </rPr>
      <t xml:space="preserve"> ORWAP_SuppInfo</t>
    </r>
    <r>
      <rPr>
        <sz val="10"/>
        <rFont val="Arial Narrow"/>
        <family val="2"/>
      </rPr>
      <t xml:space="preserve"> file, worksheet P_Salt for species typically occurring in tidal or saline conditions. 
[PR, CS, INV ,FA, FR, AM, WBF]</t>
    </r>
  </si>
  <si>
    <r>
      <t xml:space="preserve">For head-of-tide, review the  </t>
    </r>
    <r>
      <rPr>
        <u/>
        <sz val="10"/>
        <rFont val="Arial Narrow"/>
        <family val="2"/>
      </rPr>
      <t xml:space="preserve">ORWAP Map Viewer 's </t>
    </r>
    <r>
      <rPr>
        <sz val="10"/>
        <rFont val="Arial Narrow"/>
        <family val="2"/>
      </rPr>
      <t xml:space="preserve">Headtide (2007) layer (under Water Source &amp; Quality) or check with local sources. 
 [PR,NR,CS,OE,PD] </t>
    </r>
  </si>
  <si>
    <r>
      <t xml:space="preserve">Include any natural channels within the marsh that are inundated at least once daily by tide.  
For plant indicator species, see file </t>
    </r>
    <r>
      <rPr>
        <u/>
        <sz val="10"/>
        <rFont val="Arial Narrow"/>
        <family val="2"/>
        <scheme val="minor"/>
      </rPr>
      <t xml:space="preserve">ORWAP_SuppInfo </t>
    </r>
    <r>
      <rPr>
        <sz val="10"/>
        <rFont val="Arial Narrow"/>
        <family val="2"/>
        <scheme val="minor"/>
      </rPr>
      <t xml:space="preserve">file's worksheet P_LowTidal.   
[SR,PR,CS,OE,INV,FA,WBF,SBM,PD,POL] </t>
    </r>
  </si>
  <si>
    <t>Estimate as the elevation difference between the inlet and outlet (if any) divided by the distance between them, or the difference between the highest and lowest points in the wetland divided by the distance between them. 
[OE]</t>
  </si>
  <si>
    <r>
      <t>Within the intertidal part of the AA, the approximate density of tidal channels that remain wetted during low tide on most days of the year (i.e.,</t>
    </r>
    <r>
      <rPr>
        <b/>
        <sz val="10"/>
        <rFont val="Arial Narrow"/>
        <family val="2"/>
      </rPr>
      <t xml:space="preserve"> MLLW</t>
    </r>
    <r>
      <rPr>
        <sz val="10"/>
        <rFont val="Arial Narrow"/>
        <family val="2"/>
      </rPr>
      <t>) is:</t>
    </r>
  </si>
  <si>
    <t xml:space="preserve">Palustrine does not include a river or lake. 
[OE,INV,FA,WBF,SBM,PD] </t>
  </si>
  <si>
    <r>
      <t xml:space="preserve">Within parts of the AA that have herbaceous cover (excluding SAV), the areal cover of </t>
    </r>
    <r>
      <rPr>
        <u/>
        <sz val="10"/>
        <rFont val="Arial Narrow"/>
        <family val="2"/>
      </rPr>
      <t>forbs</t>
    </r>
    <r>
      <rPr>
        <b/>
        <sz val="10"/>
        <rFont val="Arial Narrow"/>
        <family val="2"/>
      </rPr>
      <t xml:space="preserve"> </t>
    </r>
    <r>
      <rPr>
        <sz val="10"/>
        <rFont val="Arial Narrow"/>
        <family val="2"/>
      </rPr>
      <t>reaches an annual maximum of:</t>
    </r>
  </si>
  <si>
    <r>
      <rPr>
        <b/>
        <sz val="10"/>
        <rFont val="Arial Narrow"/>
        <family val="2"/>
      </rPr>
      <t>Perennial cover</t>
    </r>
    <r>
      <rPr>
        <sz val="10"/>
        <rFont val="Arial Narrow"/>
        <family val="2"/>
      </rPr>
      <t xml:space="preserve"> is vegetation that includes wooded areas, native prairies, sagebrush, vegetated wetlands, as well as relatively unmanaged commercial lands in which the ground is disturbed less frequently than annually such as perennial ryegrass fields, hayfields, lightly grazed pastures, timber harvest areas, and rangeland. 
 It </t>
    </r>
    <r>
      <rPr>
        <u/>
        <sz val="10"/>
        <rFont val="Arial Narrow"/>
        <family val="2"/>
      </rPr>
      <t>does not</t>
    </r>
    <r>
      <rPr>
        <sz val="10"/>
        <rFont val="Arial Narrow"/>
        <family val="2"/>
      </rPr>
      <t xml:space="preserve"> include water, row crops (vegetable, orchards, Christmas tree farms), residential areas, golf courses, recreational fields, pavement, bare soil, rock, bare sand, or gravel or dirt roads.  
[FA,SBM,PD] </t>
    </r>
  </si>
  <si>
    <r>
      <rPr>
        <b/>
        <sz val="10"/>
        <rFont val="Arial Narrow"/>
        <family val="2"/>
      </rPr>
      <t>Repeatedly</t>
    </r>
    <r>
      <rPr>
        <sz val="10"/>
        <rFont val="Arial Narrow"/>
        <family val="2"/>
      </rPr>
      <t xml:space="preserve"> means the condition occurred in at least half of the last 10 years.
[EC]</t>
    </r>
  </si>
  <si>
    <r>
      <rPr>
        <b/>
        <sz val="10"/>
        <rFont val="Arial Narrow"/>
        <family val="2"/>
      </rPr>
      <t xml:space="preserve">Bare ground </t>
    </r>
    <r>
      <rPr>
        <sz val="10"/>
        <rFont val="Arial Narrow"/>
        <family val="2"/>
      </rPr>
      <t xml:space="preserve"> includes unvegetated soil, rock, sand, or mud between stems if any. Bare ground that is present under a tree or shrub canopy should be counted.
Wetlands that are dominated by annual plant species tend to have more extensive areas that are bare during the early growing season. 
[SR,PR,NR,CS,OE,INV,SBM,Sens] </t>
    </r>
  </si>
  <si>
    <r>
      <t xml:space="preserve">Do not base the texture on soil maps unless the AA is inaccessible.  In the </t>
    </r>
    <r>
      <rPr>
        <u/>
        <sz val="10"/>
        <rFont val="Arial Narrow"/>
        <family val="2"/>
      </rPr>
      <t>ORWAP Manual</t>
    </r>
    <r>
      <rPr>
        <sz val="10"/>
        <rFont val="Arial Narrow"/>
        <family val="2"/>
      </rPr>
      <t xml:space="preserve">, see protocol (Step 7, pg 33) and chart (Appendix A, pg 52).
</t>
    </r>
    <r>
      <rPr>
        <b/>
        <sz val="10"/>
        <rFont val="Arial Narrow"/>
        <family val="2"/>
      </rPr>
      <t>Duff</t>
    </r>
    <r>
      <rPr>
        <sz val="10"/>
        <rFont val="Arial Narrow"/>
        <family val="2"/>
      </rPr>
      <t xml:space="preserve"> is loose organic surface material, e.g., dead plant leaves and stems. 
Organic soils are much less common in floodplains.
[PR,CS,INV,PD,Sens] </t>
    </r>
  </si>
  <si>
    <r>
      <rPr>
        <b/>
        <sz val="10"/>
        <rFont val="Arial Narrow"/>
        <family val="2"/>
      </rPr>
      <t>Unsheltered fence</t>
    </r>
    <r>
      <rPr>
        <sz val="10"/>
        <rFont val="Arial Narrow"/>
        <family val="2"/>
      </rPr>
      <t xml:space="preserve"> means open to flying waterfowl on both sides, i.e., not entirely within an area of tall dense vegetation.
[WBF]</t>
    </r>
  </si>
  <si>
    <t xml:space="preserve">Judge this based on proximity to population centers, roads, trails, accessibility of the AA to the public, wetland size, usual water depth, and physical evidence of human visitation. Exclude visits that are not likely to continue and/or that are not an annual occurrence (e.g., by construction or monitoring crews). 
[WBF,PD,PUv] </t>
  </si>
  <si>
    <t xml:space="preserve">See note above.
[WBF,PD,PUv] </t>
  </si>
  <si>
    <t>Evidence of these consumptive uses may consist of direct observation, or presence of physical evidence (e.g., recently cut stumps, fishing lures, shell cases), or might be obtained from communication with the land owner or manager. 
[PUv]</t>
  </si>
  <si>
    <r>
      <t xml:space="preserve">An initial indication of ownership can be found on the </t>
    </r>
    <r>
      <rPr>
        <u/>
        <sz val="10"/>
        <rFont val="Arial Narrow"/>
        <family val="2"/>
      </rPr>
      <t>ORWAP Map Viewer</t>
    </r>
    <r>
      <rPr>
        <sz val="10"/>
        <rFont val="Arial Narrow"/>
        <family val="2"/>
      </rPr>
      <t xml:space="preserve"> under the Land Ownership layer.  However, it is advisable to ask local sources or use local maps with higher precision. 
[PUv]</t>
    </r>
  </si>
  <si>
    <r>
      <t xml:space="preserve">IF((Tidal=1),0, IF((NeverWater or TempWet), [2*Groundw + AVERAGE(Gcover,WoodyPct)]/3,  </t>
    </r>
    <r>
      <rPr>
        <b/>
        <sz val="10"/>
        <rFont val="Arial Narrow"/>
        <family val="2"/>
      </rPr>
      <t>ELSE:</t>
    </r>
    <r>
      <rPr>
        <sz val="10"/>
        <rFont val="Arial Narrow"/>
        <family val="2"/>
      </rPr>
      <t xml:space="preserve">
[2*Groundw + AVERAGE[WoodyDryShade,AVERAGE(WidthWet, WoodyPct,EmPct, Gcover) + AVERAGE(Hydropd,DepthDom,PondWpctDry)] /4</t>
    </r>
  </si>
  <si>
    <t>MAX[RareSBM, AVERAGE(RareSBM,UniqPatch,Visibil, Zoning,Arid)]</t>
  </si>
  <si>
    <t>GROUPS</t>
  </si>
  <si>
    <t>Other Attributes:</t>
  </si>
  <si>
    <t>Score</t>
  </si>
  <si>
    <t>Rating</t>
  </si>
  <si>
    <t xml:space="preserve">Rating Break Proximity </t>
  </si>
  <si>
    <r>
      <t>Hydrologic Function (</t>
    </r>
    <r>
      <rPr>
        <sz val="8"/>
        <rFont val="Arial"/>
        <family val="2"/>
      </rPr>
      <t>WS)</t>
    </r>
  </si>
  <si>
    <r>
      <t xml:space="preserve">Water Quality Support </t>
    </r>
    <r>
      <rPr>
        <sz val="8"/>
        <rFont val="Arial"/>
        <family val="2"/>
      </rPr>
      <t>(SR, PR, or NR)</t>
    </r>
  </si>
  <si>
    <r>
      <t xml:space="preserve">Fish Habitat </t>
    </r>
    <r>
      <rPr>
        <sz val="8"/>
        <rFont val="Arial"/>
        <family val="2"/>
      </rPr>
      <t>(FA or FR)</t>
    </r>
  </si>
  <si>
    <r>
      <t xml:space="preserve">Aquatic Habitat </t>
    </r>
    <r>
      <rPr>
        <sz val="8"/>
        <rFont val="Arial"/>
        <family val="2"/>
      </rPr>
      <t>(AM, WBF, or WBN)</t>
    </r>
  </si>
  <si>
    <r>
      <t xml:space="preserve">Ecosystem Support </t>
    </r>
    <r>
      <rPr>
        <sz val="8"/>
        <rFont val="Arial"/>
        <family val="2"/>
      </rPr>
      <t>(WC, INV, PD, POL, SBM, or OE)</t>
    </r>
  </si>
  <si>
    <r>
      <rPr>
        <b/>
        <sz val="10"/>
        <rFont val="Arial Narrow"/>
        <family val="2"/>
        <scheme val="minor"/>
      </rPr>
      <t>NOTE</t>
    </r>
    <r>
      <rPr>
        <sz val="10"/>
        <rFont val="Arial Narrow"/>
        <family val="2"/>
        <scheme val="minor"/>
      </rPr>
      <t>: A score of 0 does not always mean the function or value is absent from the wetland. It usually means that this wetland has equal or less capacity than the lowest-scoring one, for that function or value, from among the 200 calibration wetlands that were assessed previously by Oregon Department of State Lands.</t>
    </r>
  </si>
  <si>
    <t xml:space="preserve">Scores will appear below after data are entered in worksheets OF, F, T, and S.  See Manual for definitions and descriptions of how scores were computed and ratings assigned.  </t>
  </si>
  <si>
    <t>Selected Function</t>
  </si>
  <si>
    <t>Rating Break Proximity</t>
  </si>
  <si>
    <t>Group Selection</t>
  </si>
  <si>
    <t>Value Rating</t>
  </si>
  <si>
    <t>Rating Sum</t>
  </si>
  <si>
    <r>
      <t xml:space="preserve">Function </t>
    </r>
    <r>
      <rPr>
        <sz val="10"/>
        <rFont val="Arial Narrow"/>
        <family val="2"/>
      </rPr>
      <t>Score</t>
    </r>
  </si>
  <si>
    <r>
      <t>Values</t>
    </r>
    <r>
      <rPr>
        <sz val="10"/>
        <rFont val="Arial Narrow"/>
        <family val="2"/>
      </rPr>
      <t xml:space="preserve"> Score</t>
    </r>
  </si>
  <si>
    <t>OUTPUT DESCRIPTIONS</t>
  </si>
  <si>
    <r>
      <t xml:space="preserve">The </t>
    </r>
    <r>
      <rPr>
        <b/>
        <sz val="10"/>
        <rFont val="Arial Narrow"/>
        <family val="2"/>
        <scheme val="minor"/>
      </rPr>
      <t>Score</t>
    </r>
    <r>
      <rPr>
        <sz val="10"/>
        <rFont val="Arial Narrow"/>
        <family val="2"/>
        <scheme val="minor"/>
      </rPr>
      <t xml:space="preserve"> columns present the numeric score of a function, value, or attribute after it has been mathematically adjusted (normalized) to a full 0-10 point scale, based on calibration data from 200 test sites. See Section 2.3 of the ORWAP Technical Supplement for a description of the normalization process.</t>
    </r>
  </si>
  <si>
    <r>
      <t xml:space="preserve">The </t>
    </r>
    <r>
      <rPr>
        <b/>
        <sz val="10"/>
        <rFont val="Arial Narrow"/>
        <family val="2"/>
        <scheme val="minor"/>
      </rPr>
      <t>Rating</t>
    </r>
    <r>
      <rPr>
        <sz val="10"/>
        <rFont val="Arial Narrow"/>
        <family val="2"/>
        <scheme val="minor"/>
      </rPr>
      <t xml:space="preserve"> columns indicate which of three rating categories (Lower, Moderate, Higher) each normalized score is assigned to. Ratings convey the relative meaning of the numeric score and allow for comparison across different functions and values. The breaks between ratings differ for each function and value, based on the distribution of scores from the 200 calibration wetlands.  See Section 2.4 of the ORWAP Technical Supplement for a description of the statistical process used to assign ratings. </t>
    </r>
  </si>
  <si>
    <r>
      <t xml:space="preserve">The </t>
    </r>
    <r>
      <rPr>
        <b/>
        <sz val="10"/>
        <rFont val="Arial Narrow"/>
        <family val="2"/>
        <scheme val="minor"/>
      </rPr>
      <t>Rating</t>
    </r>
    <r>
      <rPr>
        <sz val="10"/>
        <rFont val="Arial Narrow"/>
        <family val="2"/>
        <scheme val="minor"/>
      </rPr>
      <t xml:space="preserve"> </t>
    </r>
    <r>
      <rPr>
        <b/>
        <sz val="10"/>
        <rFont val="Arial Narrow"/>
        <family val="2"/>
        <scheme val="minor"/>
      </rPr>
      <t xml:space="preserve">Break Proximity </t>
    </r>
    <r>
      <rPr>
        <sz val="10"/>
        <rFont val="Arial Narrow"/>
        <family val="2"/>
        <scheme val="minor"/>
      </rPr>
      <t>columns indicate whether a score is within the statistical confidence interval of the break between rating categories. "LM" indicates close proximity to the break between Lower and Moderate ratings. "MH" indicates close proximity to the break between Moderate and Higher ratings. Confidence intervals were based on testing of score repeatability among users. See Sections 2.4 and 3.2 of the ORWAP Technical Supplement for a description of the repeatability testing.</t>
    </r>
  </si>
  <si>
    <r>
      <rPr>
        <b/>
        <sz val="10"/>
        <rFont val="Arial Narrow"/>
        <family val="2"/>
        <scheme val="minor"/>
      </rPr>
      <t>Groups</t>
    </r>
    <r>
      <rPr>
        <sz val="10"/>
        <rFont val="Arial Narrow"/>
        <family val="2"/>
        <scheme val="minor"/>
      </rPr>
      <t xml:space="preserve"> are a “roll-up” of individual functions and their associated values organized into thematic categories. For any assessed wetland, the specific function selected to represent a function group  is that with the highest-rated function and the highest-rated associated value from among the group's members. This method results in a selection order of (function rating/value rating): H/H</t>
    </r>
    <r>
      <rPr>
        <sz val="12"/>
        <rFont val="Arial Narrow"/>
        <family val="2"/>
        <scheme val="minor"/>
      </rPr>
      <t xml:space="preserve"> →</t>
    </r>
    <r>
      <rPr>
        <sz val="10"/>
        <rFont val="Arial Narrow"/>
        <family val="2"/>
        <scheme val="minor"/>
      </rPr>
      <t xml:space="preserve"> H/M </t>
    </r>
    <r>
      <rPr>
        <sz val="12"/>
        <rFont val="Arial Narrow"/>
        <family val="2"/>
        <scheme val="minor"/>
      </rPr>
      <t xml:space="preserve">→ </t>
    </r>
    <r>
      <rPr>
        <sz val="10"/>
        <rFont val="Arial Narrow"/>
        <family val="2"/>
        <scheme val="minor"/>
      </rPr>
      <t xml:space="preserve">H/L </t>
    </r>
    <r>
      <rPr>
        <sz val="12"/>
        <rFont val="Arial Narrow"/>
        <family val="2"/>
        <scheme val="minor"/>
      </rPr>
      <t xml:space="preserve">→ </t>
    </r>
    <r>
      <rPr>
        <sz val="10"/>
        <rFont val="Arial Narrow"/>
        <family val="2"/>
        <scheme val="minor"/>
      </rPr>
      <t xml:space="preserve">M/H </t>
    </r>
    <r>
      <rPr>
        <sz val="12"/>
        <rFont val="Arial Narrow"/>
        <family val="2"/>
        <scheme val="minor"/>
      </rPr>
      <t xml:space="preserve">→ </t>
    </r>
    <r>
      <rPr>
        <sz val="10"/>
        <rFont val="Arial Narrow"/>
        <family val="2"/>
        <scheme val="minor"/>
      </rPr>
      <t xml:space="preserve">M/M </t>
    </r>
    <r>
      <rPr>
        <sz val="12"/>
        <rFont val="Arial Narrow"/>
        <family val="2"/>
        <scheme val="minor"/>
      </rPr>
      <t xml:space="preserve">→ </t>
    </r>
    <r>
      <rPr>
        <sz val="10"/>
        <rFont val="Arial Narrow"/>
        <family val="2"/>
        <scheme val="minor"/>
      </rPr>
      <t xml:space="preserve">M/L </t>
    </r>
    <r>
      <rPr>
        <sz val="12"/>
        <rFont val="Arial Narrow"/>
        <family val="2"/>
        <scheme val="minor"/>
      </rPr>
      <t xml:space="preserve">→ </t>
    </r>
    <r>
      <rPr>
        <sz val="10"/>
        <rFont val="Arial Narrow"/>
        <family val="2"/>
        <scheme val="minor"/>
      </rPr>
      <t xml:space="preserve">L/H </t>
    </r>
    <r>
      <rPr>
        <sz val="12"/>
        <rFont val="Arial Narrow"/>
        <family val="2"/>
        <scheme val="minor"/>
      </rPr>
      <t xml:space="preserve">→ </t>
    </r>
    <r>
      <rPr>
        <sz val="10"/>
        <rFont val="Arial Narrow"/>
        <family val="2"/>
        <scheme val="minor"/>
      </rPr>
      <t xml:space="preserve">L/M </t>
    </r>
    <r>
      <rPr>
        <sz val="12"/>
        <rFont val="Arial Narrow"/>
        <family val="2"/>
        <scheme val="minor"/>
      </rPr>
      <t xml:space="preserve">→ </t>
    </r>
    <r>
      <rPr>
        <sz val="10"/>
        <rFont val="Arial Narrow"/>
        <family val="2"/>
        <scheme val="minor"/>
      </rPr>
      <t>L/L. See Section 2.5 of the ORWAP Technical Supplement for additional information about groups.</t>
    </r>
  </si>
  <si>
    <t>Tidal Wetland (Tidal)</t>
  </si>
  <si>
    <r>
      <rPr>
        <b/>
        <sz val="10"/>
        <rFont val="Arial Narrow"/>
        <family val="2"/>
      </rPr>
      <t>Ponded</t>
    </r>
    <r>
      <rPr>
        <sz val="10"/>
        <rFont val="Arial Narrow"/>
        <family val="2"/>
      </rPr>
      <t xml:space="preserve"> - Most surface water is not visibly flowing. Flow, if any, is not sufficient to suspend fine sediment.  These include pools in floodplains and may be either large (e.g., an off-channel pond) or small (size of a puddle).
 [OE,AM,WBF,WBN,PD] </t>
    </r>
  </si>
  <si>
    <r>
      <t xml:space="preserve">Identify the parts of the AA that still contain surface water even during the </t>
    </r>
    <r>
      <rPr>
        <b/>
        <sz val="10"/>
        <rFont val="Arial Narrow"/>
        <family val="2"/>
      </rPr>
      <t>driest times of a normal year</t>
    </r>
    <r>
      <rPr>
        <sz val="10"/>
        <rFont val="Arial Narrow"/>
        <family val="2"/>
      </rPr>
      <t xml:space="preserve"> . At that time, the percentage of the AA that still contains surface water is: </t>
    </r>
  </si>
  <si>
    <r>
      <rPr>
        <b/>
        <sz val="10"/>
        <rFont val="Arial Narrow"/>
        <family val="2"/>
      </rPr>
      <t>driest times of a normal year -</t>
    </r>
    <r>
      <rPr>
        <sz val="10"/>
        <rFont val="Arial Narrow"/>
        <family val="2"/>
      </rPr>
      <t xml:space="preserve"> i.e., when the AA’s surface water is at its lowest annual level.
Sites fed by unregulated streams that descend on north-facing slopes, tend to remain wet longer into the summer. Indicators of persistence may include fish, some dragonflies, beaver, and muskrat. 
[PR,NR,CS,INV,FR,AM,WBF,WBN] </t>
    </r>
  </si>
  <si>
    <t>0.50 to &lt;1  acres.</t>
  </si>
  <si>
    <t>640 to &lt;1000 acres.</t>
  </si>
  <si>
    <r>
      <rPr>
        <b/>
        <sz val="10"/>
        <rFont val="Arial Narrow"/>
        <family val="2"/>
      </rPr>
      <t>MLLW</t>
    </r>
    <r>
      <rPr>
        <sz val="10"/>
        <rFont val="Arial Narrow"/>
        <family val="2"/>
      </rPr>
      <t xml:space="preserve"> - mean lower low water 
[OE,INV,FA,WBF,PD]</t>
    </r>
  </si>
  <si>
    <t xml:space="preserve">Erosive wave conditions often occur where adjoining open water has a fetch (uninterrupted distance) of greater than approximately 1 mile in the direction of the strongest and most frequent wind. 
[SR,PR,OE] </t>
  </si>
  <si>
    <r>
      <t xml:space="preserve">Tidal wetland forbs include </t>
    </r>
    <r>
      <rPr>
        <i/>
        <sz val="10"/>
        <rFont val="Arial Narrow"/>
        <family val="2"/>
      </rPr>
      <t>Salicornia</t>
    </r>
    <r>
      <rPr>
        <sz val="10"/>
        <rFont val="Arial Narrow"/>
        <family val="2"/>
      </rPr>
      <t xml:space="preserve"> spp., </t>
    </r>
    <r>
      <rPr>
        <i/>
        <sz val="10"/>
        <rFont val="Arial Narrow"/>
        <family val="2"/>
      </rPr>
      <t>Grindelia</t>
    </r>
    <r>
      <rPr>
        <sz val="10"/>
        <rFont val="Arial Narrow"/>
        <family val="2"/>
      </rPr>
      <t xml:space="preserve"> spp., and other flowering plants. 
[POL]</t>
    </r>
  </si>
  <si>
    <t>0.01 to&lt; 0.10 acres (3,920 sq. ft).</t>
  </si>
  <si>
    <t>0.50 to &lt;5 acres.</t>
  </si>
  <si>
    <t>5 to 50 acres.</t>
  </si>
  <si>
    <t>60 to 95% of the parts of the AA that are inundated for &gt;7 days at some time of the year.</t>
  </si>
  <si>
    <t>25 to 75% of the emergent vegetation.</t>
  </si>
  <si>
    <t>70 to 95% of the AA.</t>
  </si>
  <si>
    <t>0.10 to &lt;0.50 acres (21,340 sq. ft) of the AA and adjacent ponded waters.</t>
  </si>
  <si>
    <t>0.50 to &lt;1 acres of the AA and adjacent ponded waters.</t>
  </si>
  <si>
    <t>1 to &lt;5 acres of the AA and adjacent ponded waters.</t>
  </si>
  <si>
    <t>5 to &lt;50 acres of the AA and adjacent ponded waters.</t>
  </si>
  <si>
    <t>50 to &lt;640 acres (1 sq. mi) of the AA and adjacent ponded waters.</t>
  </si>
  <si>
    <t>64 to &lt;1000 acres of the AA and adjacent ponded waters.</t>
  </si>
  <si>
    <t>1000 to 2500 acres of the AA and adjacent ponded waters.</t>
  </si>
  <si>
    <r>
      <rPr>
        <b/>
        <sz val="10"/>
        <rFont val="Arial Narrow"/>
        <family val="2"/>
      </rPr>
      <t>Ponded</t>
    </r>
    <r>
      <rPr>
        <sz val="10"/>
        <rFont val="Arial Narrow"/>
        <family val="2"/>
      </rPr>
      <t xml:space="preserve"> - Most surface water is not visibly flowing. Flow, if any, is not sufficient to suspend fine sediment.  These include pools in floodplains and may be either large (e.g., an off-channel pond) or small (size of a puddle).        
 [WS,WC,CS,OE,INV,AM,WBF,WBN] </t>
    </r>
  </si>
  <si>
    <r>
      <rPr>
        <b/>
        <sz val="10"/>
        <rFont val="Arial Narrow"/>
        <family val="2"/>
      </rPr>
      <t xml:space="preserve">(a) </t>
    </r>
    <r>
      <rPr>
        <sz val="10"/>
        <rFont val="Arial Narrow"/>
        <family val="2"/>
      </rPr>
      <t xml:space="preserve">Vegetation </t>
    </r>
    <r>
      <rPr>
        <u/>
        <sz val="10"/>
        <rFont val="Arial Narrow"/>
        <family val="2"/>
      </rPr>
      <t>and</t>
    </r>
    <r>
      <rPr>
        <sz val="10"/>
        <rFont val="Arial Narrow"/>
        <family val="2"/>
      </rPr>
      <t xml:space="preserve"> </t>
    </r>
    <r>
      <rPr>
        <b/>
        <sz val="10"/>
        <rFont val="Arial Narrow"/>
        <family val="2"/>
      </rPr>
      <t>open water</t>
    </r>
    <r>
      <rPr>
        <sz val="10"/>
        <rFont val="Arial Narrow"/>
        <family val="2"/>
      </rPr>
      <t xml:space="preserve"> </t>
    </r>
    <r>
      <rPr>
        <u/>
        <sz val="10"/>
        <rFont val="Arial Narrow"/>
        <family val="2"/>
      </rPr>
      <t xml:space="preserve">EACH comprise 30-70% </t>
    </r>
    <r>
      <rPr>
        <sz val="10"/>
        <rFont val="Arial Narrow"/>
        <family val="2"/>
      </rPr>
      <t xml:space="preserve">of the AA (including its bordering waters if any) AND </t>
    </r>
    <r>
      <rPr>
        <b/>
        <sz val="10"/>
        <rFont val="Arial Narrow"/>
        <family val="2"/>
      </rPr>
      <t xml:space="preserve">(b) </t>
    </r>
    <r>
      <rPr>
        <sz val="10"/>
        <rFont val="Arial Narrow"/>
        <family val="2"/>
      </rPr>
      <t xml:space="preserve">There are </t>
    </r>
    <r>
      <rPr>
        <u/>
        <sz val="10"/>
        <rFont val="Arial Narrow"/>
        <family val="2"/>
      </rPr>
      <t>many</t>
    </r>
    <r>
      <rPr>
        <sz val="10"/>
        <rFont val="Arial Narrow"/>
        <family val="2"/>
      </rPr>
      <t xml:space="preserve"> small patches of open water scattered widely within vegetation or </t>
    </r>
    <r>
      <rPr>
        <u/>
        <sz val="10"/>
        <rFont val="Arial Narrow"/>
        <family val="2"/>
      </rPr>
      <t>many</t>
    </r>
    <r>
      <rPr>
        <sz val="10"/>
        <rFont val="Arial Narrow"/>
        <family val="2"/>
      </rPr>
      <t xml:space="preserve"> small vegetation clump "islands" scattered widely within open water. Typical (for example) of some extensive bulrush and cattail marshes.</t>
    </r>
  </si>
  <si>
    <r>
      <rPr>
        <b/>
        <sz val="10"/>
        <rFont val="Arial Narrow"/>
        <family val="2"/>
      </rPr>
      <t>(a)</t>
    </r>
    <r>
      <rPr>
        <sz val="10"/>
        <rFont val="Arial Narrow"/>
        <family val="2"/>
      </rPr>
      <t xml:space="preserve"> Vegetation </t>
    </r>
    <r>
      <rPr>
        <u/>
        <sz val="10"/>
        <rFont val="Arial Narrow"/>
        <family val="2"/>
      </rPr>
      <t>and</t>
    </r>
    <r>
      <rPr>
        <sz val="10"/>
        <rFont val="Arial Narrow"/>
        <family val="2"/>
      </rPr>
      <t xml:space="preserve"> </t>
    </r>
    <r>
      <rPr>
        <b/>
        <sz val="10"/>
        <rFont val="Arial Narrow"/>
        <family val="2"/>
      </rPr>
      <t>open water</t>
    </r>
    <r>
      <rPr>
        <sz val="10"/>
        <rFont val="Arial Narrow"/>
        <family val="2"/>
      </rPr>
      <t xml:space="preserve"> </t>
    </r>
    <r>
      <rPr>
        <u/>
        <sz val="10"/>
        <rFont val="Arial Narrow"/>
        <family val="2"/>
      </rPr>
      <t xml:space="preserve">EACH comprise 30-70% </t>
    </r>
    <r>
      <rPr>
        <sz val="10"/>
        <rFont val="Arial Narrow"/>
        <family val="2"/>
      </rPr>
      <t xml:space="preserve">of the AA (including its bordering waters if any) AND </t>
    </r>
    <r>
      <rPr>
        <b/>
        <sz val="10"/>
        <rFont val="Arial Narrow"/>
        <family val="2"/>
      </rPr>
      <t>(b)</t>
    </r>
    <r>
      <rPr>
        <sz val="10"/>
        <rFont val="Arial Narrow"/>
        <family val="2"/>
      </rPr>
      <t xml:space="preserve"> There are only </t>
    </r>
    <r>
      <rPr>
        <b/>
        <sz val="10"/>
        <rFont val="Arial Narrow"/>
        <family val="2"/>
      </rPr>
      <t xml:space="preserve">a </t>
    </r>
    <r>
      <rPr>
        <u/>
        <sz val="10"/>
        <rFont val="Arial Narrow"/>
        <family val="2"/>
      </rPr>
      <t>few (or no)</t>
    </r>
    <r>
      <rPr>
        <sz val="10"/>
        <rFont val="Arial Narrow"/>
        <family val="2"/>
      </rPr>
      <t xml:space="preserve"> small patches of open water scattered widely within vegetation or a</t>
    </r>
    <r>
      <rPr>
        <u/>
        <sz val="10"/>
        <rFont val="Arial Narrow"/>
        <family val="2"/>
      </rPr>
      <t xml:space="preserve"> few</t>
    </r>
    <r>
      <rPr>
        <sz val="10"/>
        <rFont val="Arial Narrow"/>
        <family val="2"/>
      </rPr>
      <t xml:space="preserve"> small</t>
    </r>
    <r>
      <rPr>
        <b/>
        <sz val="10"/>
        <rFont val="Arial Narrow"/>
        <family val="2"/>
      </rPr>
      <t xml:space="preserve"> </t>
    </r>
    <r>
      <rPr>
        <sz val="10"/>
        <rFont val="Arial Narrow"/>
        <family val="2"/>
      </rPr>
      <t xml:space="preserve">vegetation clump "islands" scattered widely within open water.  </t>
    </r>
  </si>
  <si>
    <r>
      <rPr>
        <b/>
        <sz val="10"/>
        <rFont val="Arial Narrow"/>
        <family val="2"/>
      </rPr>
      <t xml:space="preserve">(a) </t>
    </r>
    <r>
      <rPr>
        <sz val="10"/>
        <rFont val="Arial Narrow"/>
        <family val="2"/>
      </rPr>
      <t xml:space="preserve">Vegetation </t>
    </r>
    <r>
      <rPr>
        <u/>
        <sz val="10"/>
        <rFont val="Arial Narrow"/>
        <family val="2"/>
      </rPr>
      <t>OR</t>
    </r>
    <r>
      <rPr>
        <sz val="10"/>
        <rFont val="Arial Narrow"/>
        <family val="2"/>
      </rPr>
      <t xml:space="preserve"> </t>
    </r>
    <r>
      <rPr>
        <b/>
        <sz val="10"/>
        <rFont val="Arial Narrow"/>
        <family val="2"/>
      </rPr>
      <t>open water</t>
    </r>
    <r>
      <rPr>
        <b/>
        <u/>
        <sz val="10"/>
        <rFont val="Arial Narrow"/>
        <family val="2"/>
      </rPr>
      <t xml:space="preserve"> </t>
    </r>
    <r>
      <rPr>
        <u/>
        <sz val="10"/>
        <rFont val="Arial Narrow"/>
        <family val="2"/>
      </rPr>
      <t>comprise &gt;70%</t>
    </r>
    <r>
      <rPr>
        <sz val="10"/>
        <rFont val="Arial Narrow"/>
        <family val="2"/>
      </rPr>
      <t xml:space="preserve"> of the AA (and its bordering waters) AND </t>
    </r>
    <r>
      <rPr>
        <b/>
        <sz val="10"/>
        <rFont val="Arial Narrow"/>
        <family val="2"/>
      </rPr>
      <t xml:space="preserve">(b) </t>
    </r>
    <r>
      <rPr>
        <sz val="10"/>
        <rFont val="Arial Narrow"/>
        <family val="2"/>
      </rPr>
      <t xml:space="preserve">Open water is </t>
    </r>
    <r>
      <rPr>
        <u/>
        <sz val="10"/>
        <rFont val="Arial Narrow"/>
        <family val="2"/>
      </rPr>
      <t xml:space="preserve">mostly in a single area </t>
    </r>
    <r>
      <rPr>
        <sz val="10"/>
        <rFont val="Arial Narrow"/>
        <family val="2"/>
      </rPr>
      <t>(e.g., center of the wetland) and vegetation is in the rest (e.g., periphery), with almost no intermixing.  (Typical of many ponds excavated for livestock watering, stormwater treatment, mineral extraction as well as many wetlands that are inundated only temporarily each year).</t>
    </r>
  </si>
  <si>
    <r>
      <rPr>
        <b/>
        <sz val="10"/>
        <rFont val="Arial Narrow"/>
        <family val="2"/>
      </rPr>
      <t xml:space="preserve">(a) </t>
    </r>
    <r>
      <rPr>
        <sz val="10"/>
        <rFont val="Arial Narrow"/>
        <family val="2"/>
      </rPr>
      <t xml:space="preserve">Vegetation </t>
    </r>
    <r>
      <rPr>
        <u/>
        <sz val="10"/>
        <rFont val="Arial Narrow"/>
        <family val="2"/>
      </rPr>
      <t>OR</t>
    </r>
    <r>
      <rPr>
        <sz val="10"/>
        <rFont val="Arial Narrow"/>
        <family val="2"/>
      </rPr>
      <t xml:space="preserve"> </t>
    </r>
    <r>
      <rPr>
        <b/>
        <sz val="10"/>
        <rFont val="Arial Narrow"/>
        <family val="2"/>
      </rPr>
      <t>open water</t>
    </r>
    <r>
      <rPr>
        <sz val="10"/>
        <rFont val="Arial Narrow"/>
        <family val="2"/>
      </rPr>
      <t xml:space="preserve"> </t>
    </r>
    <r>
      <rPr>
        <u/>
        <sz val="10"/>
        <rFont val="Arial Narrow"/>
        <family val="2"/>
      </rPr>
      <t>comprise &gt;70%</t>
    </r>
    <r>
      <rPr>
        <sz val="10"/>
        <rFont val="Arial Narrow"/>
        <family val="2"/>
      </rPr>
      <t xml:space="preserve"> of the AA (and its bordering  waters) AND </t>
    </r>
    <r>
      <rPr>
        <b/>
        <sz val="10"/>
        <rFont val="Arial Narrow"/>
        <family val="2"/>
      </rPr>
      <t>(b)</t>
    </r>
    <r>
      <rPr>
        <sz val="10"/>
        <rFont val="Arial Narrow"/>
        <family val="2"/>
      </rPr>
      <t xml:space="preserve"> There are</t>
    </r>
    <r>
      <rPr>
        <u/>
        <sz val="10"/>
        <rFont val="Arial Narrow"/>
        <family val="2"/>
      </rPr>
      <t xml:space="preserve"> several small patches</t>
    </r>
    <r>
      <rPr>
        <sz val="10"/>
        <rFont val="Arial Narrow"/>
        <family val="2"/>
      </rPr>
      <t xml:space="preserve"> of open water scattered within vegetation or </t>
    </r>
    <r>
      <rPr>
        <u/>
        <sz val="10"/>
        <rFont val="Arial Narrow"/>
        <family val="2"/>
      </rPr>
      <t>several</t>
    </r>
    <r>
      <rPr>
        <sz val="10"/>
        <rFont val="Arial Narrow"/>
        <family val="2"/>
      </rPr>
      <t xml:space="preserve"> small vegetation clump "islands" scattered within open water. </t>
    </r>
  </si>
  <si>
    <r>
      <rPr>
        <b/>
        <sz val="10"/>
        <rFont val="Arial Narrow"/>
        <family val="2"/>
      </rPr>
      <t>Ponded</t>
    </r>
    <r>
      <rPr>
        <sz val="10"/>
        <rFont val="Arial Narrow"/>
        <family val="2"/>
      </rPr>
      <t xml:space="preserve"> - Most surface water is not visibly flowing. Flow, if any, is not sufficient to suspend fine sediment.  These include pools in floodplains and may be either large (e.g., an off-channel pond) or small (size of a puddle).
 [WC,FA,FR,AM,WBN,Sens] </t>
    </r>
  </si>
  <si>
    <r>
      <rPr>
        <b/>
        <sz val="10"/>
        <rFont val="Arial Narrow"/>
        <family val="2"/>
      </rPr>
      <t xml:space="preserve">Ponded </t>
    </r>
    <r>
      <rPr>
        <sz val="10"/>
        <rFont val="Arial Narrow"/>
        <family val="2"/>
      </rPr>
      <t xml:space="preserve">- Most surface water is not visibly flowing. Flow, if any, is not sufficient to suspend fine sediment.  These include pools in floodplains and may be either large (e.g., an off-channel pond) or small (size of a puddle).
</t>
    </r>
    <r>
      <rPr>
        <b/>
        <sz val="10"/>
        <rFont val="Arial Narrow"/>
        <family val="2"/>
      </rPr>
      <t xml:space="preserve">Open water - </t>
    </r>
    <r>
      <rPr>
        <sz val="10"/>
        <rFont val="Arial Narrow"/>
        <family val="2"/>
      </rPr>
      <t xml:space="preserve">is surface water of any depth that contains no emergent herbaceous or wood vegetation (may contain floating-leaved or completely submersed species).  It may be partially shaded by a tree canopy. 
[WBN,PUv] </t>
    </r>
  </si>
  <si>
    <r>
      <t xml:space="preserve">(a) Vegetation </t>
    </r>
    <r>
      <rPr>
        <u/>
        <sz val="10"/>
        <rFont val="Arial Narrow"/>
        <family val="2"/>
      </rPr>
      <t xml:space="preserve">and </t>
    </r>
    <r>
      <rPr>
        <b/>
        <sz val="10"/>
        <rFont val="Arial Narrow"/>
        <family val="2"/>
      </rPr>
      <t>open water</t>
    </r>
    <r>
      <rPr>
        <sz val="10"/>
        <rFont val="Arial Narrow"/>
        <family val="2"/>
      </rPr>
      <t xml:space="preserve"> </t>
    </r>
    <r>
      <rPr>
        <u/>
        <sz val="10"/>
        <rFont val="Arial Narrow"/>
        <family val="2"/>
      </rPr>
      <t xml:space="preserve">EACH comprise 30-70% </t>
    </r>
    <r>
      <rPr>
        <sz val="10"/>
        <rFont val="Arial Narrow"/>
        <family val="2"/>
      </rPr>
      <t xml:space="preserve">of the AA (including its bordering waters if any) AND </t>
    </r>
    <r>
      <rPr>
        <b/>
        <sz val="10"/>
        <rFont val="Arial Narrow"/>
        <family val="2"/>
      </rPr>
      <t>(b)</t>
    </r>
    <r>
      <rPr>
        <sz val="10"/>
        <rFont val="Arial Narrow"/>
        <family val="2"/>
      </rPr>
      <t xml:space="preserve"> There are </t>
    </r>
    <r>
      <rPr>
        <u/>
        <sz val="10"/>
        <rFont val="Arial Narrow"/>
        <family val="2"/>
      </rPr>
      <t xml:space="preserve">many small patches </t>
    </r>
    <r>
      <rPr>
        <sz val="10"/>
        <rFont val="Arial Narrow"/>
        <family val="2"/>
      </rPr>
      <t>of open water scattered widely within vegetation or many small vegetation clump "islands" scattered widely within open water. Typical (for example) of some extensive bulrush and cattail marshes.</t>
    </r>
  </si>
  <si>
    <t>50 to 95% of the water area.</t>
  </si>
  <si>
    <t>50 to 75% of the AA.</t>
  </si>
  <si>
    <t>3 to 6%.</t>
  </si>
  <si>
    <t>6 to 10%.</t>
  </si>
  <si>
    <t>50 to 95% of the normally vegetated AA.</t>
  </si>
  <si>
    <t>50 to 95% of the vegetated AA.</t>
  </si>
  <si>
    <t>50 to 95% of the vegetated AA or the water edge (whichever is greater in early summer).</t>
  </si>
  <si>
    <t>50 to 75%.</t>
  </si>
  <si>
    <r>
      <t xml:space="preserve">When water levels are lowest, during a normal year, but surface water still occupies </t>
    </r>
    <r>
      <rPr>
        <u/>
        <sz val="10"/>
        <rFont val="Arial Narrow"/>
        <family val="2"/>
      </rPr>
      <t>&gt;400 sq feet or &gt;1% of the AA</t>
    </r>
    <r>
      <rPr>
        <sz val="10"/>
        <rFont val="Arial Narrow"/>
        <family val="2"/>
      </rPr>
      <t xml:space="preserve"> (which ever is more), the width of the v</t>
    </r>
    <r>
      <rPr>
        <b/>
        <sz val="10"/>
        <rFont val="Arial Narrow"/>
        <family val="2"/>
      </rPr>
      <t xml:space="preserve">egetated wetland </t>
    </r>
    <r>
      <rPr>
        <sz val="10"/>
        <rFont val="Arial Narrow"/>
        <family val="2"/>
      </rPr>
      <t xml:space="preserve">that separates the largest patch of open water within or bordering the AA from the closest adjacent uplands, is predominantly: </t>
    </r>
  </si>
  <si>
    <r>
      <t xml:space="preserve">Measure the width perpendicular to the open water part.  
</t>
    </r>
    <r>
      <rPr>
        <b/>
        <sz val="10"/>
        <rFont val="Arial Narrow"/>
        <family val="2"/>
      </rPr>
      <t xml:space="preserve">Vegetated wetland - </t>
    </r>
    <r>
      <rPr>
        <sz val="10"/>
        <rFont val="Arial Narrow"/>
        <family val="2"/>
      </rPr>
      <t xml:space="preserve">in this case does not include underwater or floating-leaved plants, i.e., aquatic bed. In farmed wetlands that have different crops from year to year, consider vegetation condition as it probably existed during most of the past 5 years.
</t>
    </r>
    <r>
      <rPr>
        <sz val="10"/>
        <color rgb="FFFF0000"/>
        <rFont val="Arial Narrow"/>
        <family val="2"/>
      </rPr>
      <t>Note: For most sites larger than 1 acre and with persistent water, measure the width using aerial imagery rather than estimating in the field.</t>
    </r>
    <r>
      <rPr>
        <sz val="10"/>
        <rFont val="Arial Narrow"/>
        <family val="2"/>
      </rPr>
      <t xml:space="preserve">
[WBN]</t>
    </r>
  </si>
  <si>
    <r>
      <t xml:space="preserve">When water levels are </t>
    </r>
    <r>
      <rPr>
        <u/>
        <sz val="10"/>
        <rFont val="Arial Narrow"/>
        <family val="2"/>
      </rPr>
      <t>highest</t>
    </r>
    <r>
      <rPr>
        <sz val="10"/>
        <rFont val="Arial Narrow"/>
        <family val="2"/>
      </rPr>
      <t xml:space="preserve">, during a normal year, the width of the </t>
    </r>
    <r>
      <rPr>
        <b/>
        <sz val="10"/>
        <rFont val="Arial Narrow"/>
        <family val="2"/>
      </rPr>
      <t xml:space="preserve">vegetated wetland </t>
    </r>
    <r>
      <rPr>
        <sz val="10"/>
        <rFont val="Arial Narrow"/>
        <family val="2"/>
      </rPr>
      <t xml:space="preserve"> that separates the largest patch of open water within or bordering the AA from the closest adjacent uplands, is predominantly: 
[Note: This is not asking for the maximum width.]</t>
    </r>
  </si>
  <si>
    <r>
      <rPr>
        <b/>
        <sz val="10"/>
        <rFont val="Arial Narrow"/>
        <family val="2"/>
      </rPr>
      <t>Vegetated wetland</t>
    </r>
    <r>
      <rPr>
        <sz val="10"/>
        <rFont val="Arial Narrow"/>
        <family val="2"/>
      </rPr>
      <t xml:space="preserve"> - in this case does not include underwater or floating-leaved plants, i.e., aquatic bed. In farmed wetlands that have different crops from year to year, consider vegetation condition as it probably existed during most of the past 5 years.
If open water exists as many patches, use the distance between the majority of those patches and uplands. 
[WC,SR,PR,NR,CS,OE,AM,WBF,WBN,SBM,PD,Sens,EC] </t>
    </r>
  </si>
  <si>
    <r>
      <t xml:space="preserve">At some time of the year, </t>
    </r>
    <r>
      <rPr>
        <u/>
        <sz val="10"/>
        <rFont val="Arial Narrow"/>
        <family val="2"/>
      </rPr>
      <t>most</t>
    </r>
    <r>
      <rPr>
        <b/>
        <sz val="10"/>
        <rFont val="Arial Narrow"/>
        <family val="2"/>
      </rPr>
      <t xml:space="preserve"> </t>
    </r>
    <r>
      <rPr>
        <sz val="10"/>
        <rFont val="Arial Narrow"/>
        <family val="2"/>
      </rPr>
      <t xml:space="preserve">of the AA's otherwise-unshaded water surface is covered by floating mats of algae, or small (&lt;1 inch) floating plants such as duckweed, </t>
    </r>
    <r>
      <rPr>
        <i/>
        <sz val="10"/>
        <rFont val="Arial Narrow"/>
        <family val="2"/>
      </rPr>
      <t>Azolla</t>
    </r>
    <r>
      <rPr>
        <sz val="10"/>
        <rFont val="Arial Narrow"/>
        <family val="2"/>
      </rPr>
      <t xml:space="preserve">, </t>
    </r>
    <r>
      <rPr>
        <i/>
        <sz val="10"/>
        <rFont val="Arial Narrow"/>
        <family val="2"/>
      </rPr>
      <t>Wolffia</t>
    </r>
    <r>
      <rPr>
        <sz val="10"/>
        <rFont val="Arial Narrow"/>
        <family val="2"/>
      </rPr>
      <t xml:space="preserve">, or </t>
    </r>
    <r>
      <rPr>
        <i/>
        <sz val="10"/>
        <rFont val="Arial Narrow"/>
        <family val="2"/>
      </rPr>
      <t>Riccia</t>
    </r>
    <r>
      <rPr>
        <sz val="10"/>
        <rFont val="Arial Narrow"/>
        <family val="2"/>
      </rPr>
      <t xml:space="preserve">.  </t>
    </r>
    <r>
      <rPr>
        <b/>
        <sz val="10"/>
        <rFont val="Arial Narrow"/>
        <family val="2"/>
      </rPr>
      <t>Enter 1, if true.</t>
    </r>
  </si>
  <si>
    <t>If you can identify plants, use their wetland indicator status to infer the possible extent of seasonal-only inundation within a wetland.  Vegetation may be patterned in concentric or parallel zones, as one moves outward &amp; away from the deepest part of the wetland or channel. Flood marks (algal mats, adventitious roots, debris lines, ice scour, etc.) may be evident when not fully inundated.  In riverine systems, the extent of this zone can be estimated by multiplying by 2 the bankful height and visualizing where that would intercept the land along the river. Also, such areas often have a larger proportion of upland and annual (vs. perennial) plant species.  Although useful only as a general guide, the NRCS county soil survey descriptions of the soil units and water feature table usually includes information on flooding frequency and saturation persistence. [WS,SR,NR,CS,OE,INV,FA,WBF,WBN,SBM,PD,Sens]</t>
  </si>
  <si>
    <r>
      <t xml:space="preserve">Saline or brackish conditions are commonly indicated by a prevalence of particular plant species.  Consult the </t>
    </r>
    <r>
      <rPr>
        <u/>
        <sz val="10"/>
        <rFont val="Arial Narrow"/>
        <family val="2"/>
      </rPr>
      <t xml:space="preserve">ORWAP_SuppInfo </t>
    </r>
    <r>
      <rPr>
        <sz val="10"/>
        <rFont val="Arial Narrow"/>
        <family val="2"/>
      </rPr>
      <t xml:space="preserve">file's  P_Salt worksheetfor a list of these. 
</t>
    </r>
    <r>
      <rPr>
        <b/>
        <sz val="10"/>
        <rFont val="Arial Narrow"/>
        <family val="2"/>
      </rPr>
      <t>Brackish or saline</t>
    </r>
    <r>
      <rPr>
        <sz val="10"/>
        <rFont val="Arial Narrow"/>
        <family val="2"/>
      </rPr>
      <t xml:space="preserve"> - conductance of &gt;5000 µS/cm, or &gt;3200 ppm TDS 
</t>
    </r>
    <r>
      <rPr>
        <b/>
        <sz val="10"/>
        <rFont val="Arial Narrow"/>
        <family val="2"/>
      </rPr>
      <t xml:space="preserve">Slightly brackish </t>
    </r>
    <r>
      <rPr>
        <sz val="10"/>
        <rFont val="Arial Narrow"/>
        <family val="2"/>
      </rPr>
      <t xml:space="preserve">- conductance of 500- 5000 µS/cm, or 320 - 3200 ppm TDS 
</t>
    </r>
    <r>
      <rPr>
        <b/>
        <sz val="10"/>
        <rFont val="Arial Narrow"/>
        <family val="2"/>
      </rPr>
      <t xml:space="preserve">Fresh </t>
    </r>
    <r>
      <rPr>
        <sz val="10"/>
        <rFont val="Arial Narrow"/>
        <family val="2"/>
      </rPr>
      <t xml:space="preserve">- conductance of &lt; 500 µS/cm, or &lt;320 ppm TDS
[PR,CS,AM,SBM] </t>
    </r>
  </si>
  <si>
    <r>
      <rPr>
        <b/>
        <sz val="10"/>
        <rFont val="Arial Narrow"/>
        <family val="2"/>
      </rPr>
      <t>Brackish or saline</t>
    </r>
    <r>
      <rPr>
        <sz val="10"/>
        <rFont val="Arial Narrow"/>
        <family val="2"/>
      </rPr>
      <t>. Plants that indicate saline conditions dominate the vegetation. Salt crust may be obvious around the perimeter and on flats.</t>
    </r>
  </si>
  <si>
    <r>
      <rPr>
        <b/>
        <sz val="10"/>
        <rFont val="Arial Narrow"/>
        <family val="2"/>
      </rPr>
      <t>Slightly brackish</t>
    </r>
    <r>
      <rPr>
        <sz val="10"/>
        <rFont val="Arial Narrow"/>
        <family val="2"/>
      </rPr>
      <t>.  Plants that indicate saline conditions are common.  Salt crust may or may not be present along perimeter.</t>
    </r>
  </si>
  <si>
    <r>
      <rPr>
        <b/>
        <sz val="10"/>
        <rFont val="Arial Narrow"/>
        <family val="2"/>
      </rPr>
      <t>Fresh.</t>
    </r>
    <r>
      <rPr>
        <sz val="10"/>
        <rFont val="Arial Narrow"/>
        <family val="2"/>
      </rPr>
      <t xml:space="preserve">  [</t>
    </r>
    <r>
      <rPr>
        <u/>
        <sz val="10"/>
        <rFont val="Arial Narrow"/>
        <family val="2"/>
      </rPr>
      <t>Note</t>
    </r>
    <r>
      <rPr>
        <sz val="10"/>
        <rFont val="Arial Narrow"/>
        <family val="2"/>
      </rPr>
      <t xml:space="preserve">:  </t>
    </r>
    <r>
      <rPr>
        <i/>
        <sz val="10"/>
        <rFont val="Arial Narrow"/>
        <family val="2"/>
      </rPr>
      <t>Assume this to be the condition unless wetland is known to be a playa or there is other contradicting evidence].</t>
    </r>
  </si>
  <si>
    <t>A regularly-used boat dock is not within the AA, but there is one within 300 ft. of the AA and there is a persistent surface connection between the dock and the AA.</t>
  </si>
  <si>
    <t>&gt;10,000 sq. ft. within AA.</t>
  </si>
  <si>
    <t xml:space="preserve">The emphasis is on the connection to a mapped stream network.  A larger difference in elevation between the wetland-upland boundary and the bottom of the wetland outlet (if any) indicates shorter outflow duration.  
Do not rely only on topographic maps or NWI maps to show this; inspect while in field if possible, and ask landowner. The durations given are only approximate and are for a "normal" year. 
The connection need not occur during the growing season. Assume that depressions with effective nearby ditches or tile drains will connect for shorter periods.  
[WS,WCv,SR,PR,NR,CS,OE,FA,FR,Sens] </t>
  </si>
  <si>
    <t>The gradient of the tributary with the largest inflow, averaged over the 150 ft. before it enters the AA (but excluding any portion of the distance where water travels through a pipe) is:</t>
  </si>
  <si>
    <t>The annual maximum areal cover of herbaceous vegetation (excluding SAV, ferns, and mosses, but including forbs &amp; graminoids) that is not beneath a woody canopy reaches:</t>
  </si>
  <si>
    <r>
      <t xml:space="preserve">In the </t>
    </r>
    <r>
      <rPr>
        <u/>
        <sz val="10"/>
        <rFont val="Arial Narrow"/>
        <family val="2"/>
      </rPr>
      <t>ORWAP_SuppInfo</t>
    </r>
    <r>
      <rPr>
        <sz val="10"/>
        <rFont val="Arial Narrow"/>
        <family val="2"/>
      </rPr>
      <t xml:space="preserve">, see P_Invas worksheet for list of invasives and P_Exo for non-native species list.  Examples of woody invasives are Himalayan blackberry, English ivy, scotch broom, and gorse. 
For known distributions of invasive plants in your area see:  http://inr.oregonstate.edu/orbic/invasive-species  and  http://www.weedmapper.org/maps.html  but do not limit your answer based only on that information.  Consider most crops to be non-native.
 [PD,POL,Sens,EC] </t>
    </r>
  </si>
  <si>
    <r>
      <rPr>
        <b/>
        <sz val="10"/>
        <rFont val="Arial Narrow"/>
        <family val="2"/>
      </rPr>
      <t xml:space="preserve">Select </t>
    </r>
    <r>
      <rPr>
        <b/>
        <u/>
        <sz val="10"/>
        <rFont val="Arial Narrow"/>
        <family val="2"/>
      </rPr>
      <t xml:space="preserve">all </t>
    </r>
    <r>
      <rPr>
        <b/>
        <sz val="10"/>
        <rFont val="Arial Narrow"/>
        <family val="2"/>
      </rPr>
      <t xml:space="preserve">statements that are true </t>
    </r>
    <r>
      <rPr>
        <sz val="10"/>
        <rFont val="Arial Narrow"/>
        <family val="2"/>
      </rPr>
      <t>of this AA as it currently exists:</t>
    </r>
  </si>
  <si>
    <t>The question assumes access is allowed.
[PUv]</t>
  </si>
  <si>
    <r>
      <t xml:space="preserve">Songbird, Raptor, Mammal Habitat </t>
    </r>
    <r>
      <rPr>
        <sz val="8"/>
        <rFont val="Arial"/>
        <family val="2"/>
      </rPr>
      <t>(SBM)</t>
    </r>
  </si>
  <si>
    <t>0.5 mile to  2 miles.</t>
  </si>
  <si>
    <r>
      <rPr>
        <b/>
        <u/>
        <sz val="11"/>
        <rFont val="Arial Narrow"/>
        <family val="2"/>
      </rPr>
      <t>Reminder</t>
    </r>
    <r>
      <rPr>
        <sz val="11"/>
        <rFont val="Arial Narrow"/>
        <family val="2"/>
      </rPr>
      <t xml:space="preserve">: For all questions, the AA should include all persistent waters in ponds smaller than 20 acres that are </t>
    </r>
    <r>
      <rPr>
        <b/>
        <sz val="11"/>
        <rFont val="Arial Narrow"/>
        <family val="2"/>
      </rPr>
      <t>adjacent</t>
    </r>
    <r>
      <rPr>
        <sz val="11"/>
        <rFont val="Arial Narrow"/>
        <family val="2"/>
      </rPr>
      <t xml:space="preserve"> to the AA.  The AA should also include part of the water area of adjacent lakes or rivers larger than 20 acres -- specifically, the open water part adjacent to wetland vegetation and equal in width to the average width of that vegetated zone. </t>
    </r>
  </si>
  <si>
    <t>3 to 6 ft deep.</t>
  </si>
  <si>
    <t>50 to 95% of the water.</t>
  </si>
  <si>
    <t>1 to 5% of the AA.</t>
  </si>
  <si>
    <t xml:space="preserve">This includes most nontidal wetlands labeled as Aquatic Bed (AB) on NWI maps.  If wetland can be visited only during winter, it may not be possible to answer this question with much certainty unless local sources are contacted or indicators (e.g., dried remains of algae) are found.                [FA,WBF,WBN,EC] </t>
  </si>
  <si>
    <r>
      <t xml:space="preserve">According to the ORWAP Report, the </t>
    </r>
    <r>
      <rPr>
        <u/>
        <sz val="10"/>
        <rFont val="Arial Narrow"/>
        <family val="2"/>
      </rPr>
      <t>presettlement vegetation class</t>
    </r>
    <r>
      <rPr>
        <sz val="10"/>
        <rFont val="Arial Narrow"/>
        <family val="2"/>
      </rPr>
      <t xml:space="preserve"> in the vicinity of the AA was prairie, sagebrush, or other open lands not dominated by trees.  In addition, the AA is not within the biennial floodplain of a river where trees and shrubs typically dominate when conditions are unaltered.  </t>
    </r>
    <r>
      <rPr>
        <b/>
        <sz val="10"/>
        <rFont val="Arial Narrow"/>
        <family val="2"/>
      </rPr>
      <t>Enter 1, if  true.</t>
    </r>
  </si>
  <si>
    <r>
      <rPr>
        <b/>
        <sz val="10"/>
        <rFont val="Arial Narrow"/>
        <family val="2"/>
      </rPr>
      <t xml:space="preserve">Select </t>
    </r>
    <r>
      <rPr>
        <b/>
        <u/>
        <sz val="10"/>
        <rFont val="Arial Narrow"/>
        <family val="2"/>
      </rPr>
      <t>All</t>
    </r>
    <r>
      <rPr>
        <b/>
        <sz val="10"/>
        <rFont val="Arial Narrow"/>
        <family val="2"/>
      </rPr>
      <t xml:space="preserve"> the types </t>
    </r>
    <r>
      <rPr>
        <sz val="10"/>
        <rFont val="Arial Narrow"/>
        <family val="2"/>
      </rPr>
      <t>that comprise &gt;5% of the woody canopy cover in the AA</t>
    </r>
    <r>
      <rPr>
        <b/>
        <sz val="10"/>
        <rFont val="Arial Narrow"/>
        <family val="2"/>
      </rPr>
      <t xml:space="preserve"> </t>
    </r>
    <r>
      <rPr>
        <sz val="10"/>
        <rFont val="Arial Narrow"/>
        <family val="2"/>
      </rPr>
      <t xml:space="preserve">or &gt;5% of its </t>
    </r>
    <r>
      <rPr>
        <b/>
        <sz val="10"/>
        <rFont val="Arial Narrow"/>
        <family val="2"/>
      </rPr>
      <t>wooded upland edge</t>
    </r>
    <r>
      <rPr>
        <sz val="10"/>
        <rFont val="Arial Narrow"/>
        <family val="2"/>
      </rPr>
      <t xml:space="preserve"> if any:</t>
    </r>
  </si>
  <si>
    <r>
      <t xml:space="preserve">Few or none, or the entire AA is always water-covered.  Minimal </t>
    </r>
    <r>
      <rPr>
        <b/>
        <sz val="10"/>
        <rFont val="Arial Narrow"/>
        <family val="2"/>
      </rPr>
      <t>microtopography</t>
    </r>
    <r>
      <rPr>
        <sz val="10"/>
        <rFont val="Arial Narrow"/>
        <family val="2"/>
      </rPr>
      <t>; &lt;1% of the AA, e.g., many flat sites having a single hydroperiod.</t>
    </r>
  </si>
  <si>
    <r>
      <t xml:space="preserve">Other private ownership, including tribal.  </t>
    </r>
    <r>
      <rPr>
        <b/>
        <sz val="10"/>
        <rFont val="Arial Narrow"/>
        <family val="2"/>
      </rPr>
      <t>Enter 1 and SKIP to F63.</t>
    </r>
  </si>
  <si>
    <t>To qualify, the diameter of &gt;18 inches must be the mean measured from at least 10 trees.  
[PDv]</t>
  </si>
  <si>
    <t>When water is present in the AA, the depth most of the time in most of inundated area is: 
[Note: NOT necessarily the maximum spatial or annual depth]</t>
  </si>
  <si>
    <r>
      <t xml:space="preserve">&lt;1% or none of the AA.  Surface water is completely or nearly absent then, or is entirely flowing. 
</t>
    </r>
    <r>
      <rPr>
        <b/>
        <sz val="10"/>
        <rFont val="Arial Narrow"/>
        <family val="2"/>
      </rPr>
      <t xml:space="preserve">Enter 1 and SKIP TO F22. </t>
    </r>
    <r>
      <rPr>
        <b/>
        <strike/>
        <sz val="10"/>
        <color rgb="FFFF0000"/>
        <rFont val="Arial Narrow"/>
        <family val="2"/>
      </rPr>
      <t/>
    </r>
  </si>
  <si>
    <r>
      <t xml:space="preserve">&lt;1% or none. Surface water is completely or nearly absent then, or is entirely flowing. </t>
    </r>
    <r>
      <rPr>
        <b/>
        <sz val="10"/>
        <rFont val="Arial Narrow"/>
        <family val="2"/>
      </rPr>
      <t xml:space="preserve">Enter 1 and SKIP TO F22. </t>
    </r>
    <r>
      <rPr>
        <b/>
        <strike/>
        <sz val="10"/>
        <color rgb="FFFF0000"/>
        <rFont val="Arial Narrow"/>
        <family val="2"/>
      </rPr>
      <t/>
    </r>
  </si>
  <si>
    <r>
      <t xml:space="preserve">&lt;0.10 acre (&lt; 4356 sq. ft). </t>
    </r>
    <r>
      <rPr>
        <b/>
        <sz val="10"/>
        <rFont val="Arial Narrow"/>
        <family val="2"/>
      </rPr>
      <t xml:space="preserve"> Enter 1 and SKIP TO F24.</t>
    </r>
  </si>
  <si>
    <r>
      <t xml:space="preserve">None -- no surface water flows out of the wetland except possibly during extreme events (&lt;once per 10 years). Or, water flows only into a wetland, ditch, or lake that lacks an outlet. </t>
    </r>
    <r>
      <rPr>
        <b/>
        <sz val="10"/>
        <rFont val="Arial Narrow"/>
        <family val="2"/>
      </rPr>
      <t xml:space="preserve">Enter 1  and SKIP TO F33. </t>
    </r>
  </si>
  <si>
    <r>
      <t xml:space="preserve">At least once annually, surface water from upstream or another water body moves into the AA. It may enter directly, or as unconfined overflow from a contiguous river or lake.  If it enters only via a pipe, that pipe must be fed by a mapped stream or lake further upslope.  </t>
    </r>
    <r>
      <rPr>
        <b/>
        <sz val="10"/>
        <rFont val="Arial Narrow"/>
        <family val="2"/>
      </rPr>
      <t>Enter 1, if true.  If false, SKIP to F36.</t>
    </r>
  </si>
  <si>
    <r>
      <t xml:space="preserve">&lt;5% of the vegetated part of the AA.  </t>
    </r>
    <r>
      <rPr>
        <b/>
        <sz val="10"/>
        <rFont val="Arial Narrow"/>
        <family val="2"/>
      </rPr>
      <t>Enter 1 and SKIP to F42.</t>
    </r>
  </si>
  <si>
    <r>
      <t xml:space="preserve">&lt;5% of the vegetated AA, and fewer than 10 trees are present.  </t>
    </r>
    <r>
      <rPr>
        <b/>
        <sz val="10"/>
        <rFont val="Arial Narrow"/>
        <family val="2"/>
      </rPr>
      <t>Enter 1 and SKIP to F51.</t>
    </r>
  </si>
  <si>
    <r>
      <t xml:space="preserve">There are other wetlands (or a wetland), and </t>
    </r>
    <r>
      <rPr>
        <u/>
        <sz val="10"/>
        <rFont val="Arial Narrow"/>
        <family val="2"/>
      </rPr>
      <t>ALL</t>
    </r>
    <r>
      <rPr>
        <sz val="10"/>
        <rFont val="Arial Narrow"/>
        <family val="2"/>
      </rPr>
      <t xml:space="preserve"> are connected to the AA by the type of corridor described.</t>
    </r>
  </si>
  <si>
    <r>
      <t xml:space="preserve">There are other wetlands (or a wetland), and </t>
    </r>
    <r>
      <rPr>
        <u/>
        <sz val="10"/>
        <rFont val="Arial Narrow"/>
        <family val="2"/>
      </rPr>
      <t>ONE or MORE</t>
    </r>
    <r>
      <rPr>
        <sz val="10"/>
        <rFont val="Arial Narrow"/>
        <family val="2"/>
      </rPr>
      <t xml:space="preserve"> (but not all) are connected to the AA by the type of corridor described.</t>
    </r>
  </si>
  <si>
    <r>
      <t xml:space="preserve">In the ORWAP Report, find the AA's 12-digit HUC code.  Then, find that HUC code in the FuncDeficit worksheet in the accompanying Supp_Info file. </t>
    </r>
    <r>
      <rPr>
        <b/>
        <sz val="10"/>
        <rFont val="Arial Narrow"/>
        <family val="2"/>
      </rPr>
      <t xml:space="preserve">Select </t>
    </r>
    <r>
      <rPr>
        <b/>
        <u/>
        <sz val="10"/>
        <rFont val="Arial Narrow"/>
        <family val="2"/>
      </rPr>
      <t>All</t>
    </r>
    <r>
      <rPr>
        <b/>
        <sz val="10"/>
        <rFont val="Arial Narrow"/>
        <family val="2"/>
      </rPr>
      <t xml:space="preserve"> functions below that have a notation for that HUC code. </t>
    </r>
  </si>
  <si>
    <r>
      <t xml:space="preserve">Floodplain boundaries within 1 mile downslope or downriver from the AA have not been mapped. 
</t>
    </r>
    <r>
      <rPr>
        <b/>
        <sz val="10"/>
        <rFont val="Arial Narrow"/>
        <family val="2"/>
      </rPr>
      <t xml:space="preserve">Enter 1 and SKIP TO OF27. </t>
    </r>
  </si>
  <si>
    <r>
      <t xml:space="preserve">Floodplain boundaries  within 1 mile downslope from the AA have been mapped BUT there is neither infrastructure nor </t>
    </r>
    <r>
      <rPr>
        <b/>
        <sz val="10"/>
        <rFont val="Arial Narrow"/>
        <family val="2"/>
      </rPr>
      <t>row crops</t>
    </r>
    <r>
      <rPr>
        <sz val="10"/>
        <rFont val="Arial Narrow"/>
        <family val="2"/>
      </rPr>
      <t xml:space="preserve"> vulnerable to river flooding located within the floodplain and within that distance.
</t>
    </r>
    <r>
      <rPr>
        <b/>
        <sz val="10"/>
        <rFont val="Arial Narrow"/>
        <family val="2"/>
      </rPr>
      <t xml:space="preserve">Enter 1 and SKIP TO OF27. </t>
    </r>
  </si>
  <si>
    <r>
      <t>None of above, or no data.</t>
    </r>
    <r>
      <rPr>
        <b/>
        <sz val="10"/>
        <rFont val="Arial Narrow"/>
        <family val="2"/>
      </rPr>
      <t xml:space="preserve"> If true, enter 1 and SKIP to OF30.</t>
    </r>
  </si>
  <si>
    <r>
      <t xml:space="preserve">None of above, or no data. </t>
    </r>
    <r>
      <rPr>
        <b/>
        <sz val="10"/>
        <rFont val="Arial Narrow"/>
        <family val="2"/>
      </rPr>
      <t>Enter 1 and SKIP to OF32.</t>
    </r>
  </si>
  <si>
    <r>
      <t xml:space="preserve">Larger than the area of its RCA.  </t>
    </r>
    <r>
      <rPr>
        <b/>
        <sz val="10"/>
        <rFont val="Arial Narrow"/>
        <family val="2"/>
      </rPr>
      <t>Enter 1 and SKIP TO OF39.</t>
    </r>
  </si>
  <si>
    <r>
      <t xml:space="preserve">Larger than the area of its SCA. </t>
    </r>
    <r>
      <rPr>
        <b/>
        <sz val="10"/>
        <rFont val="Arial Narrow"/>
        <family val="2"/>
      </rPr>
      <t xml:space="preserve"> Enter 1 and SKIP TO OF41.</t>
    </r>
  </si>
  <si>
    <r>
      <t xml:space="preserve">Wetland lacks tributaries and receives no overbank water. </t>
    </r>
    <r>
      <rPr>
        <b/>
        <sz val="10"/>
        <rFont val="Arial Narrow"/>
        <family val="2"/>
      </rPr>
      <t xml:space="preserve"> Enter 1 and SKIP to OF41.</t>
    </r>
  </si>
  <si>
    <t>Explanations, Definitions  (Column E)</t>
  </si>
  <si>
    <r>
      <t xml:space="preserve">Saline or brackish conditions are commonly indicated by a prevalence of particular plant species.  Consult the  </t>
    </r>
    <r>
      <rPr>
        <u/>
        <sz val="10"/>
        <rFont val="Arial Narrow"/>
        <family val="2"/>
        <scheme val="minor"/>
      </rPr>
      <t xml:space="preserve">ORWAP_SuppInfo </t>
    </r>
    <r>
      <rPr>
        <sz val="10"/>
        <rFont val="Arial Narrow"/>
        <family val="2"/>
        <scheme val="minor"/>
      </rPr>
      <t xml:space="preserve">file's P_Salt worksheet.  
Also refer to </t>
    </r>
    <r>
      <rPr>
        <u/>
        <sz val="10"/>
        <rFont val="Arial Narrow"/>
        <family val="2"/>
        <scheme val="minor"/>
      </rPr>
      <t>Estuary Salinity maps</t>
    </r>
    <r>
      <rPr>
        <sz val="10"/>
        <rFont val="Arial Narrow"/>
        <family val="2"/>
        <scheme val="minor"/>
      </rPr>
      <t xml:space="preserve"> (see link in ORWAP Map Viewer report under the Location Information table), or DSLl's ORWAP web site, or obtain salinity data from the </t>
    </r>
    <r>
      <rPr>
        <u/>
        <sz val="10"/>
        <rFont val="Arial Narrow"/>
        <family val="2"/>
        <scheme val="minor"/>
      </rPr>
      <t>ODEQ LASAR web site</t>
    </r>
    <r>
      <rPr>
        <sz val="10"/>
        <rFont val="Arial Narrow"/>
        <family val="2"/>
        <scheme val="minor"/>
      </rPr>
      <t xml:space="preserve"> or local sources. However, salinity in estuaries can vary tremendously depending on river discharge and other factors. 
[SR,PR,NR,CS,OE,SBM,PD] </t>
    </r>
  </si>
  <si>
    <t>Temporary (mainly during "king tide", "spring tide", or peak discharge flow in an associated river; &lt;14 days per year, not necessarily consecutive).</t>
  </si>
  <si>
    <t xml:space="preserve">A larger difference in elevation between the wetland-upland boundary and the bottom of the wetland outlet (if any) indicates shorter outflow duration. 
 Do not rely only on topographic maps or NWI maps to show this; inspect while in field if possible, and ask landowner. The durations given are only approximate and are for a "normal" year. 
The connection need not occur during the growing season. 
[OE,FA] </t>
  </si>
  <si>
    <t>Wind or boats frequently generate waves of &gt;1 ft. near the AA, those waves are intercepted by the wetland, and structures behind the AA are protected from wave erosion.</t>
  </si>
  <si>
    <t>Wind or boats frequently generate waves of &gt;1 ft. near the AA, those waves are intercepted by the wetland, but there are no structures behind the wetland.</t>
  </si>
  <si>
    <t>Neither wind nor boats frequently generate waves of &gt;1 f.t near the AA.</t>
  </si>
  <si>
    <r>
      <rPr>
        <b/>
        <sz val="10"/>
        <rFont val="Arial Narrow"/>
        <family val="2"/>
      </rPr>
      <t>Shorebird habitat</t>
    </r>
    <r>
      <rPr>
        <sz val="10"/>
        <rFont val="Arial Narrow"/>
        <family val="2"/>
      </rPr>
      <t xml:space="preserve"> areas must have </t>
    </r>
    <r>
      <rPr>
        <b/>
        <sz val="10"/>
        <rFont val="Arial Narrow"/>
        <family val="2"/>
      </rPr>
      <t>(a)</t>
    </r>
    <r>
      <rPr>
        <sz val="10"/>
        <rFont val="Arial Narrow"/>
        <family val="2"/>
      </rPr>
      <t xml:space="preserve"> grasses shorter than 6 inches or a mudflat, </t>
    </r>
    <r>
      <rPr>
        <b/>
        <sz val="10"/>
        <rFont val="Arial Narrow"/>
        <family val="2"/>
      </rPr>
      <t xml:space="preserve">AND (b) </t>
    </r>
    <r>
      <rPr>
        <sz val="10"/>
        <rFont val="Arial Narrow"/>
        <family val="2"/>
      </rPr>
      <t xml:space="preserve">soils that either are saturated or covered with &lt;2 inches of water, </t>
    </r>
    <r>
      <rPr>
        <b/>
        <sz val="10"/>
        <rFont val="Arial Narrow"/>
        <family val="2"/>
      </rPr>
      <t>AND (c)</t>
    </r>
    <r>
      <rPr>
        <sz val="10"/>
        <rFont val="Arial Narrow"/>
        <family val="2"/>
      </rPr>
      <t xml:space="preserve"> no detectable surrounding slope (e.g., not the bottom of an incised dry channel), </t>
    </r>
    <r>
      <rPr>
        <b/>
        <sz val="10"/>
        <rFont val="Arial Narrow"/>
        <family val="2"/>
      </rPr>
      <t>AND (d)</t>
    </r>
    <r>
      <rPr>
        <sz val="10"/>
        <rFont val="Arial Narrow"/>
        <family val="2"/>
      </rPr>
      <t xml:space="preserve"> not shaded by shrubs or trees. 
 This addresses needs of most migratory sandpipers, plovers, curlews, and godwits. 
[WBF]</t>
    </r>
  </si>
  <si>
    <t>Within the part of the AA and its internal channels that remain underwater during daily low tide, the extent of fish cover provided at that time by partly submerged vegetation, inchannel pools,  incised banks, and pieces of wood (thicker than 6 inches and longer than 4 feet, or smaller pieces in dense accumulations) is:</t>
  </si>
  <si>
    <t>Intermediate (~ 1 piece/200 ft. of shoreline, or &gt;1,000 square feet).</t>
  </si>
  <si>
    <t>High (&gt;1 piece/100 ft. of shoreline, or &gt;1,000 square feet ).</t>
  </si>
  <si>
    <r>
      <t xml:space="preserve">Based on at least three pits you dig at points about equidistant across the AA, the composition of  the surface layer of the soil (2" depth) (but excluding the </t>
    </r>
    <r>
      <rPr>
        <b/>
        <sz val="10"/>
        <rFont val="Arial Narrow"/>
        <family val="2"/>
      </rPr>
      <t>duff</t>
    </r>
    <r>
      <rPr>
        <sz val="10"/>
        <rFont val="Arial Narrow"/>
        <family val="2"/>
      </rPr>
      <t xml:space="preserve"> layer) is mostly:</t>
    </r>
  </si>
  <si>
    <r>
      <rPr>
        <b/>
        <sz val="10"/>
        <rFont val="Arial Narrow"/>
        <family val="2"/>
      </rPr>
      <t xml:space="preserve">Select </t>
    </r>
    <r>
      <rPr>
        <b/>
        <u/>
        <sz val="10"/>
        <rFont val="Arial Narrow"/>
        <family val="2"/>
      </rPr>
      <t>all</t>
    </r>
    <r>
      <rPr>
        <b/>
        <sz val="10"/>
        <rFont val="Arial Narrow"/>
        <family val="2"/>
      </rPr>
      <t xml:space="preserve"> statements that are true </t>
    </r>
    <r>
      <rPr>
        <sz val="10"/>
        <rFont val="Arial Narrow"/>
        <family val="2"/>
      </rPr>
      <t>of this AA as it currently exists:</t>
    </r>
  </si>
  <si>
    <t>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t>
  </si>
  <si>
    <r>
      <t xml:space="preserve">The part of the AA visited by humans </t>
    </r>
    <r>
      <rPr>
        <u/>
        <sz val="10"/>
        <rFont val="Arial Narrow"/>
        <family val="2"/>
      </rPr>
      <t xml:space="preserve">almost daily for several weeks </t>
    </r>
    <r>
      <rPr>
        <sz val="10"/>
        <rFont val="Arial Narrow"/>
        <family val="2"/>
      </rPr>
      <t>during an average growing season probably comprises:  [The Note in the preceding question applies here as well].</t>
    </r>
  </si>
  <si>
    <r>
      <t xml:space="preserve">The part of the AA visited by humans </t>
    </r>
    <r>
      <rPr>
        <b/>
        <u/>
        <sz val="10"/>
        <rFont val="Arial Narrow"/>
        <family val="2"/>
      </rPr>
      <t>a</t>
    </r>
    <r>
      <rPr>
        <u/>
        <sz val="10"/>
        <rFont val="Arial Narrow"/>
        <family val="2"/>
      </rPr>
      <t>lmost daily for several weeks</t>
    </r>
    <r>
      <rPr>
        <sz val="10"/>
        <rFont val="Arial Narrow"/>
        <family val="2"/>
      </rPr>
      <t xml:space="preserve"> during an average growing season probably comprises:  [The Note in the preceding question applies here as well].</t>
    </r>
  </si>
  <si>
    <r>
      <t xml:space="preserve">Other private ownership, including tribal.  </t>
    </r>
    <r>
      <rPr>
        <b/>
        <sz val="10"/>
        <rFont val="Arial Narrow"/>
        <family val="2"/>
      </rPr>
      <t>Enter 1, if true and SKIP to T44.</t>
    </r>
  </si>
  <si>
    <t>The AA is part of an area designated as a Bureau of Land Management Area of Critical Environmental Concern (ACEC) or Outstanding Natural Area (ONA), Federal Research Natural Area (RNA) or Special Interest Area (SIA), or Natural Heritage Conservation Area (NHCA).</t>
  </si>
  <si>
    <r>
      <t xml:space="preserve">The living vegetation forms that comprise &gt;5% of the AA's vegetative cover in late summer is: </t>
    </r>
    <r>
      <rPr>
        <b/>
        <sz val="10"/>
        <rFont val="Arial Narrow"/>
        <family val="2"/>
      </rPr>
      <t>Select all that appy</t>
    </r>
    <r>
      <rPr>
        <sz val="10"/>
        <rFont val="Arial Narrow"/>
        <family val="2"/>
      </rPr>
      <t>.</t>
    </r>
  </si>
  <si>
    <r>
      <t xml:space="preserve">Recent evidence was found </t>
    </r>
    <r>
      <rPr>
        <u/>
        <sz val="10"/>
        <rFont val="Arial Narrow"/>
        <family val="2"/>
      </rPr>
      <t>within the AA</t>
    </r>
    <r>
      <rPr>
        <sz val="10"/>
        <rFont val="Arial Narrow"/>
        <family val="2"/>
      </rPr>
      <t xml:space="preserve"> of the following potentially-sustainable consumptive uses. </t>
    </r>
    <r>
      <rPr>
        <b/>
        <sz val="10"/>
        <rFont val="Arial Narrow"/>
        <family val="2"/>
      </rPr>
      <t xml:space="preserve"> Select all that apply.</t>
    </r>
  </si>
  <si>
    <r>
      <t xml:space="preserve">The distance from the </t>
    </r>
    <r>
      <rPr>
        <u/>
        <sz val="10"/>
        <rFont val="Arial Narrow"/>
        <family val="2"/>
      </rPr>
      <t>AA edge</t>
    </r>
    <r>
      <rPr>
        <sz val="10"/>
        <rFont val="Arial Narrow"/>
        <family val="2"/>
      </rPr>
      <t xml:space="preserve"> to the edge of the closest patch or </t>
    </r>
    <r>
      <rPr>
        <b/>
        <sz val="10"/>
        <rFont val="Arial Narrow"/>
        <family val="2"/>
      </rPr>
      <t>corridor</t>
    </r>
    <r>
      <rPr>
        <sz val="10"/>
        <rFont val="Arial Narrow"/>
        <family val="2"/>
      </rPr>
      <t xml:space="preserve"> of </t>
    </r>
    <r>
      <rPr>
        <b/>
        <sz val="10"/>
        <rFont val="Arial Narrow"/>
        <family val="2"/>
      </rPr>
      <t>perennial cover</t>
    </r>
    <r>
      <rPr>
        <sz val="10"/>
        <rFont val="Arial Narrow"/>
        <family val="2"/>
      </rPr>
      <t xml:space="preserve"> (see definition in </t>
    </r>
    <r>
      <rPr>
        <u/>
        <sz val="10"/>
        <rFont val="Arial Narrow"/>
        <family val="2"/>
      </rPr>
      <t>column E</t>
    </r>
    <r>
      <rPr>
        <sz val="10"/>
        <rFont val="Arial Narrow"/>
        <family val="2"/>
      </rPr>
      <t>) larger than 100 acres is:</t>
    </r>
  </si>
  <si>
    <t>The distance from the AA edge to the closest (but separate) body of nontidal fresh water (wetland, pond, or lake) that  is ponded all or most of the year is:</t>
  </si>
  <si>
    <t>The distance from the AA edge to the closest (but separate) body of nontidal fresh water that is ponded during most of the year and is larger than 20 acres (about 1000 ft on a side) is:</t>
  </si>
  <si>
    <t>Field Data  
 Form F 
(nontidal Wetlands)   
ORWAP V 3.1</t>
  </si>
  <si>
    <t>Adjacent to a nontidal palustrine wetland that contains surface water at least seasonally. Anadromous fish can access both wetlands during spring.  Mostly separated by a dike, road, or other partial barrier.</t>
  </si>
  <si>
    <t>Gradient of nontidal Input Channel (SlopeInChanT)</t>
  </si>
  <si>
    <t>The gradient of the largest nontidal freshwater input tributary or ditch, averaged 150 f. from where it enters the AA, is:</t>
  </si>
  <si>
    <r>
      <rPr>
        <b/>
        <sz val="10"/>
        <rFont val="Arial Narrow"/>
        <family val="2"/>
      </rPr>
      <t>Regular traffic</t>
    </r>
    <r>
      <rPr>
        <sz val="10"/>
        <rFont val="Arial Narrow"/>
        <family val="2"/>
      </rPr>
      <t xml:space="preserve"> - is at least 1 vehicle per hour during the daytime throughout most of the growing season.  Assess this based on local knowledge, type of road, and proximity to developed areas. </t>
    </r>
    <r>
      <rPr>
        <b/>
        <sz val="10"/>
        <rFont val="Arial Narrow"/>
        <family val="2"/>
      </rPr>
      <t xml:space="preserve"> 
Perennial</t>
    </r>
    <r>
      <rPr>
        <sz val="10"/>
        <rFont val="Arial Narrow"/>
        <family val="2"/>
      </rPr>
      <t xml:space="preserve">  - see OF9 for definition. 
 IF possible, field verify 
[AM,WBN,SBM,PD,Sens,STR] </t>
    </r>
  </si>
  <si>
    <r>
      <t xml:space="preserve">There is a nontidal river within 1 mile and it is adjacent to, OR downslope from, the AA (connected or not).
</t>
    </r>
    <r>
      <rPr>
        <b/>
        <sz val="10"/>
        <rFont val="Arial Narrow"/>
        <family val="2"/>
      </rPr>
      <t>Enter 1, if true.  If not,  SKIP to OF27.</t>
    </r>
  </si>
  <si>
    <r>
      <t xml:space="preserve">In the </t>
    </r>
    <r>
      <rPr>
        <u/>
        <sz val="10"/>
        <rFont val="Arial Narrow"/>
        <family val="2"/>
      </rPr>
      <t>ORWAP Map Viewer</t>
    </r>
    <r>
      <rPr>
        <sz val="10"/>
        <rFont val="Arial Narrow"/>
        <family val="2"/>
      </rPr>
      <t>, use the Rivers &amp; Streams layer and the Persistent, Seasonal, or Saturated nontidal layers (under Wetlands) to determine duration of surface water connection.
 [SRv,PRv,NRv,INV,FA,FR,AM,WBF,WBN,STR] 
This may need to be determined or verified in the field.</t>
    </r>
  </si>
  <si>
    <r>
      <t xml:space="preserve">See the </t>
    </r>
    <r>
      <rPr>
        <u/>
        <sz val="10"/>
        <rFont val="Arial Narrow"/>
        <family val="2"/>
      </rPr>
      <t>ORWP Manual</t>
    </r>
    <r>
      <rPr>
        <sz val="10"/>
        <rFont val="Arial Narrow"/>
        <family val="2"/>
      </rPr>
      <t xml:space="preserve"> for specific protocol  for delimiting the SCA. The SCA is all upland areas that drain into streams, rivers, and lakes that feed the AA's wetland either directly or during semi-annual floods.
In addition, for wetlands intercepted by a mapped stream, the SCA can be delineated automatically and its area reported at these </t>
    </r>
    <r>
      <rPr>
        <u/>
        <sz val="10"/>
        <rFont val="Arial Narrow"/>
        <family val="2"/>
      </rPr>
      <t>USGS web sites</t>
    </r>
    <r>
      <rPr>
        <sz val="10"/>
        <rFont val="Arial Narrow"/>
        <family val="2"/>
      </rPr>
      <t>:  http://streamstats.usgs.gov/orstreamstats/index.asp  http://water.usgs.gov/osw/streamstats/oregon.html .  Enter the coordinates, zoom to scale of 1:24,000 or finer, click on the stream, and click on Basin Delineation, then BasinChar.  [WS,WCv,SR,PR,NR]</t>
    </r>
  </si>
  <si>
    <r>
      <t xml:space="preserve">Based on maps in the ORWAP Manual, Appendix A, the AA is: </t>
    </r>
    <r>
      <rPr>
        <b/>
        <sz val="10"/>
        <rFont val="Arial Narrow"/>
        <family val="2"/>
      </rPr>
      <t xml:space="preserve"> Select </t>
    </r>
    <r>
      <rPr>
        <b/>
        <u/>
        <sz val="10"/>
        <rFont val="Arial Narrow"/>
        <family val="2"/>
      </rPr>
      <t>All</t>
    </r>
    <r>
      <rPr>
        <b/>
        <sz val="10"/>
        <rFont val="Arial Narrow"/>
        <family val="2"/>
      </rPr>
      <t xml:space="preserve"> that apply</t>
    </r>
  </si>
  <si>
    <t>SEN</t>
  </si>
  <si>
    <t>&lt;0.01 acre (&lt; 400 sq.ft).  Enter 1 and SKIP TO F10, unless only part of a wetland is being assessed.</t>
  </si>
  <si>
    <t>&lt;5% of the water, and fewer than 10 woody plants taller than 3 ft shade it, or all surface water is flowing.</t>
  </si>
  <si>
    <t>&lt;5% of the water, but more than 10 woody plants taller than 3 ft shade it.</t>
  </si>
  <si>
    <t>When water levels are highest, during a normal year, the distribution (in aerial view) of ponded open water patches larger than 0.01 acre (400 sq. ft) within the AA is:</t>
  </si>
  <si>
    <t>When water levels are lowest, during a normal year, the distribution of ponded open water patches larger than 0.01 acre (400 sq. ft) within the AA is:</t>
  </si>
  <si>
    <t xml:space="preserve">Assume non-native fish to be present if wetland is associated with a nearby reservoir, fish pond, or perennial stream flowing through an agricultural or residential area.  Assume bullfrog, nutria, and/or carp to be present if (a) the AA contains persistent water or is flooded seasonally by an adjoining body of permanent water, and (b) not a forested wetland, and (c) in western Oregon, elevation is lower than about 3000 ft.  In the ORWAP_SuppInfo file, see Inverts_Exo worksheet for more complete list of non-native invertebratesf or Oregon, and WetVerts worksheet for more complete list of fish that are not native to Oregon.  
You may also consult:  http://nas.er.usgs.gov/queries/default.aspx http://www.dfw.state.or.us/conservationstrategy/invasive_species.asp  
[FA,AM,EC] </t>
  </si>
  <si>
    <t>Does not bump into many plant stems as it travels through the AA. Nearly all the water continues to travel within unvegetated (often incised) channels and has minimal contact with wetland vegetation, or through a zone of open water such as an instream pond or lake.</t>
  </si>
  <si>
    <t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t>
  </si>
  <si>
    <t>Deciduous 1-4" diameter (DBH) and &gt;3 ft tall.</t>
  </si>
  <si>
    <t>The number of downed wood pieces longer than 6 ft and with diameter &gt;4 inches that are not submerged during most of the growing season, is:</t>
  </si>
  <si>
    <t>5 to &lt;50% and no inhabited building is within 300 ft of the AA.</t>
  </si>
  <si>
    <t>100-1000 linear ft per acre, and most tidal channels are unbranched.</t>
  </si>
  <si>
    <t>100-1000 linear ft per acre, and most tidal channels are branched.</t>
  </si>
  <si>
    <t>&gt;1000 linear ft per acre and most tidal channels are unbranched.</t>
  </si>
  <si>
    <t>&gt;1000 linear ft per acre and most tidal channels are branched.</t>
  </si>
  <si>
    <t>Type of Non-Perennial Cover in Buffer (ImpervBufft)</t>
  </si>
  <si>
    <t>Slope from Disturbed Lands (SlopeBufft)</t>
  </si>
  <si>
    <t>Cliffs or Banks (Clifft)</t>
  </si>
  <si>
    <t>In the AA or within 300 ft, there is an unsheltered fence, powerline, or public road with traffic at least hourly that is located:</t>
  </si>
  <si>
    <r>
      <rPr>
        <b/>
        <sz val="10"/>
        <rFont val="Arial Narrow"/>
        <family val="2"/>
      </rPr>
      <t>Contiguous</t>
    </r>
    <r>
      <rPr>
        <sz val="10"/>
        <rFont val="Arial Narrow"/>
        <family val="2"/>
      </rPr>
      <t xml:space="preserve"> - i.e., not separated by roads or channels that create gaps wider than 150 ft
</t>
    </r>
    <r>
      <rPr>
        <b/>
        <sz val="10"/>
        <rFont val="Arial Narrow"/>
        <family val="2"/>
      </rPr>
      <t>Perennial cover</t>
    </r>
    <r>
      <rPr>
        <sz val="10"/>
        <rFont val="Arial Narrow"/>
        <family val="2"/>
      </rPr>
      <t xml:space="preserve"> - See OF1. 
Disqualify any patch or corridor of perennial cover where it becomes separated from the AA by a gap of &gt;150 ft, if the gap is comprised of unvegetated land or if the corridor narrows to less than 150 ft. 
[AM,SBM,PD,POL,Sens,STR] 
</t>
    </r>
  </si>
  <si>
    <r>
      <t>Forested patch -</t>
    </r>
    <r>
      <rPr>
        <sz val="10"/>
        <rFont val="Arial Narrow"/>
        <family val="2"/>
      </rPr>
      <t xml:space="preserve"> is a land cover patch that currently has &gt;70% cover of woody plants taller than 20 ft.  May be in a plantation. </t>
    </r>
    <r>
      <rPr>
        <b/>
        <sz val="10"/>
        <rFont val="Arial Narrow"/>
        <family val="2"/>
      </rPr>
      <t xml:space="preserve">
</t>
    </r>
    <r>
      <rPr>
        <sz val="10"/>
        <rFont val="Arial Narrow"/>
        <family val="2"/>
      </rPr>
      <t xml:space="preserve">[FA,SBM,STR] </t>
    </r>
  </si>
  <si>
    <r>
      <t xml:space="preserve">There are other wetlands (or a wetland), but NONE are connected to the AA by a </t>
    </r>
    <r>
      <rPr>
        <b/>
        <sz val="10"/>
        <rFont val="Arial Narrow"/>
        <family val="2"/>
      </rPr>
      <t>corridor</t>
    </r>
    <r>
      <rPr>
        <sz val="10"/>
        <rFont val="Arial Narrow"/>
        <family val="2"/>
      </rPr>
      <t xml:space="preserve"> of</t>
    </r>
    <r>
      <rPr>
        <b/>
        <sz val="10"/>
        <rFont val="Arial Narrow"/>
        <family val="2"/>
      </rPr>
      <t xml:space="preserve"> perennial </t>
    </r>
    <r>
      <rPr>
        <sz val="10"/>
        <rFont val="Arial Narrow"/>
        <family val="2"/>
      </rPr>
      <t xml:space="preserve">vegetation.  The corridor must be at least 150 ft wide along its entire length and not interrupted by roads with </t>
    </r>
    <r>
      <rPr>
        <b/>
        <sz val="10"/>
        <rFont val="Arial Narrow"/>
        <family val="2"/>
      </rPr>
      <t>regular traffic</t>
    </r>
    <r>
      <rPr>
        <sz val="10"/>
        <rFont val="Arial Narrow"/>
        <family val="2"/>
      </rPr>
      <t>.</t>
    </r>
  </si>
  <si>
    <r>
      <t xml:space="preserve">There are other wetlands (or a wetland), but NONE are connected to the AA by a </t>
    </r>
    <r>
      <rPr>
        <b/>
        <sz val="10"/>
        <rFont val="Arial Narrow"/>
        <family val="2"/>
      </rPr>
      <t>corridor</t>
    </r>
    <r>
      <rPr>
        <sz val="10"/>
        <rFont val="Arial Narrow"/>
        <family val="2"/>
      </rPr>
      <t xml:space="preserve"> of </t>
    </r>
    <r>
      <rPr>
        <b/>
        <sz val="10"/>
        <rFont val="Arial Narrow"/>
        <family val="2"/>
      </rPr>
      <t xml:space="preserve">perennial </t>
    </r>
    <r>
      <rPr>
        <sz val="10"/>
        <rFont val="Arial Narrow"/>
        <family val="2"/>
      </rPr>
      <t xml:space="preserve">vegetation.  The corridor must be at least 150 ft wide along its entire length and not interrupted by roads with </t>
    </r>
    <r>
      <rPr>
        <b/>
        <sz val="10"/>
        <rFont val="Arial Narrow"/>
        <family val="2"/>
      </rPr>
      <t>regular traffic</t>
    </r>
    <r>
      <rPr>
        <sz val="10"/>
        <rFont val="Arial Narrow"/>
        <family val="2"/>
      </rPr>
      <t>.</t>
    </r>
  </si>
  <si>
    <r>
      <t xml:space="preserve">Use </t>
    </r>
    <r>
      <rPr>
        <u/>
        <sz val="10"/>
        <rFont val="Arial Narrow"/>
        <family val="2"/>
      </rPr>
      <t>ORWAP Report 's</t>
    </r>
    <r>
      <rPr>
        <sz val="10"/>
        <rFont val="Arial Narrow"/>
        <family val="2"/>
      </rPr>
      <t xml:space="preserve"> Rare Species Scores max and sum scores.  See </t>
    </r>
    <r>
      <rPr>
        <u/>
        <sz val="10"/>
        <rFont val="Arial Narrow"/>
        <family val="2"/>
      </rPr>
      <t>Supp_Info</t>
    </r>
    <r>
      <rPr>
        <sz val="10"/>
        <rFont val="Arial Narrow"/>
        <family val="2"/>
      </rPr>
      <t xml:space="preserve"> file for a list of species. 
Species include Miller Lake lamprey, Goose Lake lamprey, Pit sculpin, Lahontan cutthroat trout, Inland Columbia Basin redband trout, Steelhead (Snake River Basin ESU), Alvord chub, Goose Lake tui chub, Borax Lake chub, Lahontan redside, Oregon chub, Goose Lake sucker, Tahoe sucker, Warner sucker, Shortnose sucker, Lost River sucker.  Note that for some of these species, only specific geographic populations are designated.        [FRv] 
</t>
    </r>
    <r>
      <rPr>
        <sz val="10"/>
        <color rgb="FFFF0000"/>
        <rFont val="Arial Narrow"/>
        <family val="2"/>
      </rPr>
      <t xml:space="preserve"> This question may need to revised after the field visit.</t>
    </r>
  </si>
  <si>
    <r>
      <t>Use</t>
    </r>
    <r>
      <rPr>
        <u/>
        <sz val="10"/>
        <rFont val="Arial Narrow"/>
        <family val="2"/>
      </rPr>
      <t xml:space="preserve"> ORWAP Report 's</t>
    </r>
    <r>
      <rPr>
        <sz val="10"/>
        <rFont val="Arial Narrow"/>
        <family val="2"/>
      </rPr>
      <t xml:space="preserve"> Rare Species Scores max and sum scores. See </t>
    </r>
    <r>
      <rPr>
        <u/>
        <sz val="10"/>
        <rFont val="Arial Narrow"/>
        <family val="2"/>
      </rPr>
      <t>Supp_Info</t>
    </r>
    <r>
      <rPr>
        <sz val="10"/>
        <rFont val="Arial Narrow"/>
        <family val="2"/>
      </rPr>
      <t xml:space="preserve"> file for a list of species.
Species include: Horned grebe, Red-necked grebe, Western grebe, Clark's grebe, American white pelican, Least bittern, Snowy egret, Trumpeter swan, White-faced ibis, Harlequin duck, Bufflehead, Yellow rail, Western snowy plover, Upland sandpiper, Franklin's gull, Marbled murrelet. 
[WBNv] 
</t>
    </r>
    <r>
      <rPr>
        <sz val="10"/>
        <color rgb="FFFF0000"/>
        <rFont val="Arial Narrow"/>
        <family val="2"/>
      </rPr>
      <t>This question may need to revised after the field visit.</t>
    </r>
  </si>
  <si>
    <r>
      <t xml:space="preserve">Use </t>
    </r>
    <r>
      <rPr>
        <u/>
        <sz val="10"/>
        <rFont val="Arial Narrow"/>
        <family val="2"/>
      </rPr>
      <t xml:space="preserve">ORWAP Report 's </t>
    </r>
    <r>
      <rPr>
        <sz val="10"/>
        <rFont val="Arial Narrow"/>
        <family val="2"/>
      </rPr>
      <t xml:space="preserve">Rare Species Scores max and sum scores. See </t>
    </r>
    <r>
      <rPr>
        <u/>
        <sz val="10"/>
        <rFont val="Arial Narrow"/>
        <family val="2"/>
      </rPr>
      <t>Supp_Info</t>
    </r>
    <r>
      <rPr>
        <sz val="10"/>
        <rFont val="Arial Narrow"/>
        <family val="2"/>
      </rPr>
      <t xml:space="preserve"> file for a list of species.
 Species include: Bald eagle, American peregrine falcon, Arctic peregrine falcon, Greater sage-grouse, Columbian sharp-tailed grouse, Yellow-billed cuckoo, Northern spotted owl, Short-eared owl, Black swift, Lewis's woodpecker, Purple martin, Northern waterthrush, Bobolink, Tricolored blackbird, Fringed myotis, Spotted bat, Townsend's big-eared bat, Pallid bat, Northern sea lion, Fisher, Sea otter, Canada lynx, Columbian white-tailed deer. [SBMv]
</t>
    </r>
    <r>
      <rPr>
        <sz val="10"/>
        <color rgb="FFFF0000"/>
        <rFont val="Arial Narrow"/>
        <family val="2"/>
      </rPr>
      <t>This question may need to revised after the field visit.</t>
    </r>
  </si>
  <si>
    <r>
      <t>Use ORWAP</t>
    </r>
    <r>
      <rPr>
        <u/>
        <sz val="10"/>
        <rFont val="Arial Narrow"/>
        <family val="2"/>
      </rPr>
      <t xml:space="preserve"> Report 's Rare</t>
    </r>
    <r>
      <rPr>
        <sz val="10"/>
        <rFont val="Arial Narrow"/>
        <family val="2"/>
      </rPr>
      <t xml:space="preserve"> Species Scores max and sum scores. See </t>
    </r>
    <r>
      <rPr>
        <u/>
        <sz val="10"/>
        <rFont val="Arial Narrow"/>
        <family val="2"/>
      </rPr>
      <t>Supp_Info</t>
    </r>
    <r>
      <rPr>
        <sz val="10"/>
        <rFont val="Arial Narrow"/>
        <family val="2"/>
      </rPr>
      <t xml:space="preserve"> file for a list of species. 
See the Supp_Info file's RareAnimals worksheet for list of species addressed by this question. 
[INVv]
</t>
    </r>
    <r>
      <rPr>
        <sz val="10"/>
        <color rgb="FFFF0000"/>
        <rFont val="Arial Narrow"/>
        <family val="2"/>
      </rPr>
      <t xml:space="preserve"> This question may need to revised after the field visit.</t>
    </r>
  </si>
  <si>
    <r>
      <t>Use</t>
    </r>
    <r>
      <rPr>
        <u/>
        <sz val="10"/>
        <rFont val="Arial Narrow"/>
        <family val="2"/>
      </rPr>
      <t xml:space="preserve"> ORWAP Report 's</t>
    </r>
    <r>
      <rPr>
        <sz val="10"/>
        <rFont val="Arial Narrow"/>
        <family val="2"/>
      </rPr>
      <t xml:space="preserve"> Rare Species Scores max and sum scores. See </t>
    </r>
    <r>
      <rPr>
        <u/>
        <sz val="10"/>
        <rFont val="Arial Narrow"/>
        <family val="2"/>
      </rPr>
      <t>Supp_Info</t>
    </r>
    <r>
      <rPr>
        <sz val="10"/>
        <rFont val="Arial Narrow"/>
        <family val="2"/>
      </rPr>
      <t xml:space="preserve"> file for a list of species.
 See the </t>
    </r>
    <r>
      <rPr>
        <u/>
        <sz val="10"/>
        <rFont val="Arial Narrow"/>
        <family val="2"/>
      </rPr>
      <t xml:space="preserve">Supp_Info's </t>
    </r>
    <r>
      <rPr>
        <sz val="10"/>
        <rFont val="Arial Narrow"/>
        <family val="2"/>
      </rPr>
      <t xml:space="preserve">RareWetPlants worksheet  for list of species addressed by this question. 
[PDv,POLv] 
</t>
    </r>
    <r>
      <rPr>
        <sz val="10"/>
        <color rgb="FFFF0000"/>
        <rFont val="Arial Narrow"/>
        <family val="2"/>
      </rPr>
      <t xml:space="preserve"> This question may need to revised after the field visit.</t>
    </r>
  </si>
  <si>
    <r>
      <t>In the</t>
    </r>
    <r>
      <rPr>
        <u/>
        <sz val="10"/>
        <rFont val="Arial Narrow"/>
        <family val="2"/>
      </rPr>
      <t xml:space="preserve"> ORWAP Map Viewer</t>
    </r>
    <r>
      <rPr>
        <sz val="10"/>
        <rFont val="Arial Narrow"/>
        <family val="2"/>
      </rPr>
      <t xml:space="preserve">, use the Rivers &amp; Streams layer and the Persistent, Seasonal, or Saturated nontidal layers (under Wetlands) to determine duration of surface water connection. 
[WCv,SRv,PRv,NRv,FA]
</t>
    </r>
    <r>
      <rPr>
        <sz val="10"/>
        <color rgb="FFFF0000"/>
        <rFont val="Arial Narrow"/>
        <family val="2"/>
      </rPr>
      <t xml:space="preserve"> This may need to be determined or verified in the field.</t>
    </r>
  </si>
  <si>
    <r>
      <rPr>
        <b/>
        <sz val="10"/>
        <rFont val="Arial Narrow"/>
        <family val="2"/>
      </rPr>
      <t xml:space="preserve"> Select EACH </t>
    </r>
    <r>
      <rPr>
        <sz val="10"/>
        <rFont val="Arial Narrow"/>
        <family val="2"/>
      </rPr>
      <t xml:space="preserve">of the vegetation types below that comprise more than 10% of the AA </t>
    </r>
    <r>
      <rPr>
        <u/>
        <sz val="10"/>
        <rFont val="Arial Narrow"/>
        <family val="2"/>
      </rPr>
      <t>AND</t>
    </r>
    <r>
      <rPr>
        <sz val="10"/>
        <rFont val="Arial Narrow"/>
        <family val="2"/>
      </rPr>
      <t xml:space="preserve"> less than
 10% of a </t>
    </r>
    <r>
      <rPr>
        <u/>
        <sz val="10"/>
        <rFont val="Arial Narrow"/>
        <family val="2"/>
      </rPr>
      <t>0.5 mile</t>
    </r>
    <r>
      <rPr>
        <sz val="10"/>
        <rFont val="Arial Narrow"/>
        <family val="2"/>
      </rPr>
      <t xml:space="preserve"> radius around the AA. (See Column E).</t>
    </r>
  </si>
  <si>
    <r>
      <t xml:space="preserve">Use </t>
    </r>
    <r>
      <rPr>
        <u/>
        <sz val="10"/>
        <rFont val="Arial Narrow"/>
        <family val="2"/>
      </rPr>
      <t>ORWAP Report 's</t>
    </r>
    <r>
      <rPr>
        <sz val="10"/>
        <rFont val="Arial Narrow"/>
        <family val="2"/>
      </rPr>
      <t xml:space="preserve"> Rare Species Scores max and sum scores. See </t>
    </r>
    <r>
      <rPr>
        <u/>
        <sz val="10"/>
        <rFont val="Arial Narrow"/>
        <family val="2"/>
      </rPr>
      <t>Supp_Info</t>
    </r>
    <r>
      <rPr>
        <sz val="10"/>
        <rFont val="Arial Narrow"/>
        <family val="2"/>
      </rPr>
      <t xml:space="preserve"> file for a list of species. 
</t>
    </r>
    <r>
      <rPr>
        <b/>
        <sz val="10"/>
        <rFont val="Arial Narrow"/>
        <family val="2"/>
      </rPr>
      <t xml:space="preserve">Non-breeding </t>
    </r>
    <r>
      <rPr>
        <sz val="10"/>
        <rFont val="Arial Narrow"/>
        <family val="2"/>
      </rPr>
      <t xml:space="preserve">-  mainly refers to waterbird feeding during migration and winter. California brown pelican, Aleutian cackling goose, Dusky Canada goose                                                                         
[WBFv]
</t>
    </r>
    <r>
      <rPr>
        <sz val="10"/>
        <color rgb="FFFF0000"/>
        <rFont val="Arial Narrow"/>
        <family val="2"/>
      </rPr>
      <t xml:space="preserve"> This question may need to revised after the field visit.</t>
    </r>
  </si>
  <si>
    <r>
      <t xml:space="preserve">Including the AA's vegetated area, the largest patch or corridor that is </t>
    </r>
    <r>
      <rPr>
        <b/>
        <sz val="10"/>
        <rFont val="Arial Narrow"/>
        <family val="2"/>
      </rPr>
      <t>perennial cover</t>
    </r>
    <r>
      <rPr>
        <sz val="10"/>
        <rFont val="Arial Narrow"/>
        <family val="2"/>
      </rPr>
      <t xml:space="preserve"> and is </t>
    </r>
    <r>
      <rPr>
        <b/>
        <sz val="10"/>
        <rFont val="Arial Narrow"/>
        <family val="2"/>
      </rPr>
      <t>contiguous</t>
    </r>
    <r>
      <rPr>
        <sz val="10"/>
        <rFont val="Arial Narrow"/>
        <family val="2"/>
      </rPr>
      <t xml:space="preserve"> with vegetation in the AA , occupies:</t>
    </r>
  </si>
  <si>
    <r>
      <t xml:space="preserve">The AA is within or connected to a stream or other water body and this stream or water body has been designated as ESH within </t>
    </r>
    <r>
      <rPr>
        <u/>
        <sz val="10"/>
        <rFont val="Arial Narrow"/>
        <family val="2"/>
      </rPr>
      <t>0.5 miles</t>
    </r>
    <r>
      <rPr>
        <sz val="10"/>
        <rFont val="Arial Narrow"/>
        <family val="2"/>
      </rPr>
      <t xml:space="preserve"> of the AA, according to the </t>
    </r>
    <r>
      <rPr>
        <b/>
        <sz val="10"/>
        <rFont val="Arial Narrow"/>
        <family val="2"/>
      </rPr>
      <t xml:space="preserve">Essential Salmonid Habitat (ESH) </t>
    </r>
    <r>
      <rPr>
        <sz val="10"/>
        <rFont val="Arial Narrow"/>
        <family val="2"/>
      </rPr>
      <t>layer.</t>
    </r>
  </si>
  <si>
    <r>
      <t xml:space="preserve">Use </t>
    </r>
    <r>
      <rPr>
        <u/>
        <sz val="10"/>
        <rFont val="Arial Narrow"/>
        <family val="2"/>
      </rPr>
      <t>ORWAP Report '</t>
    </r>
    <r>
      <rPr>
        <sz val="10"/>
        <rFont val="Arial Narrow"/>
        <family val="2"/>
      </rPr>
      <t xml:space="preserve">s Rare Species Scores max and sum scores. See </t>
    </r>
    <r>
      <rPr>
        <u/>
        <sz val="10"/>
        <rFont val="Arial Narrow"/>
        <family val="2"/>
      </rPr>
      <t>Supp_Info</t>
    </r>
    <r>
      <rPr>
        <sz val="10"/>
        <rFont val="Arial Narrow"/>
        <family val="2"/>
      </rPr>
      <t xml:space="preserve"> file for a list of species. 
Species include: Black salamander, California slender salamander, Cope's giant salamander, Rocky Mountain tailed frog, Woodhouse's toad, Foothill yellow-legged frog, Northern leopard frog, Oregon spotted frog, Columbia spotted frog.
[AMv] 
</t>
    </r>
    <r>
      <rPr>
        <sz val="10"/>
        <color rgb="FFFF0000"/>
        <rFont val="Arial Narrow"/>
        <family val="2"/>
      </rPr>
      <t>This question may need to revised after the field visit.</t>
    </r>
  </si>
  <si>
    <r>
      <t xml:space="preserve">This is a tidal wetland (either freshwater or saltwater).  </t>
    </r>
    <r>
      <rPr>
        <b/>
        <sz val="10"/>
        <rFont val="Arial Narrow"/>
        <family val="2"/>
      </rPr>
      <t>If yes, GO TO worksheet " T "</t>
    </r>
    <r>
      <rPr>
        <sz val="10"/>
        <rFont val="Arial Narrow"/>
        <family val="2"/>
      </rPr>
      <t xml:space="preserve">.  
Do not enter any data here. </t>
    </r>
    <r>
      <rPr>
        <b/>
        <sz val="10"/>
        <rFont val="Arial Narrow"/>
        <family val="2"/>
      </rPr>
      <t xml:space="preserve"> If nontidal, continue with F2.</t>
    </r>
  </si>
  <si>
    <r>
      <t xml:space="preserve">At least once every 2 years, some part of the AA contains a cumulative total of &gt;900 sq.ft. of surface water that is ponded. The water persists for &gt;6 days and may be hidden beneath emergent vegetation or scattered in small pools. </t>
    </r>
    <r>
      <rPr>
        <b/>
        <sz val="10"/>
        <rFont val="Arial Narrow"/>
        <family val="2"/>
      </rPr>
      <t>Enter 1, if true.</t>
    </r>
    <r>
      <rPr>
        <sz val="10"/>
        <rFont val="Arial Narrow"/>
        <family val="2"/>
      </rPr>
      <t xml:space="preserve">  </t>
    </r>
  </si>
  <si>
    <r>
      <rPr>
        <b/>
        <sz val="10"/>
        <rFont val="Arial Narrow"/>
        <family val="2"/>
      </rPr>
      <t>Ephemeral</t>
    </r>
    <r>
      <rPr>
        <sz val="10"/>
        <rFont val="Arial Narrow"/>
        <family val="2"/>
      </rPr>
      <t xml:space="preserve">.  Surface water in the wettest part of the AA is present for fewer than 7 consecutive days during an average growing season.  Includes some of the areas mapped as </t>
    </r>
    <r>
      <rPr>
        <u/>
        <sz val="10"/>
        <rFont val="Arial Narrow"/>
        <family val="2"/>
      </rPr>
      <t>Saturated</t>
    </r>
    <r>
      <rPr>
        <sz val="10"/>
        <rFont val="Arial Narrow"/>
        <family val="2"/>
      </rPr>
      <t xml:space="preserve"> Nontidal in the ORWAP Map Viewer (which is not comprehensive).  </t>
    </r>
    <r>
      <rPr>
        <b/>
        <sz val="10"/>
        <rFont val="Arial Narrow"/>
        <family val="2"/>
      </rPr>
      <t>Enter 1 and SKIP to F25.</t>
    </r>
  </si>
  <si>
    <r>
      <rPr>
        <b/>
        <sz val="10"/>
        <rFont val="Arial Narrow"/>
        <family val="2"/>
      </rPr>
      <t>Temporary</t>
    </r>
    <r>
      <rPr>
        <sz val="10"/>
        <rFont val="Arial Narrow"/>
        <family val="2"/>
      </rPr>
      <t xml:space="preserve">.  Surface water present for 1-4 weeks consecutively during an average growing season, OR if persists for longer, it is almost entirely in scattered pools, each smaller than 1 sq.m.  Dries up completely during part of most average years.  Includes some of the areas mapped as </t>
    </r>
    <r>
      <rPr>
        <u/>
        <sz val="10"/>
        <rFont val="Arial Narrow"/>
        <family val="2"/>
      </rPr>
      <t>Saturated</t>
    </r>
    <r>
      <rPr>
        <sz val="10"/>
        <rFont val="Arial Narrow"/>
        <family val="2"/>
      </rPr>
      <t xml:space="preserve"> Nontidal in the ORWAP Map Viewer (which is not comprehensive). </t>
    </r>
    <r>
      <rPr>
        <b/>
        <sz val="10"/>
        <rFont val="Arial Narrow"/>
        <family val="2"/>
      </rPr>
      <t xml:space="preserve">Enter 1 and SKIP to F25. </t>
    </r>
  </si>
  <si>
    <r>
      <rPr>
        <b/>
        <sz val="10"/>
        <rFont val="Arial Narrow"/>
        <family val="2"/>
      </rPr>
      <t>Seasonal</t>
    </r>
    <r>
      <rPr>
        <sz val="10"/>
        <rFont val="Arial Narrow"/>
        <family val="2"/>
      </rPr>
      <t xml:space="preserve">.  Surface water present for 5-17 weeks (1-4 months) consecutively during an average growing season, but dries up completely during part of most average years.  Includes some of the areas mapped as </t>
    </r>
    <r>
      <rPr>
        <u/>
        <sz val="10"/>
        <rFont val="Arial Narrow"/>
        <family val="2"/>
      </rPr>
      <t>Seasonal</t>
    </r>
    <r>
      <rPr>
        <sz val="10"/>
        <rFont val="Arial Narrow"/>
        <family val="2"/>
      </rPr>
      <t xml:space="preserve"> Nontidal in the ORWAP Map Viewer (which is not comprehensive).</t>
    </r>
    <r>
      <rPr>
        <b/>
        <sz val="10"/>
        <rFont val="Arial Narrow"/>
        <family val="2"/>
      </rPr>
      <t xml:space="preserve"> Enter 1 and SKIP to F5.</t>
    </r>
  </si>
  <si>
    <r>
      <rPr>
        <b/>
        <sz val="10"/>
        <rFont val="Arial Narrow"/>
        <family val="2"/>
      </rPr>
      <t>Semi-Persistent</t>
    </r>
    <r>
      <rPr>
        <sz val="10"/>
        <rFont val="Arial Narrow"/>
        <family val="2"/>
      </rPr>
      <t xml:space="preserve">.  Surface water present for more than 17 weeks (4 months) consecutively during an average growing season, but dries up completely during part of most average years.  Includes some of the areas mapped as </t>
    </r>
    <r>
      <rPr>
        <u/>
        <sz val="10"/>
        <rFont val="Arial Narrow"/>
        <family val="2"/>
      </rPr>
      <t>Seasona</t>
    </r>
    <r>
      <rPr>
        <sz val="10"/>
        <rFont val="Arial Narrow"/>
        <family val="2"/>
      </rPr>
      <t xml:space="preserve">l Nontidal in the ORWAP Map Viewer (which is not comprehensive). </t>
    </r>
    <r>
      <rPr>
        <b/>
        <sz val="10"/>
        <rFont val="Arial Narrow"/>
        <family val="2"/>
      </rPr>
      <t>Enter 1 and SKIP to F5.</t>
    </r>
  </si>
  <si>
    <r>
      <rPr>
        <b/>
        <sz val="10"/>
        <rFont val="Arial Narrow"/>
        <family val="2"/>
      </rPr>
      <t>Permanent</t>
    </r>
    <r>
      <rPr>
        <sz val="10"/>
        <rFont val="Arial Narrow"/>
        <family val="2"/>
      </rPr>
      <t xml:space="preserve">.  Does not dry up completely during most average years. Includes some of the areas mapped as </t>
    </r>
    <r>
      <rPr>
        <u/>
        <sz val="10"/>
        <rFont val="Arial Narrow"/>
        <family val="2"/>
      </rPr>
      <t>Persistent</t>
    </r>
    <r>
      <rPr>
        <sz val="10"/>
        <rFont val="Arial Narrow"/>
        <family val="2"/>
      </rPr>
      <t xml:space="preserve"> Nontidal in the ORWAP Map Viewer (which is not comprehensive).  </t>
    </r>
    <r>
      <rPr>
        <b/>
        <sz val="10"/>
        <rFont val="Arial Narrow"/>
        <family val="2"/>
      </rPr>
      <t>Enter 1 and continue.</t>
    </r>
  </si>
  <si>
    <r>
      <rPr>
        <b/>
        <sz val="10"/>
        <rFont val="Arial Narrow"/>
        <family val="2"/>
      </rPr>
      <t>Permanent</t>
    </r>
    <r>
      <rPr>
        <sz val="10"/>
        <rFont val="Arial Narrow"/>
        <family val="2"/>
      </rPr>
      <t xml:space="preserve"> - usually has significant groundwater input, higher conductivity, less annual water level fluctuation.  No woody vegetation in most persistently flooded parts.  Often with extensive open water and subsurface aquatic plants. </t>
    </r>
  </si>
  <si>
    <r>
      <t xml:space="preserve">During most of the growing season, the largest patch of </t>
    </r>
    <r>
      <rPr>
        <b/>
        <sz val="10"/>
        <rFont val="Arial Narrow"/>
        <family val="2"/>
      </rPr>
      <t xml:space="preserve">open water </t>
    </r>
    <r>
      <rPr>
        <sz val="10"/>
        <rFont val="Arial Narrow"/>
        <family val="2"/>
      </rPr>
      <t xml:space="preserve">that is in or adjacent to the AA is &gt;1 acre and mostly deeper than 1 ft.  </t>
    </r>
    <r>
      <rPr>
        <b/>
        <sz val="10"/>
        <rFont val="Arial Narrow"/>
        <family val="2"/>
      </rPr>
      <t>Enter 1, if true.</t>
    </r>
  </si>
  <si>
    <r>
      <t xml:space="preserve">&lt;0.10 acre (&lt; 4356 sq. ft) of the AA and adjacent ponded waters. </t>
    </r>
    <r>
      <rPr>
        <b/>
        <sz val="10"/>
        <rFont val="Arial Narrow"/>
        <family val="2"/>
      </rPr>
      <t xml:space="preserve"> Enter 1 and SKIP TO F16.</t>
    </r>
  </si>
  <si>
    <r>
      <rPr>
        <b/>
        <sz val="10"/>
        <rFont val="Arial Narrow"/>
        <family val="2"/>
      </rPr>
      <t>Evident</t>
    </r>
    <r>
      <rPr>
        <sz val="10"/>
        <rFont val="Arial Narrow"/>
        <family val="2"/>
      </rPr>
      <t xml:space="preserve"> from direct observation or presence of gnawed limbs, dams, tracks, dens, or lodges.</t>
    </r>
  </si>
  <si>
    <r>
      <t xml:space="preserve">The following are known or likely to have reproducing populations in this AA, its wetland, or in water bodies within 300 ft that connect to the AA at least seasonally.  </t>
    </r>
    <r>
      <rPr>
        <b/>
        <sz val="10"/>
        <rFont val="Arial Narrow"/>
        <family val="2"/>
      </rPr>
      <t>Select All that apply:</t>
    </r>
  </si>
  <si>
    <r>
      <t xml:space="preserve">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t>
    </r>
    <r>
      <rPr>
        <b/>
        <sz val="10"/>
        <rFont val="Arial Narrow"/>
        <family val="2"/>
      </rPr>
      <t>Arid or Semi-arid hydrologic unit</t>
    </r>
    <r>
      <rPr>
        <sz val="10"/>
        <rFont val="Arial Narrow"/>
        <family val="2"/>
      </rPr>
      <t>.</t>
    </r>
  </si>
  <si>
    <r>
      <t xml:space="preserve">The AA is </t>
    </r>
    <r>
      <rPr>
        <b/>
        <sz val="10"/>
        <rFont val="Arial Narrow"/>
        <family val="2"/>
      </rPr>
      <t>not</t>
    </r>
    <r>
      <rPr>
        <sz val="10"/>
        <rFont val="Arial Narrow"/>
        <family val="2"/>
      </rPr>
      <t xml:space="preserve"> in an </t>
    </r>
    <r>
      <rPr>
        <b/>
        <sz val="10"/>
        <rFont val="Arial Narrow"/>
        <family val="2"/>
      </rPr>
      <t>Arid or Semi-arid hydrologic unit</t>
    </r>
    <r>
      <rPr>
        <sz val="10"/>
        <rFont val="Arial Narrow"/>
        <family val="2"/>
      </rPr>
      <t>, but has persistent ponded water, no tributary, and is not fed by wastewater, concentrated stormwater, or irrigation water, or by an adjacent river or lake.</t>
    </r>
  </si>
  <si>
    <r>
      <t xml:space="preserve">[WS,WC,NR,CS,OE,INV,FA,FR,PD] 
</t>
    </r>
    <r>
      <rPr>
        <b/>
        <sz val="10"/>
        <rFont val="Arial Narrow"/>
        <family val="2"/>
      </rPr>
      <t xml:space="preserve">Arid or Semi-arid hydrologic unit </t>
    </r>
    <r>
      <rPr>
        <sz val="10"/>
        <rFont val="Arial Narrow"/>
        <family val="2"/>
      </rPr>
      <t>- See the ORWAP Report's Hydrologic Landscape Class (under Location Information).</t>
    </r>
  </si>
  <si>
    <r>
      <rPr>
        <u/>
        <sz val="10"/>
        <rFont val="Arial Narrow"/>
        <family val="2"/>
      </rPr>
      <t xml:space="preserve">Do not include </t>
    </r>
    <r>
      <rPr>
        <sz val="10"/>
        <rFont val="Arial Narrow"/>
        <family val="2"/>
      </rPr>
      <t xml:space="preserve">submersed and floating-leaved aquatics (SAV) in the category of "herbaceous vegetation", or when defining the "vegetated part" of the site.  
</t>
    </r>
    <r>
      <rPr>
        <sz val="10"/>
        <color rgb="FFFF0000"/>
        <rFont val="Arial Narrow"/>
        <family val="2"/>
      </rPr>
      <t>For sites larger than 10 acres, this should be determined from aerial imagery rather than estimated in the field.</t>
    </r>
    <r>
      <rPr>
        <sz val="10"/>
        <rFont val="Arial Narrow"/>
        <family val="2"/>
      </rPr>
      <t xml:space="preserve"> 
[WBF,WBN] </t>
    </r>
  </si>
  <si>
    <r>
      <t xml:space="preserve">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t>
    </r>
    <r>
      <rPr>
        <b/>
        <sz val="10"/>
        <rFont val="Arial Narrow"/>
        <family val="2"/>
      </rPr>
      <t>Enter 1, if true.</t>
    </r>
  </si>
  <si>
    <r>
      <rPr>
        <b/>
        <sz val="10"/>
        <rFont val="Arial Narrow"/>
        <family val="2"/>
      </rPr>
      <t>Robust vines</t>
    </r>
    <r>
      <rPr>
        <sz val="10"/>
        <rFont val="Arial Narrow"/>
        <family val="2"/>
      </rPr>
      <t xml:space="preserve"> - include Himalayan blackberry and others that are generally erect and taller than 1 ft.  
</t>
    </r>
    <r>
      <rPr>
        <b/>
        <sz val="10"/>
        <rFont val="Arial Narrow"/>
        <family val="2"/>
      </rPr>
      <t>Vegetated part</t>
    </r>
    <r>
      <rPr>
        <sz val="10"/>
        <rFont val="Arial Narrow"/>
        <family val="2"/>
      </rPr>
      <t xml:space="preserve"> - should not include floating-leaved or submersed aquatics.
For sites larger than 1 acre, this should be determined from aerial imagery rather than estimated only in the field.
 [WS,NR,CS,SBM,PD,Sens] </t>
    </r>
  </si>
  <si>
    <r>
      <rPr>
        <b/>
        <sz val="10"/>
        <rFont val="Arial Narrow"/>
        <family val="2"/>
      </rPr>
      <t>Wooded upland edge</t>
    </r>
    <r>
      <rPr>
        <sz val="10"/>
        <rFont val="Arial Narrow"/>
        <family val="2"/>
      </rPr>
      <t xml:space="preserve">-  includes woody plants located within one tree-height of the wetland-upland boundary.  
</t>
    </r>
    <r>
      <rPr>
        <b/>
        <sz val="10"/>
        <rFont val="Arial Narrow"/>
        <family val="2"/>
      </rPr>
      <t>DBH</t>
    </r>
    <r>
      <rPr>
        <sz val="10"/>
        <rFont val="Arial Narrow"/>
        <family val="2"/>
      </rPr>
      <t xml:space="preserve"> is the diameter of the tree measured at 4.5 ft above the ground. 
[CS,SBM,POL,Sens] </t>
    </r>
  </si>
  <si>
    <r>
      <rPr>
        <b/>
        <sz val="10"/>
        <rFont val="Arial Narrow"/>
        <family val="2"/>
      </rPr>
      <t>Snags -</t>
    </r>
    <r>
      <rPr>
        <sz val="10"/>
        <rFont val="Arial Narrow"/>
        <family val="2"/>
      </rPr>
      <t xml:space="preserve">  are standing trees at least 20 ft tall that are mainly without bark or foliage. 
[SBM,POL] </t>
    </r>
  </si>
  <si>
    <r>
      <t xml:space="preserve">The number of large </t>
    </r>
    <r>
      <rPr>
        <b/>
        <sz val="10"/>
        <rFont val="Arial Narrow"/>
        <family val="2"/>
      </rPr>
      <t>snags</t>
    </r>
    <r>
      <rPr>
        <sz val="10"/>
        <rFont val="Arial Narrow"/>
        <family val="2"/>
      </rPr>
      <t xml:space="preserve"> (diameter &gt;12 inches) in the AA plus 100 ft uphill of its edge is:</t>
    </r>
  </si>
  <si>
    <r>
      <t xml:space="preserve">Within the </t>
    </r>
    <r>
      <rPr>
        <b/>
        <sz val="10"/>
        <rFont val="Arial Narrow"/>
        <family val="2"/>
      </rPr>
      <t>vegetated part</t>
    </r>
    <r>
      <rPr>
        <sz val="10"/>
        <rFont val="Arial Narrow"/>
        <family val="2"/>
      </rPr>
      <t xml:space="preserve"> of the AA, shrubs shorter than 20 ft that are not overtopped by trees occupy: 
Select first statement that is true.</t>
    </r>
  </si>
  <si>
    <r>
      <rPr>
        <b/>
        <u/>
        <sz val="10"/>
        <rFont val="Arial Narrow"/>
        <family val="2"/>
      </rPr>
      <t>Note</t>
    </r>
    <r>
      <rPr>
        <b/>
        <sz val="10"/>
        <rFont val="Arial Narrow"/>
        <family val="2"/>
      </rPr>
      <t xml:space="preserve"> for the next four questions</t>
    </r>
    <r>
      <rPr>
        <sz val="10"/>
        <rFont val="Arial Narrow"/>
        <family val="2"/>
      </rPr>
      <t>: If the AA lacks an upland edge, evaluate based on the AA's</t>
    </r>
    <r>
      <rPr>
        <u/>
        <sz val="10"/>
        <rFont val="Arial Narrow"/>
        <family val="2"/>
      </rPr>
      <t xml:space="preserve"> entire perimeter</t>
    </r>
    <r>
      <rPr>
        <sz val="10"/>
        <rFont val="Arial Narrow"/>
        <family val="2"/>
      </rPr>
      <t xml:space="preserve"> and outward into whatever areas are adjacent.  In many situations, these questions are best answered by measuring from aerial images.</t>
    </r>
  </si>
  <si>
    <r>
      <t xml:space="preserve">The percentage of the AA's </t>
    </r>
    <r>
      <rPr>
        <u/>
        <sz val="10"/>
        <rFont val="Arial Narrow"/>
        <family val="2"/>
      </rPr>
      <t>edge (perimeter)</t>
    </r>
    <r>
      <rPr>
        <sz val="10"/>
        <rFont val="Arial Narrow"/>
        <family val="2"/>
      </rPr>
      <t xml:space="preserve"> that is comprised of a band of upland perennial cover wider than 10 ft and taller than 6 inches, during most of the growing season is:  </t>
    </r>
  </si>
  <si>
    <r>
      <rPr>
        <b/>
        <sz val="10"/>
        <rFont val="Arial Narrow"/>
        <family val="2"/>
      </rPr>
      <t xml:space="preserve">Upland edge </t>
    </r>
    <r>
      <rPr>
        <sz val="10"/>
        <rFont val="Arial Narrow"/>
        <family val="2"/>
      </rPr>
      <t>- is the land within 3 ft of the wetland's perimeter that is not wetland.
[WCv,SRv,PRv,INV,FA,AM,WBN,SBM,PD,POL,Sens,STR]</t>
    </r>
  </si>
  <si>
    <r>
      <t xml:space="preserve">Within 100 f.t landward from the AA's </t>
    </r>
    <r>
      <rPr>
        <u/>
        <sz val="10"/>
        <rFont val="Arial Narrow"/>
        <family val="2"/>
      </rPr>
      <t>edge (perimeter</t>
    </r>
    <r>
      <rPr>
        <sz val="10"/>
        <rFont val="Arial Narrow"/>
        <family val="2"/>
      </rPr>
      <t>), the percentage of the upland perennial cover that is woody plants taller than 20 ft is:</t>
    </r>
  </si>
  <si>
    <r>
      <t xml:space="preserve">Along the greatest extent of the AA's </t>
    </r>
    <r>
      <rPr>
        <b/>
        <u/>
        <sz val="10"/>
        <rFont val="Arial Narrow"/>
        <family val="2"/>
      </rPr>
      <t>upland edge</t>
    </r>
    <r>
      <rPr>
        <sz val="10"/>
        <rFont val="Arial Narrow"/>
        <family val="2"/>
      </rPr>
      <t xml:space="preserve">, the width of </t>
    </r>
    <r>
      <rPr>
        <b/>
        <sz val="10"/>
        <rFont val="Arial Narrow"/>
        <family val="2"/>
      </rPr>
      <t>perennial cover</t>
    </r>
    <r>
      <rPr>
        <sz val="10"/>
        <rFont val="Arial Narrow"/>
        <family val="2"/>
      </rPr>
      <t xml:space="preserve"> taller than 6 inches that extends upslope from the AA until mostly shorter or non-perennial cover is reached is: 
[</t>
    </r>
    <r>
      <rPr>
        <u/>
        <sz val="10"/>
        <rFont val="Arial Narrow"/>
        <family val="2"/>
      </rPr>
      <t>Note</t>
    </r>
    <r>
      <rPr>
        <sz val="10"/>
        <rFont val="Arial Narrow"/>
        <family val="2"/>
      </rPr>
      <t xml:space="preserve">:  the width is not necessarily the maximum width. Base on vegetation that occurs most of the growing season.] </t>
    </r>
  </si>
  <si>
    <r>
      <rPr>
        <b/>
        <sz val="10"/>
        <rFont val="Arial Narrow"/>
        <family val="2"/>
      </rPr>
      <t>Microtopography</t>
    </r>
    <r>
      <rPr>
        <sz val="10"/>
        <rFont val="Arial Narrow"/>
        <family val="2"/>
      </rPr>
      <t xml:space="preserve"> - refers mainly to vertical relief of &lt;3 ft and is represented only by inorganic features, except where plants have created depressions or mounds of soil. 
Consider the microtopography to be</t>
    </r>
    <r>
      <rPr>
        <u/>
        <sz val="10"/>
        <rFont val="Arial Narrow"/>
        <family val="2"/>
      </rPr>
      <t xml:space="preserve"> "few or none"</t>
    </r>
    <r>
      <rPr>
        <sz val="10"/>
        <rFont val="Arial Narrow"/>
        <family val="2"/>
      </rPr>
      <t xml:space="preserve"> if one could walk easily through most of the AA once any slash and logs are removed.  Consider it to be </t>
    </r>
    <r>
      <rPr>
        <u/>
        <sz val="10"/>
        <rFont val="Arial Narrow"/>
        <family val="2"/>
      </rPr>
      <t>"several"</t>
    </r>
    <r>
      <rPr>
        <sz val="10"/>
        <rFont val="Arial Narrow"/>
        <family val="2"/>
      </rPr>
      <t xml:space="preserve"> if one has to constantly look down and check balance. 
[WS,SR,PR,NR,INV,AM,SBM,PD,POL,EC] </t>
    </r>
  </si>
  <si>
    <r>
      <t xml:space="preserve">Within 300 ft of the AA, there are elevated terrestrial features such as cliffs, bluffs, talus slopes, or unarmored stream banks that extend at least 6 ft nearly vertically, are unvegetated, and potentially contain crevices or other substrate suitable for nesting or den areas. </t>
    </r>
    <r>
      <rPr>
        <b/>
        <sz val="10"/>
        <rFont val="Arial Narrow"/>
        <family val="2"/>
      </rPr>
      <t xml:space="preserve"> Enter 1, if true.</t>
    </r>
  </si>
  <si>
    <r>
      <t xml:space="preserve">Include wetlands whose area was likely expanded by road berms which impeded runoff, but do not include wetlands created by beaver dams except for the part where flooding affected uplands (not just existing wetlands and streams). Determine this using historical aerial photography, old maps, soil maps, consultation with landowners, and/or permit files as available.   
See </t>
    </r>
    <r>
      <rPr>
        <u/>
        <sz val="10"/>
        <rFont val="Arial Narrow"/>
        <family val="2"/>
      </rPr>
      <t>ORWAP Map Viewer</t>
    </r>
    <r>
      <rPr>
        <sz val="10"/>
        <rFont val="Arial Narrow"/>
        <family val="2"/>
      </rPr>
      <t xml:space="preserve"> for hydric soil map. Also, locations of some restoration wetlands can be found by going to the ORWAP Map Viewer" layers under  Restoration. 
Another potential source is the Conservation Registry: http://or.conservationregistry.org/. 
[NR,CS,OE,PD,Sens] </t>
    </r>
  </si>
  <si>
    <r>
      <rPr>
        <b/>
        <sz val="10"/>
        <rFont val="Arial Narrow"/>
        <family val="2"/>
      </rPr>
      <t>Playa, Salt Flat, or Alkaline Lake:</t>
    </r>
    <r>
      <rPr>
        <sz val="10"/>
        <rFont val="Arial Narrow"/>
        <family val="2"/>
      </rPr>
      <t xml:space="preserve"> a nontidal ponded water body usually having saline (salinity &gt;1 ppt or conductivity &gt;1000 µS ) or alkaline (conductivity &gt;2000 µS and pH &gt;9) conditions and large seasonal water level fluctuations (if inputs-outputs unregulated).  If a playa or salt flat, vegetation cover is sparse and plants typical of saline or alkaline conditions (e.g., Distichlis, Atriplex) are common.  </t>
    </r>
  </si>
  <si>
    <r>
      <rPr>
        <b/>
        <sz val="10"/>
        <rFont val="Arial Narrow"/>
        <family val="2"/>
      </rPr>
      <t xml:space="preserve">Vernal pool </t>
    </r>
    <r>
      <rPr>
        <sz val="10"/>
        <rFont val="Arial Narrow"/>
        <family val="2"/>
      </rPr>
      <t>(Willamette Valley): a seasonally inundated wetland, underlain by hardpan or claypan, with hummocky micro-relief, usually without a naturally-occurring inlet or outlet, and with native plant species distinctly different from those in slightly higher areas, and often including species in column E.</t>
    </r>
  </si>
  <si>
    <r>
      <rPr>
        <b/>
        <sz val="10"/>
        <rFont val="Arial Narrow"/>
        <family val="2"/>
      </rPr>
      <t>Vernal pool</t>
    </r>
    <r>
      <rPr>
        <sz val="10"/>
        <rFont val="Arial Narrow"/>
        <family val="2"/>
      </rPr>
      <t xml:space="preserve"> (Medford area): a seasonally inundated acidic wetland, underlain by hardpan, with hummocky micro-relief, usually without a naturally-occurring inlet or outlet, and having concentric rings of similar native vegetation, often including species in column E.</t>
    </r>
  </si>
  <si>
    <r>
      <rPr>
        <b/>
        <sz val="10"/>
        <rFont val="Arial Narrow"/>
        <family val="2"/>
        <scheme val="minor"/>
      </rPr>
      <t xml:space="preserve"> Vegetated wetland</t>
    </r>
    <r>
      <rPr>
        <sz val="10"/>
        <rFont val="Arial Narrow"/>
        <family val="2"/>
        <scheme val="minor"/>
      </rPr>
      <t xml:space="preserve"> in this case does not include underwater or floating-leaved plants ( i.e., aquatic bed).  
Measure the width perpendicular to the open water part. 
</t>
    </r>
    <r>
      <rPr>
        <u/>
        <sz val="10"/>
        <rFont val="Arial Narrow"/>
        <family val="2"/>
        <scheme val="minor"/>
      </rPr>
      <t>For most sites larger than 5 hectares</t>
    </r>
    <r>
      <rPr>
        <sz val="10"/>
        <rFont val="Arial Narrow"/>
        <family val="2"/>
        <scheme val="minor"/>
      </rPr>
      <t xml:space="preserve"> and with persistent water, measure the width using aerial imagery rather than estimating in the field. 
[SR,PR,NR,CS,OE,FA,SBM,PD,POL] </t>
    </r>
  </si>
  <si>
    <r>
      <rPr>
        <b/>
        <sz val="10"/>
        <rFont val="Arial Narrow"/>
        <family val="2"/>
      </rPr>
      <t xml:space="preserve">Impeded </t>
    </r>
    <r>
      <rPr>
        <sz val="10"/>
        <rFont val="Arial Narrow"/>
        <family val="2"/>
      </rPr>
      <t>means causing a delay or reduction in water velocity or volume. 
[OE]</t>
    </r>
  </si>
  <si>
    <t>Which of the following is MOST true:</t>
  </si>
  <si>
    <r>
      <rPr>
        <b/>
        <sz val="10"/>
        <rFont val="Arial Narrow"/>
        <family val="2"/>
      </rPr>
      <t xml:space="preserve">Emergent </t>
    </r>
    <r>
      <rPr>
        <sz val="10"/>
        <rFont val="Arial Narrow"/>
        <family val="2"/>
      </rPr>
      <t xml:space="preserve">- erect herbaceous or woody plants whose roots and/or foliage are inundated by tide at least once daily, on the average.  If in multiple small patches are separated by less than 150 ft, they may be combined when evaluating this question. 
[WBF,SBM,PD] </t>
    </r>
  </si>
  <si>
    <r>
      <t xml:space="preserve">The percentage of the AA's </t>
    </r>
    <r>
      <rPr>
        <u/>
        <sz val="10"/>
        <rFont val="Arial Narrow"/>
        <family val="2"/>
      </rPr>
      <t>edge (perimeter</t>
    </r>
    <r>
      <rPr>
        <sz val="10"/>
        <rFont val="Arial Narrow"/>
        <family val="2"/>
      </rPr>
      <t xml:space="preserve">) that is comprised of a band of upland </t>
    </r>
    <r>
      <rPr>
        <b/>
        <sz val="10"/>
        <rFont val="Arial Narrow"/>
        <family val="2"/>
      </rPr>
      <t xml:space="preserve">perennial cover </t>
    </r>
    <r>
      <rPr>
        <sz val="10"/>
        <rFont val="Arial Narrow"/>
        <family val="2"/>
      </rPr>
      <t xml:space="preserve">wider than 10 ft and taller than 6 inches during most of the growing season is:  </t>
    </r>
  </si>
  <si>
    <r>
      <t xml:space="preserve">Within 300 ft. upslope of the AA's </t>
    </r>
    <r>
      <rPr>
        <u/>
        <sz val="10"/>
        <rFont val="Arial Narrow"/>
        <family val="2"/>
      </rPr>
      <t>upland edge</t>
    </r>
    <r>
      <rPr>
        <sz val="10"/>
        <rFont val="Arial Narrow"/>
        <family val="2"/>
      </rPr>
      <t>, the area that is NOT perennial cover is mostly:</t>
    </r>
    <r>
      <rPr>
        <b/>
        <sz val="10"/>
        <rFont val="Arial Narrow"/>
        <family val="2"/>
      </rPr>
      <t xml:space="preserve"> Select only ONE</t>
    </r>
  </si>
  <si>
    <r>
      <rPr>
        <b/>
        <sz val="10"/>
        <rFont val="Arial Narrow"/>
        <family val="2"/>
      </rPr>
      <t>Microtopography</t>
    </r>
    <r>
      <rPr>
        <sz val="10"/>
        <rFont val="Arial Narrow"/>
        <family val="2"/>
      </rPr>
      <t xml:space="preserve"> refers mainly to vertical relief of &lt;3 ft and is represented only by inorganic features, except where plants have created depressions or mounds of soil. Consider the microtopography to be </t>
    </r>
    <r>
      <rPr>
        <u/>
        <sz val="10"/>
        <rFont val="Arial Narrow"/>
        <family val="2"/>
      </rPr>
      <t>"few or none"</t>
    </r>
    <r>
      <rPr>
        <sz val="10"/>
        <rFont val="Arial Narrow"/>
        <family val="2"/>
      </rPr>
      <t xml:space="preserve"> if one could walk easily through most of the AA once any slash and logs are removed.  
Consider it to be </t>
    </r>
    <r>
      <rPr>
        <u/>
        <sz val="10"/>
        <rFont val="Arial Narrow"/>
        <family val="2"/>
      </rPr>
      <t>"several"</t>
    </r>
    <r>
      <rPr>
        <sz val="10"/>
        <rFont val="Arial Narrow"/>
        <family val="2"/>
      </rPr>
      <t xml:space="preserve"> if one has to constantly look down and check balance. 
[PD]</t>
    </r>
  </si>
  <si>
    <r>
      <t xml:space="preserve">Consult historical aerial photography, old maps, soil maps, landowners, and/or permit files as available.  
Also, locations of some restoration wetlands can be found by going to the </t>
    </r>
    <r>
      <rPr>
        <u/>
        <sz val="10"/>
        <rFont val="Arial Narrow"/>
        <family val="2"/>
      </rPr>
      <t>ORWAP Map Viewer's</t>
    </r>
    <r>
      <rPr>
        <sz val="10"/>
        <rFont val="Arial Narrow"/>
        <family val="2"/>
      </rPr>
      <t xml:space="preserve">  layers under the Restoration heading. Another potential source is the </t>
    </r>
    <r>
      <rPr>
        <u/>
        <sz val="10"/>
        <rFont val="Arial Narrow"/>
        <family val="2"/>
      </rPr>
      <t>Conservation Registry</t>
    </r>
    <r>
      <rPr>
        <sz val="10"/>
        <rFont val="Arial Narrow"/>
        <family val="2"/>
      </rPr>
      <t>: http://or.conservationregistry.org/. 
[CS]</t>
    </r>
  </si>
  <si>
    <r>
      <t xml:space="preserve">Within 300 ft. of the AA, there are elevated terrestrial features such as cliffs, talus slopes, or unarmored banks along nontidal channels that extend at least 6 ft nearly vertically, are unvegetated, and potentially contain crevices or other substrate suitable for nesting or den areas. </t>
    </r>
    <r>
      <rPr>
        <b/>
        <sz val="10"/>
        <rFont val="Arial Narrow"/>
        <family val="2"/>
      </rPr>
      <t xml:space="preserve"> Enter 1, if true.</t>
    </r>
  </si>
  <si>
    <r>
      <t xml:space="preserve">Conduct an assessment </t>
    </r>
    <r>
      <rPr>
        <u/>
        <sz val="12"/>
        <rFont val="Arial Narrow"/>
        <family val="2"/>
      </rPr>
      <t>only after reading the accompanying Manual and explanations in column E below</t>
    </r>
    <r>
      <rPr>
        <sz val="12"/>
        <rFont val="Arial Narrow"/>
        <family val="2"/>
      </rPr>
      <t xml:space="preserve">.  Answering many of the following questions requires viewing aerial imagery and maps, covering an area up to within 2 miles of the AA. </t>
    </r>
    <r>
      <rPr>
        <b/>
        <sz val="12"/>
        <rFont val="Arial Narrow"/>
        <family val="2"/>
      </rPr>
      <t>For each affirmative answer, change the 0 in the "Data" column to a "1".</t>
    </r>
    <r>
      <rPr>
        <sz val="12"/>
        <rFont val="Arial Narrow"/>
        <family val="2"/>
      </rPr>
      <t xml:space="preserve">  Answer all items except where directed to skip to others.  Questions whose cells in "Data" column have a </t>
    </r>
    <r>
      <rPr>
        <b/>
        <sz val="12"/>
        <rFont val="Arial Narrow"/>
        <family val="2"/>
      </rPr>
      <t xml:space="preserve">"W" MUST be answered for the ENTIRE wetland and bordering waters.  </t>
    </r>
  </si>
  <si>
    <r>
      <t xml:space="preserve">Conduct an assessment </t>
    </r>
    <r>
      <rPr>
        <u/>
        <sz val="12"/>
        <rFont val="Arial Narrow"/>
        <family val="2"/>
      </rPr>
      <t xml:space="preserve">only after reading the accompanying Manual and explanations in column E below. </t>
    </r>
    <r>
      <rPr>
        <sz val="12"/>
        <rFont val="Arial Narrow"/>
        <family val="2"/>
      </rPr>
      <t xml:space="preserve"> </t>
    </r>
    <r>
      <rPr>
        <b/>
        <sz val="12"/>
        <rFont val="Arial Narrow"/>
        <family val="2"/>
      </rPr>
      <t>For each affirmative answer, change the 0 in the "Data" column to a "1".</t>
    </r>
    <r>
      <rPr>
        <sz val="12"/>
        <rFont val="Arial Narrow"/>
        <family val="2"/>
      </rPr>
      <t xml:space="preserve">  Answer all items except where directed to skip to others.  Questions whose cells in "Data" column have a </t>
    </r>
    <r>
      <rPr>
        <b/>
        <sz val="12"/>
        <rFont val="Arial Narrow"/>
        <family val="2"/>
      </rPr>
      <t xml:space="preserve">"W" MUST be answered for the ENTIRE wetland and bordering waters.  </t>
    </r>
  </si>
  <si>
    <r>
      <t xml:space="preserve">The AA is not a mitigation wetland, but public funds or community volunteer efforts have been applied to preserve, create, restore, or enhance the condition or functions of the wetland. (e.g.  CRP or WRP wetlands, community projects).           </t>
    </r>
    <r>
      <rPr>
        <b/>
        <sz val="10"/>
        <rFont val="Arial Narrow"/>
        <family val="2"/>
      </rPr>
      <t>Enter 1, if true.  (If unknown, leave 0).</t>
    </r>
  </si>
  <si>
    <r>
      <t xml:space="preserve">The AA is all or part of a compensation site used explicitly to offset impacts elsewhere.  
</t>
    </r>
    <r>
      <rPr>
        <b/>
        <sz val="10"/>
        <rFont val="Arial Narrow"/>
        <family val="2"/>
      </rPr>
      <t>Enter 1, if true. ( If unknown, leave 0).</t>
    </r>
  </si>
  <si>
    <r>
      <t xml:space="preserve">Plants, animals, or water in the AA have been monitored for &gt;2 years, </t>
    </r>
    <r>
      <rPr>
        <u/>
        <sz val="10"/>
        <rFont val="Arial Narrow"/>
        <family val="2"/>
      </rPr>
      <t>unrelated to any regulatory requirements, and data are available to the public</t>
    </r>
    <r>
      <rPr>
        <sz val="10"/>
        <rFont val="Arial Narrow"/>
        <family val="2"/>
      </rPr>
      <t xml:space="preserve">.  Or the AA is part of an area that has been designated by an agency or institution as a benchmark, reference, or status-trends monitoring area. </t>
    </r>
    <r>
      <rPr>
        <b/>
        <sz val="10"/>
        <rFont val="Arial Narrow"/>
        <family val="2"/>
      </rPr>
      <t>Enter 1, if true.  ( If unknown, leave 0)</t>
    </r>
  </si>
  <si>
    <r>
      <t xml:space="preserve">The AA is on private lands and is not a mitigation wetland, but public funds have been spent to preserve, create, restore, or enhance functions of the wetland.  </t>
    </r>
    <r>
      <rPr>
        <b/>
        <sz val="10"/>
        <rFont val="Arial Narrow"/>
        <family val="2"/>
      </rPr>
      <t>Enter 1, if true.   If unknown, leave 0).</t>
    </r>
  </si>
  <si>
    <r>
      <t xml:space="preserve">The AA is all or part of a compensation site used explicitly to offset impacts elsewhere.  
</t>
    </r>
    <r>
      <rPr>
        <b/>
        <sz val="10"/>
        <rFont val="Arial Narrow"/>
        <family val="2"/>
      </rPr>
      <t>Enter 1, if true.   If unknown, leave 0)</t>
    </r>
  </si>
  <si>
    <r>
      <t xml:space="preserve">Plants, animals, or water in the AA have been monitored for &gt;2 years, </t>
    </r>
    <r>
      <rPr>
        <u/>
        <sz val="10"/>
        <rFont val="Arial Narrow"/>
        <family val="2"/>
      </rPr>
      <t>unrelated to any regulatory requirements, and data are available to the public</t>
    </r>
    <r>
      <rPr>
        <sz val="10"/>
        <rFont val="Arial Narrow"/>
        <family val="2"/>
      </rPr>
      <t xml:space="preserve">.  Or the AA is part of an area that has been designated by an agency or institution as a benchmark, reference, or status-trends monitoring area.  </t>
    </r>
    <r>
      <rPr>
        <b/>
        <sz val="10"/>
        <rFont val="Arial Narrow"/>
        <family val="2"/>
      </rPr>
      <t>Enter 1, if true.   If unknown, leave 0)</t>
    </r>
  </si>
  <si>
    <t>In the ORWAP Map Viewer, based on the Hydrologic Boundaries 4th Level (HUC 8) layer (under Watersheds), determine if the AA is:          (See Column E)</t>
  </si>
  <si>
    <r>
      <t xml:space="preserve">(a) Vegetation </t>
    </r>
    <r>
      <rPr>
        <u/>
        <sz val="10"/>
        <rFont val="Arial Narrow"/>
        <family val="2"/>
      </rPr>
      <t xml:space="preserve">OR </t>
    </r>
    <r>
      <rPr>
        <b/>
        <sz val="10"/>
        <rFont val="Arial Narrow"/>
        <family val="2"/>
      </rPr>
      <t>open water</t>
    </r>
    <r>
      <rPr>
        <sz val="10"/>
        <rFont val="Arial Narrow"/>
        <family val="2"/>
      </rPr>
      <t xml:space="preserve"> </t>
    </r>
    <r>
      <rPr>
        <u/>
        <sz val="10"/>
        <rFont val="Arial Narrow"/>
        <family val="2"/>
      </rPr>
      <t xml:space="preserve">comprise &gt;70% </t>
    </r>
    <r>
      <rPr>
        <sz val="10"/>
        <rFont val="Arial Narrow"/>
        <family val="2"/>
      </rPr>
      <t xml:space="preserve">of the AA (and its bordering waters) AND </t>
    </r>
    <r>
      <rPr>
        <b/>
        <sz val="10"/>
        <rFont val="Arial Narrow"/>
        <family val="2"/>
      </rPr>
      <t>(b)</t>
    </r>
    <r>
      <rPr>
        <sz val="10"/>
        <rFont val="Arial Narrow"/>
        <family val="2"/>
      </rPr>
      <t xml:space="preserve"> Open water is </t>
    </r>
    <r>
      <rPr>
        <u/>
        <sz val="10"/>
        <rFont val="Arial Narrow"/>
        <family val="2"/>
      </rPr>
      <t>mostly in a single area</t>
    </r>
    <r>
      <rPr>
        <sz val="10"/>
        <rFont val="Arial Narrow"/>
        <family val="2"/>
      </rPr>
      <t xml:space="preserve"> (e.g., center of the wetland) and vegetation is in the rest (e.g., periphery), with almost no intermixing.  Typical of many ponds excavated for livestock watering, stormwater treatment, mineral extraction as well as many wetlands that are inundated only temporarily each year.</t>
    </r>
  </si>
  <si>
    <r>
      <t xml:space="preserve">(a) Vegetation </t>
    </r>
    <r>
      <rPr>
        <u/>
        <sz val="10"/>
        <rFont val="Arial Narrow"/>
        <family val="2"/>
      </rPr>
      <t>OR</t>
    </r>
    <r>
      <rPr>
        <sz val="10"/>
        <rFont val="Arial Narrow"/>
        <family val="2"/>
      </rPr>
      <t xml:space="preserve"> </t>
    </r>
    <r>
      <rPr>
        <b/>
        <sz val="10"/>
        <rFont val="Arial Narrow"/>
        <family val="2"/>
      </rPr>
      <t>open water</t>
    </r>
    <r>
      <rPr>
        <sz val="10"/>
        <rFont val="Arial Narrow"/>
        <family val="2"/>
      </rPr>
      <t xml:space="preserve"> </t>
    </r>
    <r>
      <rPr>
        <u/>
        <sz val="10"/>
        <rFont val="Arial Narrow"/>
        <family val="2"/>
      </rPr>
      <t>comprise &gt;70%</t>
    </r>
    <r>
      <rPr>
        <sz val="10"/>
        <rFont val="Arial Narrow"/>
        <family val="2"/>
      </rPr>
      <t xml:space="preserve"> of the AA (and its bordering  waters) AND </t>
    </r>
    <r>
      <rPr>
        <b/>
        <sz val="10"/>
        <rFont val="Arial Narrow"/>
        <family val="2"/>
      </rPr>
      <t xml:space="preserve">(b) </t>
    </r>
    <r>
      <rPr>
        <sz val="10"/>
        <rFont val="Arial Narrow"/>
        <family val="2"/>
      </rPr>
      <t xml:space="preserve">There are </t>
    </r>
    <r>
      <rPr>
        <u/>
        <sz val="10"/>
        <rFont val="Arial Narrow"/>
        <family val="2"/>
      </rPr>
      <t xml:space="preserve">several small patches </t>
    </r>
    <r>
      <rPr>
        <sz val="10"/>
        <rFont val="Arial Narrow"/>
        <family val="2"/>
      </rPr>
      <t xml:space="preserve">of open water scattered within vegetation or several small vegetation clump "islands" scattered within  open water. </t>
    </r>
  </si>
  <si>
    <r>
      <t xml:space="preserve">(a) Vegetation </t>
    </r>
    <r>
      <rPr>
        <u/>
        <sz val="10"/>
        <rFont val="Arial Narrow"/>
        <family val="2"/>
      </rPr>
      <t>and</t>
    </r>
    <r>
      <rPr>
        <sz val="10"/>
        <rFont val="Arial Narrow"/>
        <family val="2"/>
      </rPr>
      <t xml:space="preserve"> </t>
    </r>
    <r>
      <rPr>
        <b/>
        <sz val="10"/>
        <rFont val="Arial Narrow"/>
        <family val="2"/>
      </rPr>
      <t>open water</t>
    </r>
    <r>
      <rPr>
        <sz val="10"/>
        <rFont val="Arial Narrow"/>
        <family val="2"/>
      </rPr>
      <t xml:space="preserve"> </t>
    </r>
    <r>
      <rPr>
        <u/>
        <sz val="10"/>
        <rFont val="Arial Narrow"/>
        <family val="2"/>
      </rPr>
      <t>EACH comprise 30-70%</t>
    </r>
    <r>
      <rPr>
        <sz val="10"/>
        <rFont val="Arial Narrow"/>
        <family val="2"/>
      </rPr>
      <t xml:space="preserve"> of the AA (including its bordering waters if any) AND </t>
    </r>
    <r>
      <rPr>
        <b/>
        <sz val="10"/>
        <rFont val="Arial Narrow"/>
        <family val="2"/>
      </rPr>
      <t>(b)</t>
    </r>
    <r>
      <rPr>
        <sz val="10"/>
        <rFont val="Arial Narrow"/>
        <family val="2"/>
      </rPr>
      <t xml:space="preserve"> There are only a </t>
    </r>
    <r>
      <rPr>
        <u/>
        <sz val="10"/>
        <rFont val="Arial Narrow"/>
        <family val="2"/>
      </rPr>
      <t>few (or no) small patches</t>
    </r>
    <r>
      <rPr>
        <sz val="10"/>
        <rFont val="Arial Narrow"/>
        <family val="2"/>
      </rPr>
      <t xml:space="preserve"> of open water scattered widely within vegetation or a few small vegetation clump "islands" scattered widely within open water.  </t>
    </r>
  </si>
  <si>
    <r>
      <t xml:space="preserve">The percent of the vegetated part of the AA that is </t>
    </r>
    <r>
      <rPr>
        <b/>
        <sz val="10"/>
        <rFont val="Arial Narrow"/>
        <family val="2"/>
        <scheme val="minor"/>
      </rPr>
      <t>"low marsh"</t>
    </r>
    <r>
      <rPr>
        <sz val="10"/>
        <rFont val="Arial Narrow"/>
        <family val="2"/>
        <scheme val="minor"/>
      </rPr>
      <t xml:space="preserve"> (covered by tidal water for part of almost every day) is:</t>
    </r>
  </si>
  <si>
    <r>
      <t xml:space="preserve">Adjacent to a nontidal palustrine wetland that contains surface water at least seasonally. Anadromous fish can access both wetlands during spring. Mostly </t>
    </r>
    <r>
      <rPr>
        <u/>
        <sz val="10"/>
        <rFont val="Arial Narrow"/>
        <family val="2"/>
        <scheme val="minor"/>
      </rPr>
      <t>not</t>
    </r>
    <r>
      <rPr>
        <sz val="10"/>
        <rFont val="Arial Narrow"/>
        <family val="2"/>
        <scheme val="minor"/>
      </rPr>
      <t xml:space="preserve"> separated by a dike or other barrier.  </t>
    </r>
  </si>
  <si>
    <r>
      <t xml:space="preserve">Adjacent to a nontidal palustrine wetland that contains surface water at least seasonally. Anadromous fish </t>
    </r>
    <r>
      <rPr>
        <u/>
        <sz val="10"/>
        <rFont val="Arial Narrow"/>
        <family val="2"/>
        <scheme val="minor"/>
      </rPr>
      <t>cannot</t>
    </r>
    <r>
      <rPr>
        <sz val="10"/>
        <rFont val="Arial Narrow"/>
        <family val="2"/>
        <scheme val="minor"/>
      </rPr>
      <t xml:space="preserve"> access both wetlands during spring.  </t>
    </r>
  </si>
  <si>
    <r>
      <t xml:space="preserve">Not adjacent to a nontidal palustrine wetland that contains surface water.  Has a freshwater tributary that allows fish passage during the springtime to a nontidal wetland </t>
    </r>
    <r>
      <rPr>
        <u/>
        <sz val="10"/>
        <rFont val="Arial Narrow"/>
        <family val="2"/>
      </rPr>
      <t>&gt; 1 mile</t>
    </r>
    <r>
      <rPr>
        <sz val="10"/>
        <rFont val="Arial Narrow"/>
        <family val="2"/>
      </rPr>
      <t xml:space="preserve"> upstream.</t>
    </r>
  </si>
  <si>
    <r>
      <t xml:space="preserve">Not adjacent to a nontidal palustrine wetland that contains surface water.  Has a freshwater tributary that allows fish passage during the springtime to a nontidal wetland </t>
    </r>
    <r>
      <rPr>
        <u/>
        <sz val="10"/>
        <rFont val="Arial Narrow"/>
        <family val="2"/>
      </rPr>
      <t>&lt; 1 mile</t>
    </r>
    <r>
      <rPr>
        <sz val="10"/>
        <rFont val="Arial Narrow"/>
        <family val="2"/>
      </rPr>
      <t xml:space="preserve"> upstream.</t>
    </r>
  </si>
  <si>
    <r>
      <t xml:space="preserve">Not adjacent to a nontidal palustrine wetland that contains surface water.  </t>
    </r>
    <r>
      <rPr>
        <u/>
        <sz val="10"/>
        <rFont val="Arial Narrow"/>
        <family val="2"/>
      </rPr>
      <t>Lacks</t>
    </r>
    <r>
      <rPr>
        <sz val="10"/>
        <rFont val="Arial Narrow"/>
        <family val="2"/>
      </rPr>
      <t xml:space="preserve"> a freshwater tributary that provides fish access to an upstream wetland  that contains surface water at least seasonally.</t>
    </r>
  </si>
  <si>
    <r>
      <t xml:space="preserve">100 to 300 ft.             </t>
    </r>
    <r>
      <rPr>
        <b/>
        <sz val="10"/>
        <rFont val="Arial Narrow"/>
        <family val="2"/>
      </rPr>
      <t>IF #T27 also was answered &gt;95%, enter 1 and SKIP to T30.</t>
    </r>
  </si>
  <si>
    <r>
      <t xml:space="preserve">&gt; 300 ft.                    </t>
    </r>
    <r>
      <rPr>
        <b/>
        <sz val="10"/>
        <rFont val="Arial Narrow"/>
        <family val="2"/>
      </rPr>
      <t>IF #T27 also was answered &gt;95%, enter 1 and SKIP to T30.</t>
    </r>
  </si>
  <si>
    <r>
      <rPr>
        <b/>
        <sz val="10"/>
        <rFont val="Arial Narrow"/>
        <family val="2"/>
      </rPr>
      <t xml:space="preserve"> Herbaceous openland</t>
    </r>
    <r>
      <rPr>
        <sz val="10"/>
        <rFont val="Arial Narrow"/>
        <family val="2"/>
      </rPr>
      <t xml:space="preserve"> - includes both perennial and non-perennial cover.  For example, it can include pasture, herbaceous wetland, meadow, prairie, ryegrass fields, row crops, herbaceous rangeland, golf courses, grassed airports, and hayfields. 
 </t>
    </r>
    <r>
      <rPr>
        <u/>
        <sz val="10"/>
        <rFont val="Arial Narrow"/>
        <family val="2"/>
      </rPr>
      <t>Do not include</t>
    </r>
    <r>
      <rPr>
        <sz val="10"/>
        <rFont val="Arial Narrow"/>
        <family val="2"/>
      </rPr>
      <t xml:space="preserve"> open water of lakes, ponds, or rivers; or unvegetated surfaces; or areas with woody vegetation.  In dry parts of the state, croplands in flat areas are often irrigated and are distinctly greener in aerial images.
</t>
    </r>
    <r>
      <rPr>
        <b/>
        <sz val="10"/>
        <rFont val="Arial Narrow"/>
        <family val="2"/>
      </rPr>
      <t>Flat terrain</t>
    </r>
    <r>
      <rPr>
        <sz val="10"/>
        <rFont val="Arial Narrow"/>
        <family val="2"/>
      </rPr>
      <t xml:space="preserve"> - means slope of less than 5%.
 [WBF,WBN,POL] </t>
    </r>
  </si>
  <si>
    <r>
      <rPr>
        <b/>
        <sz val="10"/>
        <rFont val="Arial Narrow"/>
        <family val="2"/>
      </rPr>
      <t xml:space="preserve">Corridor </t>
    </r>
    <r>
      <rPr>
        <sz val="10"/>
        <rFont val="Arial Narrow"/>
        <family val="2"/>
      </rPr>
      <t xml:space="preserve">- is simply an elongated patch of perennial cover that is not narrower than 150 ft at any point.  
</t>
    </r>
    <r>
      <rPr>
        <b/>
        <sz val="10"/>
        <rFont val="Arial Narrow"/>
        <family val="2"/>
      </rPr>
      <t>Perennial cover</t>
    </r>
    <r>
      <rPr>
        <sz val="10"/>
        <rFont val="Arial Narrow"/>
        <family val="2"/>
      </rPr>
      <t xml:space="preserve"> - is vegetation that includes wooded areas, native prairies, sagebrush, vegetated wetlands, as well as relatively unmanaged commercial lands in which the ground is disturbed less than annually, such as hayfields, lightly grazed pastures, timber harvest areas, and rangeland. </t>
    </r>
    <r>
      <rPr>
        <u/>
        <sz val="10"/>
        <rFont val="Arial Narrow"/>
        <family val="2"/>
      </rPr>
      <t xml:space="preserve"> It does not </t>
    </r>
    <r>
      <rPr>
        <sz val="10"/>
        <rFont val="Arial Narrow"/>
        <family val="2"/>
      </rPr>
      <t>include water, row crops (e.g., vegetable, orchards, Christmas tree farms), lawns, residential areas, golf courses, recreational fields, pavement, bare soil, rock, bare sand, or gravel or dirt roads.
 [AM, WBN, SBM, PD, POL, Sens]</t>
    </r>
  </si>
  <si>
    <r>
      <rPr>
        <b/>
        <sz val="10"/>
        <rFont val="Arial Narrow"/>
        <family val="2"/>
      </rPr>
      <t>Tidal water</t>
    </r>
    <r>
      <rPr>
        <sz val="10"/>
        <rFont val="Arial Narrow"/>
        <family val="2"/>
      </rPr>
      <t xml:space="preserve"> - If unclear whether a water body is tidal, check the</t>
    </r>
    <r>
      <rPr>
        <u/>
        <sz val="10"/>
        <rFont val="Arial Narrow"/>
        <family val="2"/>
      </rPr>
      <t xml:space="preserve"> ORWAP Map Viewer's </t>
    </r>
    <r>
      <rPr>
        <sz val="10"/>
        <rFont val="Arial Narrow"/>
        <family val="2"/>
      </rPr>
      <t xml:space="preserve"> Headtide layer (under Water Source &amp; Quality), or check with local sources.  
Assume </t>
    </r>
    <r>
      <rPr>
        <u/>
        <sz val="10"/>
        <rFont val="Arial Narrow"/>
        <family val="2"/>
      </rPr>
      <t>Columbia River</t>
    </r>
    <r>
      <rPr>
        <sz val="10"/>
        <rFont val="Arial Narrow"/>
        <family val="2"/>
      </rPr>
      <t xml:space="preserve"> is tidal east to Bonneville Dam and the Willamette River south to the Oregon City Falls.
[WBF]</t>
    </r>
  </si>
  <si>
    <r>
      <t xml:space="preserve">Floodplain boundaries have been mapped AND infrastructure or </t>
    </r>
    <r>
      <rPr>
        <b/>
        <sz val="10"/>
        <rFont val="Arial Narrow"/>
        <family val="2"/>
      </rPr>
      <t>row crops</t>
    </r>
    <r>
      <rPr>
        <sz val="10"/>
        <rFont val="Arial Narrow"/>
        <family val="2"/>
      </rPr>
      <t xml:space="preserve"> are present within 1 mile downslope or downriver and those are not protected from 100-year floods, but actual damage has not been documented.</t>
    </r>
  </si>
  <si>
    <r>
      <t xml:space="preserve">In the </t>
    </r>
    <r>
      <rPr>
        <u/>
        <sz val="10"/>
        <rFont val="Arial Narrow"/>
        <family val="2"/>
      </rPr>
      <t>ORWAP Map Viewer,</t>
    </r>
    <r>
      <rPr>
        <sz val="10"/>
        <rFont val="Arial Narrow"/>
        <family val="2"/>
      </rPr>
      <t xml:space="preserve"> open the Water Quality Streams layer and the Water Quality Lakes layer (under Water Source &amp; Quality). Use the Point Identy tool to determine the reason for the listings.
 You may also obtain this information online at </t>
    </r>
    <r>
      <rPr>
        <u/>
        <sz val="10"/>
        <rFont val="Arial Narrow"/>
        <family val="2"/>
      </rPr>
      <t>DEQ's</t>
    </r>
    <r>
      <rPr>
        <sz val="10"/>
        <rFont val="Arial Narrow"/>
        <family val="2"/>
      </rPr>
      <t xml:space="preserve"> web at http://deq12.deq.state.or.us/lasar2/default.aspx. 
 If the AA receives both inflow and outflow from river flooding, consider the polluted water to be both "upstream" and "downstream".                                                                              
[SRv,PRv,NRv,INV,FA,FR,AM,WBF,WBN,STR] 
  </t>
    </r>
    <r>
      <rPr>
        <sz val="10"/>
        <color rgb="FFFF0000"/>
        <rFont val="Arial Narrow"/>
        <family val="2"/>
      </rPr>
      <t>This may need to be verified in the field.</t>
    </r>
  </si>
  <si>
    <r>
      <t xml:space="preserve">A relatively large proportion of the precipitation that falls farther upslope in the RCA reaches this wetland quickly as indicated by the following: </t>
    </r>
    <r>
      <rPr>
        <b/>
        <sz val="10"/>
        <rFont val="Arial Narrow"/>
        <family val="2"/>
      </rPr>
      <t>(a)</t>
    </r>
    <r>
      <rPr>
        <sz val="10"/>
        <rFont val="Arial Narrow"/>
        <family val="2"/>
      </rPr>
      <t xml:space="preserve"> RCA slopes are steep, </t>
    </r>
    <r>
      <rPr>
        <u/>
        <sz val="10"/>
        <rFont val="Arial Narrow"/>
        <family val="2"/>
      </rPr>
      <t>and/or</t>
    </r>
    <r>
      <rPr>
        <sz val="10"/>
        <rFont val="Arial Narrow"/>
        <family val="2"/>
      </rPr>
      <t xml:space="preserve"> </t>
    </r>
    <r>
      <rPr>
        <b/>
        <sz val="10"/>
        <rFont val="Arial Narrow"/>
        <family val="2"/>
      </rPr>
      <t>(b)</t>
    </r>
    <r>
      <rPr>
        <sz val="10"/>
        <rFont val="Arial Narrow"/>
        <family val="2"/>
      </rPr>
      <t xml:space="preserve"> upslope wetlands historically present have been filled or drained extensively, </t>
    </r>
    <r>
      <rPr>
        <u/>
        <sz val="10"/>
        <rFont val="Arial Narrow"/>
        <family val="2"/>
      </rPr>
      <t>and/or</t>
    </r>
    <r>
      <rPr>
        <sz val="10"/>
        <rFont val="Arial Narrow"/>
        <family val="2"/>
      </rPr>
      <t xml:space="preserve"> </t>
    </r>
    <r>
      <rPr>
        <b/>
        <sz val="10"/>
        <rFont val="Arial Narrow"/>
        <family val="2"/>
      </rPr>
      <t>(c)</t>
    </r>
    <r>
      <rPr>
        <sz val="10"/>
        <rFont val="Arial Narrow"/>
        <family val="2"/>
      </rPr>
      <t xml:space="preserve"> land cover is mostly non-forest, </t>
    </r>
    <r>
      <rPr>
        <u/>
        <sz val="10"/>
        <rFont val="Arial Narrow"/>
        <family val="2"/>
      </rPr>
      <t>and/or</t>
    </r>
    <r>
      <rPr>
        <sz val="10"/>
        <rFont val="Arial Narrow"/>
        <family val="2"/>
      </rPr>
      <t xml:space="preserve"> </t>
    </r>
    <r>
      <rPr>
        <b/>
        <sz val="10"/>
        <rFont val="Arial Narrow"/>
        <family val="2"/>
      </rPr>
      <t xml:space="preserve">(d) </t>
    </r>
    <r>
      <rPr>
        <sz val="10"/>
        <rFont val="Arial Narrow"/>
        <family val="2"/>
      </rPr>
      <t>most RCA soils are shallow.  This statement is:</t>
    </r>
  </si>
  <si>
    <r>
      <t xml:space="preserve">The water regime (hydroperiod) of the most permanent (usually deepest) part of the AA is:  </t>
    </r>
    <r>
      <rPr>
        <b/>
        <sz val="10"/>
        <rFont val="Arial Narrow"/>
        <family val="2"/>
      </rPr>
      <t>Select only ONE.</t>
    </r>
    <r>
      <rPr>
        <sz val="10"/>
        <rFont val="Arial Narrow"/>
        <family val="2"/>
      </rPr>
      <t xml:space="preserve"> 
[To meet any of the definitions other than </t>
    </r>
    <r>
      <rPr>
        <u/>
        <sz val="10"/>
        <rFont val="Arial Narrow"/>
        <family val="2"/>
      </rPr>
      <t>Ephemeral</t>
    </r>
    <r>
      <rPr>
        <sz val="10"/>
        <rFont val="Arial Narrow"/>
        <family val="2"/>
      </rPr>
      <t>, there must be &gt;100 sq ft of surface water for the duration described, otherwise mark the type listed above it.]</t>
    </r>
  </si>
  <si>
    <r>
      <rPr>
        <b/>
        <sz val="10"/>
        <rFont val="Arial Narrow"/>
        <family val="2"/>
      </rPr>
      <t>Very likely</t>
    </r>
    <r>
      <rPr>
        <sz val="10"/>
        <rFont val="Arial Narrow"/>
        <family val="2"/>
      </rPr>
      <t xml:space="preserve"> based on known occurrence in this part of the region and </t>
    </r>
    <r>
      <rPr>
        <u/>
        <sz val="10"/>
        <rFont val="Arial Narrow"/>
        <family val="2"/>
      </rPr>
      <t>proximity to ALL of the following</t>
    </r>
    <r>
      <rPr>
        <sz val="10"/>
        <rFont val="Arial Narrow"/>
        <family val="2"/>
      </rPr>
      <t xml:space="preserve"> </t>
    </r>
    <r>
      <rPr>
        <b/>
        <sz val="10"/>
        <rFont val="Arial Narrow"/>
        <family val="2"/>
      </rPr>
      <t>(a)</t>
    </r>
    <r>
      <rPr>
        <sz val="10"/>
        <rFont val="Arial Narrow"/>
        <family val="2"/>
      </rPr>
      <t xml:space="preserve"> a persistent freshwater wetland, pond, or lake, or a perennial low-gradient (&lt;5%) channel, and </t>
    </r>
    <r>
      <rPr>
        <b/>
        <sz val="10"/>
        <rFont val="Arial Narrow"/>
        <family val="2"/>
      </rPr>
      <t xml:space="preserve">(b) </t>
    </r>
    <r>
      <rPr>
        <sz val="10"/>
        <rFont val="Arial Narrow"/>
        <family val="2"/>
      </rPr>
      <t xml:space="preserve">average valley width is &gt; 150 ft and </t>
    </r>
    <r>
      <rPr>
        <b/>
        <sz val="10"/>
        <rFont val="Arial Narrow"/>
        <family val="2"/>
      </rPr>
      <t>(c)</t>
    </r>
    <r>
      <rPr>
        <sz val="10"/>
        <rFont val="Arial Narrow"/>
        <family val="2"/>
      </rPr>
      <t xml:space="preserve"> &gt;20% cumulative cover of aspen, cottonwood, alder, and willow in vegetated areas within 150 ft of the AA's edge.  Or there is evidence of beaver just outside the AA.</t>
    </r>
  </si>
  <si>
    <r>
      <rPr>
        <b/>
        <sz val="10"/>
        <rFont val="Arial Narrow"/>
        <family val="2"/>
      </rPr>
      <t>Somewhat likely</t>
    </r>
    <r>
      <rPr>
        <sz val="10"/>
        <rFont val="Arial Narrow"/>
        <family val="2"/>
      </rPr>
      <t xml:space="preserve"> based on known occurrence in this part of the region and </t>
    </r>
    <r>
      <rPr>
        <u/>
        <sz val="10"/>
        <rFont val="Arial Narrow"/>
        <family val="2"/>
      </rPr>
      <t>proximity to ALL of the following</t>
    </r>
    <r>
      <rPr>
        <sz val="10"/>
        <rFont val="Arial Narrow"/>
        <family val="2"/>
      </rPr>
      <t xml:space="preserve"> </t>
    </r>
    <r>
      <rPr>
        <b/>
        <sz val="10"/>
        <rFont val="Arial Narrow"/>
        <family val="2"/>
      </rPr>
      <t xml:space="preserve">(a) </t>
    </r>
    <r>
      <rPr>
        <sz val="10"/>
        <rFont val="Arial Narrow"/>
        <family val="2"/>
      </rPr>
      <t xml:space="preserve">a persistent freshwater wetland, pond, or lake, or a perennial low or mid-gradient (&lt;10%) channel, and </t>
    </r>
    <r>
      <rPr>
        <b/>
        <sz val="10"/>
        <rFont val="Arial Narrow"/>
        <family val="2"/>
      </rPr>
      <t>(b)</t>
    </r>
    <r>
      <rPr>
        <sz val="10"/>
        <rFont val="Arial Narrow"/>
        <family val="2"/>
      </rPr>
      <t xml:space="preserve"> average valley width is &gt;50 ft, and</t>
    </r>
    <r>
      <rPr>
        <b/>
        <sz val="10"/>
        <rFont val="Arial Narrow"/>
        <family val="2"/>
      </rPr>
      <t xml:space="preserve"> (c)</t>
    </r>
    <r>
      <rPr>
        <sz val="10"/>
        <rFont val="Arial Narrow"/>
        <family val="2"/>
      </rPr>
      <t xml:space="preserve"> &gt;20% cumulative cover of hardwood trees and shrubs in vegetated areas within 150 ft of the AA's edge.</t>
    </r>
  </si>
  <si>
    <r>
      <t>The</t>
    </r>
    <r>
      <rPr>
        <u/>
        <sz val="10"/>
        <rFont val="Arial Narrow"/>
        <family val="2"/>
      </rPr>
      <t xml:space="preserve"> most persistent </t>
    </r>
    <r>
      <rPr>
        <sz val="10"/>
        <rFont val="Arial Narrow"/>
        <family val="2"/>
      </rPr>
      <t>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t>
    </r>
  </si>
  <si>
    <r>
      <rPr>
        <b/>
        <sz val="10"/>
        <rFont val="Arial Narrow"/>
        <family val="2"/>
      </rPr>
      <t>[Skip this question if the AA lacks both an inlet and outlet.]</t>
    </r>
    <r>
      <rPr>
        <sz val="10"/>
        <rFont val="Arial Narrow"/>
        <family val="2"/>
      </rPr>
      <t xml:space="preserve">  During peak annual flow, water entering the AA in channels encounters which of the following conditions as it travels through the AA: </t>
    </r>
    <r>
      <rPr>
        <b/>
        <sz val="10"/>
        <rFont val="Arial Narrow"/>
        <family val="2"/>
      </rPr>
      <t>Select the ONE encountered most.</t>
    </r>
  </si>
  <si>
    <r>
      <rPr>
        <b/>
        <sz val="10"/>
        <rFont val="Arial Narrow"/>
        <family val="2"/>
      </rPr>
      <t>Bog or Fen</t>
    </r>
    <r>
      <rPr>
        <sz val="10"/>
        <rFont val="Arial Narrow"/>
        <family val="2"/>
      </rPr>
      <t xml:space="preserve">: contains a sponge-like organic soil layer which covers most of the AA and often has extensive cover of sedges </t>
    </r>
    <r>
      <rPr>
        <u/>
        <sz val="10"/>
        <rFont val="Arial Narrow"/>
        <family val="2"/>
      </rPr>
      <t>and/or</t>
    </r>
    <r>
      <rPr>
        <sz val="10"/>
        <rFont val="Arial Narrow"/>
        <family val="2"/>
      </rPr>
      <t xml:space="preserve"> broad-leaved evergreen shrubs (e.g., Ledum).  Often lacks tributaries, being fed mainly by groundwater and/or direct precipitation.</t>
    </r>
  </si>
  <si>
    <r>
      <t xml:space="preserve">Conduct an assessment </t>
    </r>
    <r>
      <rPr>
        <u/>
        <sz val="12"/>
        <rFont val="Arial Narrow"/>
        <family val="2"/>
        <scheme val="minor"/>
      </rPr>
      <t>only after reading the accompanying Manual and explanations in column E below.</t>
    </r>
    <r>
      <rPr>
        <sz val="12"/>
        <rFont val="Arial Narrow"/>
        <family val="2"/>
        <scheme val="minor"/>
      </rPr>
      <t xml:space="preserve">  </t>
    </r>
    <r>
      <rPr>
        <b/>
        <sz val="12"/>
        <rFont val="Arial Narrow"/>
        <family val="2"/>
        <scheme val="minor"/>
      </rPr>
      <t>For each affirmative answer, change the 0 in the "Data" column to a "1".</t>
    </r>
    <r>
      <rPr>
        <sz val="12"/>
        <rFont val="Arial Narrow"/>
        <family val="2"/>
        <scheme val="minor"/>
      </rPr>
      <t xml:space="preserve">  Answer all items except where directed to skip to others.  Questions whose cells in "Data" column have a </t>
    </r>
    <r>
      <rPr>
        <b/>
        <sz val="12"/>
        <rFont val="Arial Narrow"/>
        <family val="2"/>
        <scheme val="minor"/>
      </rPr>
      <t>"W" MUST be answered only for the ENTIRE wetland and bordering waters.</t>
    </r>
  </si>
  <si>
    <r>
      <t xml:space="preserve">In the </t>
    </r>
    <r>
      <rPr>
        <u/>
        <sz val="10"/>
        <rFont val="Arial Narrow"/>
        <family val="2"/>
      </rPr>
      <t>ORWAP Report</t>
    </r>
    <r>
      <rPr>
        <sz val="10"/>
        <rFont val="Arial Narrow"/>
        <family val="2"/>
      </rPr>
      <t xml:space="preserve">, under the Watershed Information section, find the HUC 12 code.These are HUCs in which a relatively small number, or proportional area, of the wetlands are likely to be performing the named function, thus adding value to those that are. In the </t>
    </r>
    <r>
      <rPr>
        <u/>
        <sz val="10"/>
        <rFont val="Arial Narrow"/>
        <family val="2"/>
      </rPr>
      <t xml:space="preserve">Supp_Info </t>
    </r>
    <r>
      <rPr>
        <sz val="10"/>
        <rFont val="Arial Narrow"/>
        <family val="2"/>
      </rPr>
      <t xml:space="preserve">file, open the FuncDeficit worksheet and find the 12-digit HUC code.
See </t>
    </r>
    <r>
      <rPr>
        <u/>
        <sz val="10"/>
        <rFont val="Arial Narrow"/>
        <family val="2"/>
      </rPr>
      <t>Technical Supplement</t>
    </r>
    <r>
      <rPr>
        <sz val="10"/>
        <rFont val="Arial Narrow"/>
        <family val="2"/>
      </rPr>
      <t xml:space="preserve"> for explanation of how the FuncDeficit was calculated.  
[WSv,WCv,SRv,PRv,NRv,INVv,FAv,AMv,WBNv] </t>
    </r>
  </si>
  <si>
    <r>
      <t xml:space="preserve">In the </t>
    </r>
    <r>
      <rPr>
        <u/>
        <sz val="10"/>
        <rFont val="Arial Narrow"/>
        <family val="2"/>
      </rPr>
      <t>ORWAP Map Viewer</t>
    </r>
    <r>
      <rPr>
        <sz val="10"/>
        <rFont val="Arial Narrow"/>
        <family val="2"/>
      </rPr>
      <t>, use the applicable layers.</t>
    </r>
  </si>
  <si>
    <r>
      <rPr>
        <b/>
        <sz val="10"/>
        <rFont val="Arial Narrow"/>
        <family val="2"/>
      </rPr>
      <t>River</t>
    </r>
    <r>
      <rPr>
        <sz val="10"/>
        <rFont val="Arial Narrow"/>
        <family val="2"/>
      </rPr>
      <t xml:space="preserve"> - as used here is a channel wider than 50 ft between its banks. 
In the ORWAP Map Viewer, use the Rivers and Streams layer and the Headtidelayer (under Water Source &amp; Quality).[WSv]</t>
    </r>
  </si>
  <si>
    <r>
      <rPr>
        <b/>
        <sz val="10"/>
        <rFont val="Arial Narrow"/>
        <family val="2"/>
      </rPr>
      <t>Row crops</t>
    </r>
    <r>
      <rPr>
        <sz val="10"/>
        <rFont val="Arial Narrow"/>
        <family val="2"/>
      </rPr>
      <t xml:space="preserve"> - do not include pasture or other perennial cover.
On the </t>
    </r>
    <r>
      <rPr>
        <u/>
        <sz val="10"/>
        <rFont val="Arial Narrow"/>
        <family val="2"/>
      </rPr>
      <t>ORWAP Map Viewer</t>
    </r>
    <r>
      <rPr>
        <sz val="10"/>
        <rFont val="Arial Narrow"/>
        <family val="2"/>
      </rPr>
      <t>, use the  100-year floodplain layer.
[WSv]</t>
    </r>
  </si>
  <si>
    <r>
      <rPr>
        <b/>
        <sz val="10"/>
        <rFont val="Arial Narrow"/>
        <family val="2"/>
      </rPr>
      <t>Row crops</t>
    </r>
    <r>
      <rPr>
        <sz val="10"/>
        <rFont val="Arial Narrow"/>
        <family val="2"/>
      </rPr>
      <t xml:space="preserve"> - do not include pasture or other perennial cover. 
In the </t>
    </r>
    <r>
      <rPr>
        <u/>
        <sz val="10"/>
        <rFont val="Arial Narrow"/>
        <family val="2"/>
      </rPr>
      <t>ORWAP Map Viewer</t>
    </r>
    <r>
      <rPr>
        <sz val="10"/>
        <rFont val="Arial Narrow"/>
        <family val="2"/>
      </rPr>
      <t xml:space="preserve">, use the  100-year floodplain layer [not available for all parts of Oregon].  Also, the  Seasonal Nontidal Wetland layer (under Wetlands) may indicate some floodplain areas. 
[WSv]  
</t>
    </r>
    <r>
      <rPr>
        <sz val="10"/>
        <color rgb="FFFF0000"/>
        <rFont val="Arial Narrow"/>
        <family val="2"/>
      </rPr>
      <t>Supplement with field observations at multiple seasons if possible.</t>
    </r>
    <r>
      <rPr>
        <sz val="10"/>
        <rFont val="Arial Narrow"/>
        <family val="2"/>
      </rPr>
      <t xml:space="preserve">  </t>
    </r>
  </si>
  <si>
    <r>
      <t xml:space="preserve">See the </t>
    </r>
    <r>
      <rPr>
        <u/>
        <sz val="10"/>
        <rFont val="Arial Narrow"/>
        <family val="2"/>
      </rPr>
      <t xml:space="preserve">ORWAP Manual </t>
    </r>
    <r>
      <rPr>
        <sz val="10"/>
        <rFont val="Arial Narrow"/>
        <family val="2"/>
      </rPr>
      <t xml:space="preserve">for instructions. 
[WSv,WCv,SRv,PRv,INV,FA,Sens,STR] </t>
    </r>
  </si>
  <si>
    <r>
      <t xml:space="preserve">Refer to aerial imagery and/or consult local sources.
See the </t>
    </r>
    <r>
      <rPr>
        <u/>
        <sz val="10"/>
        <rFont val="Arial Narrow"/>
        <family val="2"/>
      </rPr>
      <t>ORWAP Manual</t>
    </r>
    <r>
      <rPr>
        <sz val="10"/>
        <rFont val="Arial Narrow"/>
        <family val="2"/>
      </rPr>
      <t xml:space="preserve"> for instructions.  
[WSv,SRv,PRv,STR] </t>
    </r>
  </si>
  <si>
    <r>
      <t xml:space="preserve"> See the </t>
    </r>
    <r>
      <rPr>
        <u/>
        <sz val="10"/>
        <rFont val="Arial Narrow"/>
        <family val="2"/>
      </rPr>
      <t xml:space="preserve">ORWAP Manual </t>
    </r>
    <r>
      <rPr>
        <sz val="10"/>
        <rFont val="Arial Narrow"/>
        <family val="2"/>
      </rPr>
      <t xml:space="preserve">for instructions.
[WCv,SRv,PRv,FA,STR] </t>
    </r>
  </si>
  <si>
    <r>
      <t xml:space="preserve">This tidal wetland is : </t>
    </r>
    <r>
      <rPr>
        <b/>
        <sz val="10"/>
        <rFont val="Arial Narrow"/>
        <family val="2"/>
        <scheme val="minor"/>
      </rPr>
      <t>Select first one that applies.</t>
    </r>
  </si>
  <si>
    <r>
      <rPr>
        <b/>
        <sz val="10"/>
        <rFont val="Arial Narrow"/>
        <family val="2"/>
      </rPr>
      <t>Corridor</t>
    </r>
    <r>
      <rPr>
        <sz val="10"/>
        <rFont val="Arial Narrow"/>
        <family val="2"/>
      </rPr>
      <t xml:space="preserve"> - is simply an elongated patch of perennial cover that is not narrower than 150 ft at any point.  
</t>
    </r>
    <r>
      <rPr>
        <b/>
        <sz val="10"/>
        <rFont val="Arial Narrow"/>
        <family val="2"/>
      </rPr>
      <t>Regular traffic</t>
    </r>
    <r>
      <rPr>
        <sz val="10"/>
        <rFont val="Arial Narrow"/>
        <family val="2"/>
      </rPr>
      <t xml:space="preserve"> - is at least 1 vehicle per hour during the daytime throughout most of the growing season.  Assess this based on local knowledge, type of road, and proximity to developed areas. 
</t>
    </r>
    <r>
      <rPr>
        <b/>
        <sz val="10"/>
        <rFont val="Arial Narrow"/>
        <family val="2"/>
      </rPr>
      <t>Perennial</t>
    </r>
    <r>
      <rPr>
        <sz val="10"/>
        <rFont val="Arial Narrow"/>
        <family val="2"/>
      </rPr>
      <t xml:space="preserve">  - see OF9 for definition. 
[WBN,SBM,Sens,STR]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</si>
</sst>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71" x14ac:knownFonts="1">
    <font>
      <sz val="10"/>
      <name val="Times New Roman"/>
    </font>
    <font>
      <sz val="10"/>
      <color theme="1"/>
      <name val="Arial Narrow"/>
      <family val="2"/>
    </font>
    <font>
      <sz val="10"/>
      <color indexed="8"/>
      <name val="Arial Narrow"/>
      <family val="2"/>
    </font>
    <font>
      <sz val="8"/>
      <name val="Times New Roman"/>
      <family val="1"/>
    </font>
    <font>
      <sz val="10"/>
      <name val="Arial"/>
      <family val="2"/>
    </font>
    <font>
      <sz val="10"/>
      <name val="Arial Narrow"/>
      <family val="2"/>
    </font>
    <font>
      <b/>
      <sz val="10"/>
      <name val="Arial Narrow"/>
      <family val="2"/>
    </font>
    <font>
      <u/>
      <sz val="10"/>
      <name val="Arial Narrow"/>
      <family val="2"/>
    </font>
    <font>
      <b/>
      <sz val="12"/>
      <name val="Arial Narrow"/>
      <family val="2"/>
    </font>
    <font>
      <b/>
      <u/>
      <sz val="10"/>
      <name val="Arial Narrow"/>
      <family val="2"/>
    </font>
    <font>
      <sz val="10"/>
      <name val="Times New Roman"/>
      <family val="1"/>
    </font>
    <font>
      <b/>
      <sz val="16"/>
      <name val="Arial Narrow"/>
      <family val="2"/>
    </font>
    <font>
      <b/>
      <sz val="12"/>
      <name val="Arial"/>
      <family val="2"/>
    </font>
    <font>
      <b/>
      <i/>
      <sz val="12"/>
      <name val="Arial"/>
      <family val="2"/>
    </font>
    <font>
      <sz val="11"/>
      <color indexed="8"/>
      <name val="Arial Narrow"/>
      <family val="2"/>
    </font>
    <font>
      <sz val="8"/>
      <name val="Times New Roman"/>
      <family val="1"/>
    </font>
    <font>
      <i/>
      <sz val="10"/>
      <color indexed="8"/>
      <name val="Arial Narrow"/>
      <family val="2"/>
    </font>
    <font>
      <sz val="10"/>
      <name val="Arial Narrow"/>
      <family val="2"/>
    </font>
    <font>
      <sz val="11"/>
      <name val="Arial Narrow"/>
      <family val="2"/>
    </font>
    <font>
      <sz val="10"/>
      <name val="Arial Narrow"/>
      <family val="2"/>
    </font>
    <font>
      <sz val="10"/>
      <name val="Arial Narrow"/>
      <family val="2"/>
    </font>
    <font>
      <b/>
      <sz val="16"/>
      <name val="Arial Narrow"/>
      <family val="2"/>
    </font>
    <font>
      <sz val="12"/>
      <name val="Arial Narrow"/>
      <family val="2"/>
    </font>
    <font>
      <sz val="10"/>
      <color indexed="10"/>
      <name val="Arial Narrow"/>
      <family val="2"/>
    </font>
    <font>
      <sz val="10"/>
      <name val="Arial Narrow"/>
      <family val="2"/>
    </font>
    <font>
      <i/>
      <sz val="10"/>
      <name val="Arial Narrow"/>
      <family val="2"/>
    </font>
    <font>
      <b/>
      <sz val="10"/>
      <name val="Arial"/>
      <family val="2"/>
    </font>
    <font>
      <sz val="12"/>
      <name val="Bookman Old Style"/>
      <family val="1"/>
    </font>
    <font>
      <sz val="12"/>
      <name val="Arial"/>
      <family val="2"/>
    </font>
    <font>
      <b/>
      <sz val="16"/>
      <name val="Arial"/>
      <family val="2"/>
    </font>
    <font>
      <b/>
      <i/>
      <sz val="10"/>
      <name val="Arial Narrow"/>
      <family val="2"/>
    </font>
    <font>
      <i/>
      <sz val="10"/>
      <name val="Times New Roman"/>
      <family val="1"/>
    </font>
    <font>
      <sz val="10"/>
      <color rgb="FFFF0000"/>
      <name val="Arial Narrow"/>
      <family val="2"/>
    </font>
    <font>
      <sz val="10"/>
      <name val="Arial Narrow"/>
      <family val="2"/>
      <scheme val="minor"/>
    </font>
    <font>
      <i/>
      <sz val="10"/>
      <name val="Arial Narrow"/>
      <family val="2"/>
      <scheme val="minor"/>
    </font>
    <font>
      <sz val="10"/>
      <color rgb="FFFF0000"/>
      <name val="Arial Narrow"/>
      <family val="2"/>
      <scheme val="minor"/>
    </font>
    <font>
      <sz val="10"/>
      <color rgb="FFFF0000"/>
      <name val="Times New Roman"/>
      <family val="1"/>
    </font>
    <font>
      <b/>
      <sz val="10"/>
      <name val="Arial Narrow"/>
      <family val="2"/>
      <scheme val="minor"/>
    </font>
    <font>
      <b/>
      <i/>
      <sz val="10"/>
      <name val="Arial Narrow"/>
      <family val="2"/>
      <scheme val="minor"/>
    </font>
    <font>
      <b/>
      <sz val="14"/>
      <name val="Arial Narrow"/>
      <family val="2"/>
    </font>
    <font>
      <sz val="8"/>
      <name val="Arial"/>
      <family val="2"/>
    </font>
    <font>
      <b/>
      <sz val="13"/>
      <name val="Arial Narrow"/>
      <family val="2"/>
    </font>
    <font>
      <i/>
      <sz val="10"/>
      <color theme="0"/>
      <name val="Arial Narrow"/>
      <family val="2"/>
      <scheme val="minor"/>
    </font>
    <font>
      <b/>
      <sz val="13"/>
      <name val="Arial"/>
      <family val="2"/>
    </font>
    <font>
      <u/>
      <sz val="7.5"/>
      <color theme="10"/>
      <name val="Times New Roman"/>
      <family val="1"/>
    </font>
    <font>
      <sz val="9"/>
      <color rgb="FF404040"/>
      <name val="Arial Narrow"/>
      <family val="2"/>
    </font>
    <font>
      <sz val="10"/>
      <color rgb="FF404040"/>
      <name val="Arial Narrow"/>
      <family val="2"/>
    </font>
    <font>
      <sz val="10"/>
      <name val="Calibri"/>
      <family val="2"/>
    </font>
    <font>
      <sz val="11"/>
      <name val="Arial"/>
      <family val="2"/>
    </font>
    <font>
      <b/>
      <sz val="11"/>
      <name val="Arial"/>
      <family val="2"/>
    </font>
    <font>
      <b/>
      <u/>
      <sz val="11"/>
      <name val="Arial"/>
      <family val="2"/>
    </font>
    <font>
      <b/>
      <sz val="11"/>
      <name val="Arial Narrow"/>
      <family val="2"/>
    </font>
    <font>
      <b/>
      <sz val="11"/>
      <name val="Arial Narrow"/>
      <family val="2"/>
      <scheme val="minor"/>
    </font>
    <font>
      <b/>
      <strike/>
      <sz val="10"/>
      <color rgb="FFFF0000"/>
      <name val="Arial Narrow"/>
      <family val="2"/>
    </font>
    <font>
      <sz val="12"/>
      <name val="Calibri"/>
      <family val="2"/>
    </font>
    <font>
      <sz val="14"/>
      <name val="Arial Narrow"/>
      <family val="2"/>
    </font>
    <font>
      <sz val="20"/>
      <name val="Arial Narrow"/>
      <family val="2"/>
    </font>
    <font>
      <b/>
      <sz val="10"/>
      <name val="Calibri"/>
      <family val="2"/>
    </font>
    <font>
      <sz val="8"/>
      <name val="Arial Narrow"/>
      <family val="2"/>
      <scheme val="minor"/>
    </font>
    <font>
      <sz val="16"/>
      <name val="Times New Roman"/>
      <family val="1"/>
    </font>
    <font>
      <u/>
      <sz val="12"/>
      <name val="Arial Narrow"/>
      <family val="2"/>
    </font>
    <font>
      <sz val="12"/>
      <name val="Arial Narrow"/>
      <family val="2"/>
      <scheme val="minor"/>
    </font>
    <font>
      <b/>
      <sz val="12"/>
      <name val="Arial Narrow"/>
      <family val="2"/>
      <scheme val="minor"/>
    </font>
    <font>
      <sz val="10"/>
      <name val="Arial Narrow"/>
      <family val="2"/>
      <scheme val="major"/>
    </font>
    <font>
      <u/>
      <sz val="10"/>
      <name val="Arial Narrow"/>
      <family val="2"/>
      <scheme val="minor"/>
    </font>
    <font>
      <u/>
      <sz val="12"/>
      <name val="Arial Narrow"/>
      <family val="2"/>
      <scheme val="minor"/>
    </font>
    <font>
      <b/>
      <u/>
      <sz val="11"/>
      <name val="Arial Narrow"/>
      <family val="2"/>
    </font>
    <font>
      <i/>
      <sz val="11"/>
      <name val="Arial Narrow"/>
      <family val="2"/>
    </font>
    <font>
      <sz val="8"/>
      <color theme="0" tint="-0.14999847407452621"/>
      <name val="Arial Narrow"/>
      <family val="2"/>
      <scheme val="minor"/>
    </font>
    <font>
      <sz val="8"/>
      <color theme="0" tint="-0.14999847407452621"/>
      <name val="Times New Roman"/>
      <family val="1"/>
    </font>
    <font>
      <sz val="10"/>
      <color theme="0" tint="-0.14999847407452621"/>
      <name val="Arial Narrow"/>
      <family val="2"/>
      <scheme val="minor"/>
    </font>
  </fonts>
  <fills count="59">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15"/>
        <bgColor indexed="64"/>
      </patternFill>
    </fill>
    <fill>
      <patternFill patternType="solid">
        <fgColor indexed="63"/>
        <bgColor indexed="64"/>
      </patternFill>
    </fill>
    <fill>
      <patternFill patternType="solid">
        <fgColor indexed="44"/>
        <bgColor indexed="64"/>
      </patternFill>
    </fill>
    <fill>
      <patternFill patternType="solid">
        <fgColor theme="0" tint="-0.249977111117893"/>
        <bgColor indexed="64"/>
      </patternFill>
    </fill>
    <fill>
      <patternFill patternType="solid">
        <fgColor rgb="FF66FF33"/>
        <bgColor indexed="64"/>
      </patternFill>
    </fill>
    <fill>
      <patternFill patternType="solid">
        <fgColor theme="0"/>
        <bgColor indexed="64"/>
      </patternFill>
    </fill>
    <fill>
      <patternFill patternType="solid">
        <fgColor rgb="FFC0C0C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CC00"/>
        <bgColor indexed="64"/>
      </patternFill>
    </fill>
    <fill>
      <patternFill patternType="solid">
        <fgColor rgb="FF00FF00"/>
        <bgColor indexed="64"/>
      </patternFill>
    </fill>
    <fill>
      <patternFill patternType="solid">
        <fgColor rgb="FF00CCFF"/>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CCECFF"/>
        <bgColor indexed="64"/>
      </patternFill>
    </fill>
    <fill>
      <patternFill patternType="solid">
        <fgColor rgb="FFFFFFFF"/>
        <bgColor indexed="64"/>
      </patternFill>
    </fill>
    <fill>
      <patternFill patternType="solid">
        <fgColor rgb="FFCCFF66"/>
        <bgColor indexed="64"/>
      </patternFill>
    </fill>
    <fill>
      <patternFill patternType="solid">
        <fgColor rgb="FF33CCFF"/>
        <bgColor indexed="64"/>
      </patternFill>
    </fill>
    <fill>
      <patternFill patternType="solid">
        <fgColor theme="3" tint="0.59999389629810485"/>
        <bgColor indexed="64"/>
      </patternFill>
    </fill>
    <fill>
      <patternFill patternType="solid">
        <fgColor rgb="FFFFC00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rgb="FFCCFF9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B2A1C7"/>
        <bgColor indexed="64"/>
      </patternFill>
    </fill>
    <fill>
      <patternFill patternType="solid">
        <fgColor rgb="FFE6B9B8"/>
        <bgColor indexed="64"/>
      </patternFill>
    </fill>
    <fill>
      <patternFill patternType="solid">
        <fgColor rgb="FFC2D69A"/>
        <bgColor indexed="64"/>
      </patternFill>
    </fill>
    <fill>
      <patternFill patternType="solid">
        <fgColor rgb="FFD8D8D8"/>
        <bgColor indexed="64"/>
      </patternFill>
    </fill>
    <fill>
      <patternFill patternType="solid">
        <fgColor rgb="FFBFBFBF"/>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969696"/>
        <bgColor indexed="64"/>
      </patternFill>
    </fill>
    <fill>
      <patternFill patternType="solid">
        <fgColor rgb="FFF4E0E0"/>
        <bgColor indexed="64"/>
      </patternFill>
    </fill>
    <fill>
      <patternFill patternType="solid">
        <fgColor rgb="FFEAC4C4"/>
        <bgColor indexed="64"/>
      </patternFill>
    </fill>
    <fill>
      <patternFill patternType="solid">
        <fgColor rgb="FFE1E9F3"/>
        <bgColor indexed="64"/>
      </patternFill>
    </fill>
    <fill>
      <patternFill patternType="solid">
        <fgColor rgb="FF9BFF9B"/>
        <bgColor indexed="64"/>
      </patternFill>
    </fill>
    <fill>
      <patternFill patternType="solid">
        <fgColor rgb="FFD9FFD9"/>
        <bgColor indexed="64"/>
      </patternFill>
    </fill>
    <fill>
      <patternFill patternType="solid">
        <fgColor rgb="FFE4EDD3"/>
        <bgColor indexed="64"/>
      </patternFill>
    </fill>
    <fill>
      <patternFill patternType="solid">
        <fgColor rgb="FF93CDDD"/>
        <bgColor indexed="64"/>
      </patternFill>
    </fill>
    <fill>
      <patternFill patternType="solid">
        <fgColor theme="6" tint="0.59996337778862885"/>
        <bgColor indexed="64"/>
      </patternFill>
    </fill>
    <fill>
      <patternFill patternType="solid">
        <fgColor rgb="FF99FF99"/>
        <bgColor indexed="64"/>
      </patternFill>
    </fill>
    <fill>
      <patternFill patternType="solid">
        <fgColor rgb="FFB3CC82"/>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medium">
        <color indexed="64"/>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right/>
      <top style="thick">
        <color indexed="64"/>
      </top>
      <bottom style="thin">
        <color indexed="64"/>
      </bottom>
      <diagonal/>
    </border>
  </borders>
  <cellStyleXfs count="6">
    <xf numFmtId="0" fontId="0" fillId="0" borderId="0">
      <alignment vertical="top"/>
    </xf>
    <xf numFmtId="44" fontId="10" fillId="0" borderId="0" applyFont="0" applyFill="0" applyBorder="0" applyAlignment="0" applyProtection="0"/>
    <xf numFmtId="0" fontId="10" fillId="0" borderId="0">
      <alignment vertical="top"/>
    </xf>
    <xf numFmtId="0" fontId="1" fillId="0" borderId="0"/>
    <xf numFmtId="0" fontId="44" fillId="0" borderId="0" applyNumberFormat="0" applyFill="0" applyBorder="0" applyAlignment="0" applyProtection="0">
      <alignment vertical="top"/>
      <protection locked="0"/>
    </xf>
    <xf numFmtId="0" fontId="10" fillId="0" borderId="0">
      <alignment vertical="top"/>
    </xf>
  </cellStyleXfs>
  <cellXfs count="2242">
    <xf numFmtId="0" fontId="0" fillId="0" borderId="0" xfId="0">
      <alignment vertical="top"/>
    </xf>
    <xf numFmtId="0" fontId="5" fillId="0" borderId="0" xfId="0" applyFont="1" applyAlignment="1">
      <alignment wrapText="1"/>
    </xf>
    <xf numFmtId="0" fontId="5" fillId="0" borderId="0" xfId="0" applyFont="1" applyAlignment="1">
      <alignment vertical="top" wrapText="1"/>
    </xf>
    <xf numFmtId="0" fontId="5" fillId="0" borderId="0" xfId="0" applyFont="1">
      <alignment vertical="top"/>
    </xf>
    <xf numFmtId="0" fontId="5" fillId="0" borderId="5" xfId="0" applyFont="1" applyBorder="1" applyAlignment="1">
      <alignment vertical="top" wrapText="1"/>
    </xf>
    <xf numFmtId="2" fontId="5" fillId="0" borderId="0" xfId="0" applyNumberFormat="1" applyFont="1" applyAlignment="1">
      <alignment horizontal="right" vertical="top" wrapText="1"/>
    </xf>
    <xf numFmtId="2" fontId="5" fillId="0" borderId="0" xfId="0" applyNumberFormat="1"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horizontal="right" vertical="top"/>
    </xf>
    <xf numFmtId="0" fontId="5" fillId="0" borderId="1" xfId="0" applyFont="1" applyBorder="1">
      <alignment vertical="top"/>
    </xf>
    <xf numFmtId="2" fontId="5" fillId="2" borderId="0" xfId="0" applyNumberFormat="1" applyFont="1" applyFill="1" applyAlignment="1">
      <alignment horizontal="right" vertical="top"/>
    </xf>
    <xf numFmtId="0" fontId="5" fillId="0" borderId="0" xfId="0" applyFont="1" applyAlignment="1">
      <alignment horizontal="left" vertical="top" wrapText="1"/>
    </xf>
    <xf numFmtId="0" fontId="5" fillId="0" borderId="6" xfId="0" applyFont="1" applyBorder="1">
      <alignment vertical="top"/>
    </xf>
    <xf numFmtId="2" fontId="5" fillId="0" borderId="0" xfId="0" applyNumberFormat="1" applyFont="1" applyAlignment="1">
      <alignment wrapText="1"/>
    </xf>
    <xf numFmtId="1" fontId="5" fillId="0" borderId="0" xfId="0" applyNumberFormat="1" applyFont="1" applyAlignment="1">
      <alignment horizontal="center" vertical="top" wrapText="1"/>
    </xf>
    <xf numFmtId="2" fontId="5" fillId="0" borderId="0" xfId="0" applyNumberFormat="1" applyFont="1" applyAlignment="1">
      <alignment horizontal="center" vertical="top" wrapText="1"/>
    </xf>
    <xf numFmtId="0" fontId="5" fillId="0" borderId="0" xfId="0" applyFont="1" applyAlignment="1">
      <alignment horizontal="center" vertical="top"/>
    </xf>
    <xf numFmtId="0" fontId="5" fillId="0" borderId="3" xfId="0" applyFont="1" applyBorder="1" applyAlignment="1">
      <alignment horizontal="center" vertical="top" wrapText="1"/>
    </xf>
    <xf numFmtId="0" fontId="5" fillId="0" borderId="0" xfId="2" applyFont="1">
      <alignment vertical="top"/>
    </xf>
    <xf numFmtId="0" fontId="10" fillId="0" borderId="0" xfId="2">
      <alignment vertical="top"/>
    </xf>
    <xf numFmtId="0" fontId="10" fillId="0" borderId="0" xfId="2" applyAlignment="1">
      <alignment horizontal="center" vertical="top"/>
    </xf>
    <xf numFmtId="0" fontId="4" fillId="0" borderId="0" xfId="0" applyFont="1" applyAlignment="1">
      <alignment vertical="top" wrapText="1"/>
    </xf>
    <xf numFmtId="1" fontId="10" fillId="0" borderId="16" xfId="2" applyNumberFormat="1" applyBorder="1" applyAlignment="1" applyProtection="1">
      <alignment horizontal="center" vertical="top"/>
      <protection locked="0"/>
    </xf>
    <xf numFmtId="1" fontId="10" fillId="0" borderId="17" xfId="2" applyNumberFormat="1" applyBorder="1" applyAlignment="1" applyProtection="1">
      <alignment horizontal="center" vertical="top"/>
      <protection locked="0"/>
    </xf>
    <xf numFmtId="1" fontId="10" fillId="0" borderId="18" xfId="2" applyNumberFormat="1" applyBorder="1" applyAlignment="1" applyProtection="1">
      <alignment horizontal="center" vertical="top"/>
      <protection locked="0"/>
    </xf>
    <xf numFmtId="1" fontId="5" fillId="0" borderId="18" xfId="2" applyNumberFormat="1" applyFont="1" applyBorder="1" applyAlignment="1" applyProtection="1">
      <alignment horizontal="center" vertical="top"/>
      <protection locked="0"/>
    </xf>
    <xf numFmtId="1" fontId="5" fillId="0" borderId="16" xfId="2" applyNumberFormat="1" applyFont="1" applyBorder="1" applyAlignment="1" applyProtection="1">
      <alignment horizontal="center" vertical="top"/>
      <protection locked="0"/>
    </xf>
    <xf numFmtId="1" fontId="5" fillId="0" borderId="17" xfId="2" applyNumberFormat="1" applyFont="1" applyBorder="1" applyAlignment="1" applyProtection="1">
      <alignment horizontal="center" vertical="top"/>
      <protection locked="0"/>
    </xf>
    <xf numFmtId="49" fontId="2" fillId="0" borderId="1" xfId="2" applyNumberFormat="1" applyFont="1" applyBorder="1" applyAlignment="1">
      <alignment horizontal="center" vertical="top" wrapText="1"/>
    </xf>
    <xf numFmtId="0" fontId="17" fillId="0" borderId="0" xfId="0" applyFont="1" applyAlignment="1">
      <alignment vertical="top" wrapText="1"/>
    </xf>
    <xf numFmtId="2" fontId="17" fillId="0" borderId="0" xfId="0" applyNumberFormat="1" applyFont="1" applyAlignment="1">
      <alignment horizontal="right" vertical="top" wrapText="1"/>
    </xf>
    <xf numFmtId="0" fontId="17" fillId="0" borderId="0" xfId="0" applyFont="1" applyAlignment="1">
      <alignment horizontal="left" vertical="top" wrapText="1"/>
    </xf>
    <xf numFmtId="0" fontId="19" fillId="0" borderId="1" xfId="0" applyFont="1" applyBorder="1" applyAlignment="1">
      <alignment vertical="top" wrapText="1"/>
    </xf>
    <xf numFmtId="0" fontId="19" fillId="0" borderId="0" xfId="0" applyFont="1" applyAlignment="1">
      <alignment vertical="top" wrapText="1"/>
    </xf>
    <xf numFmtId="0" fontId="19" fillId="0" borderId="0" xfId="0" applyFont="1" applyAlignment="1">
      <alignment horizontal="center" vertical="top" wrapText="1"/>
    </xf>
    <xf numFmtId="0" fontId="5" fillId="0" borderId="0" xfId="0" applyFont="1" applyAlignment="1">
      <alignment horizontal="left" vertical="top"/>
    </xf>
    <xf numFmtId="0" fontId="19" fillId="0" borderId="0" xfId="0" applyFont="1" applyAlignment="1">
      <alignment wrapText="1"/>
    </xf>
    <xf numFmtId="0" fontId="19" fillId="0" borderId="0" xfId="0" applyFont="1" applyAlignment="1"/>
    <xf numFmtId="2" fontId="19" fillId="0" borderId="0" xfId="0" applyNumberFormat="1" applyFont="1" applyAlignment="1">
      <alignment vertical="top" wrapText="1"/>
    </xf>
    <xf numFmtId="2" fontId="20" fillId="0" borderId="0" xfId="0" applyNumberFormat="1" applyFont="1" applyAlignment="1">
      <alignment vertical="top" wrapText="1"/>
    </xf>
    <xf numFmtId="0" fontId="20" fillId="0" borderId="0" xfId="0" applyFont="1" applyAlignment="1">
      <alignment vertical="top" wrapText="1"/>
    </xf>
    <xf numFmtId="2" fontId="20" fillId="0" borderId="0" xfId="0" applyNumberFormat="1" applyFont="1" applyAlignment="1" applyProtection="1">
      <alignment horizontal="right" vertical="top" wrapText="1"/>
      <protection hidden="1"/>
    </xf>
    <xf numFmtId="0" fontId="20" fillId="0" borderId="0" xfId="0" applyFont="1" applyAlignment="1">
      <alignment horizontal="left" vertical="top" wrapText="1"/>
    </xf>
    <xf numFmtId="2" fontId="20" fillId="0" borderId="0" xfId="0" applyNumberFormat="1" applyFont="1" applyAlignment="1">
      <alignment horizontal="right" vertical="top" wrapText="1"/>
    </xf>
    <xf numFmtId="0" fontId="5" fillId="0" borderId="1" xfId="0" applyFont="1" applyBorder="1" applyAlignment="1">
      <alignment horizontal="center" vertical="top" wrapText="1"/>
    </xf>
    <xf numFmtId="1" fontId="5" fillId="2" borderId="1" xfId="0" applyNumberFormat="1" applyFont="1" applyFill="1" applyBorder="1" applyAlignment="1">
      <alignment horizontal="center" vertical="top" wrapText="1"/>
    </xf>
    <xf numFmtId="1" fontId="5" fillId="2" borderId="4" xfId="0" applyNumberFormat="1" applyFont="1" applyFill="1" applyBorder="1" applyAlignment="1">
      <alignment horizontal="center" vertical="top" wrapText="1"/>
    </xf>
    <xf numFmtId="1" fontId="5" fillId="0" borderId="1" xfId="0" applyNumberFormat="1" applyFont="1" applyBorder="1" applyAlignment="1">
      <alignment horizontal="center" vertical="top" wrapText="1"/>
    </xf>
    <xf numFmtId="1" fontId="5" fillId="0" borderId="0" xfId="0" applyNumberFormat="1" applyFont="1" applyAlignment="1">
      <alignment horizontal="center" vertical="top"/>
    </xf>
    <xf numFmtId="1" fontId="5" fillId="2" borderId="6" xfId="0" applyNumberFormat="1" applyFont="1" applyFill="1" applyBorder="1" applyAlignment="1">
      <alignment horizontal="center" vertical="top" wrapText="1"/>
    </xf>
    <xf numFmtId="1" fontId="20" fillId="2" borderId="1" xfId="0" applyNumberFormat="1" applyFont="1" applyFill="1" applyBorder="1" applyAlignment="1">
      <alignment horizontal="center" vertical="top" wrapText="1"/>
    </xf>
    <xf numFmtId="0" fontId="20" fillId="0" borderId="1" xfId="0" applyFont="1" applyBorder="1" applyAlignment="1">
      <alignment horizontal="center" vertical="top" wrapText="1"/>
    </xf>
    <xf numFmtId="0" fontId="20" fillId="0" borderId="0" xfId="0" applyFont="1" applyAlignment="1">
      <alignment horizontal="center" vertical="top" wrapText="1"/>
    </xf>
    <xf numFmtId="1" fontId="20" fillId="0" borderId="0" xfId="0" applyNumberFormat="1" applyFont="1" applyAlignment="1">
      <alignment horizontal="center" vertical="top" wrapText="1"/>
    </xf>
    <xf numFmtId="1" fontId="5" fillId="2" borderId="3" xfId="0" applyNumberFormat="1" applyFont="1" applyFill="1" applyBorder="1" applyAlignment="1">
      <alignment horizontal="center" vertical="top" wrapText="1"/>
    </xf>
    <xf numFmtId="0" fontId="19" fillId="0" borderId="0" xfId="0" applyFont="1">
      <alignment vertical="top"/>
    </xf>
    <xf numFmtId="2" fontId="19" fillId="0" borderId="0" xfId="0" applyNumberFormat="1" applyFont="1">
      <alignment vertical="top"/>
    </xf>
    <xf numFmtId="1" fontId="20" fillId="2" borderId="3" xfId="0" applyNumberFormat="1" applyFont="1" applyFill="1" applyBorder="1" applyAlignment="1">
      <alignment horizontal="center" vertical="top" wrapText="1"/>
    </xf>
    <xf numFmtId="1" fontId="5" fillId="2" borderId="9" xfId="0" applyNumberFormat="1" applyFont="1" applyFill="1" applyBorder="1" applyAlignment="1">
      <alignment horizontal="center" vertical="top" wrapText="1"/>
    </xf>
    <xf numFmtId="1" fontId="5" fillId="2" borderId="2" xfId="0" applyNumberFormat="1" applyFont="1" applyFill="1" applyBorder="1" applyAlignment="1">
      <alignment horizontal="center" vertical="top" wrapText="1"/>
    </xf>
    <xf numFmtId="1" fontId="5" fillId="2" borderId="10" xfId="0" applyNumberFormat="1" applyFont="1" applyFill="1" applyBorder="1" applyAlignment="1">
      <alignment horizontal="center" vertical="top" wrapText="1"/>
    </xf>
    <xf numFmtId="0" fontId="5" fillId="0" borderId="0" xfId="0" applyFont="1" applyAlignment="1">
      <alignment horizontal="center" wrapText="1"/>
    </xf>
    <xf numFmtId="1" fontId="19" fillId="0" borderId="0" xfId="0" applyNumberFormat="1" applyFont="1" applyAlignment="1">
      <alignment horizontal="center" vertical="top" wrapText="1"/>
    </xf>
    <xf numFmtId="1" fontId="17" fillId="0" borderId="0" xfId="0" applyNumberFormat="1" applyFont="1" applyAlignment="1">
      <alignment horizontal="center" vertical="top" wrapText="1"/>
    </xf>
    <xf numFmtId="1" fontId="19" fillId="0" borderId="0" xfId="0" applyNumberFormat="1" applyFont="1" applyAlignment="1">
      <alignment horizontal="center" vertical="top"/>
    </xf>
    <xf numFmtId="1" fontId="5" fillId="2" borderId="12" xfId="0" applyNumberFormat="1" applyFont="1" applyFill="1" applyBorder="1" applyAlignment="1">
      <alignment horizontal="center" vertical="top" wrapText="1"/>
    </xf>
    <xf numFmtId="1" fontId="5" fillId="2" borderId="0" xfId="0" applyNumberFormat="1" applyFont="1" applyFill="1" applyAlignment="1">
      <alignment horizontal="center" vertical="top"/>
    </xf>
    <xf numFmtId="1" fontId="5" fillId="2" borderId="8" xfId="0" applyNumberFormat="1" applyFont="1" applyFill="1" applyBorder="1" applyAlignment="1">
      <alignment horizontal="center" vertical="top" wrapText="1"/>
    </xf>
    <xf numFmtId="1" fontId="20" fillId="0" borderId="1" xfId="0" applyNumberFormat="1" applyFont="1" applyBorder="1" applyAlignment="1">
      <alignment horizontal="center" vertical="top" wrapText="1"/>
    </xf>
    <xf numFmtId="1" fontId="20" fillId="0" borderId="0" xfId="0" applyNumberFormat="1" applyFont="1" applyAlignment="1" applyProtection="1">
      <alignment horizontal="center" vertical="top" wrapText="1"/>
      <protection hidden="1"/>
    </xf>
    <xf numFmtId="0" fontId="20" fillId="0" borderId="0" xfId="0" applyFont="1" applyAlignment="1" applyProtection="1">
      <alignment horizontal="center" vertical="top" wrapText="1"/>
      <protection hidden="1"/>
    </xf>
    <xf numFmtId="0" fontId="5" fillId="4" borderId="0" xfId="0" applyFont="1" applyFill="1" applyAlignment="1">
      <alignment vertical="top" wrapText="1"/>
    </xf>
    <xf numFmtId="0" fontId="19" fillId="0" borderId="0" xfId="0" applyFont="1" applyAlignment="1">
      <alignment horizontal="left" vertical="top" wrapText="1"/>
    </xf>
    <xf numFmtId="2" fontId="20" fillId="2" borderId="7" xfId="0" applyNumberFormat="1" applyFont="1" applyFill="1" applyBorder="1" applyAlignment="1">
      <alignment horizontal="right" vertical="top" wrapText="1"/>
    </xf>
    <xf numFmtId="0" fontId="5" fillId="4" borderId="22" xfId="0" applyFont="1" applyFill="1" applyBorder="1" applyAlignment="1">
      <alignment vertical="top" wrapText="1"/>
    </xf>
    <xf numFmtId="0" fontId="5" fillId="0" borderId="25" xfId="0" applyFont="1" applyBorder="1" applyAlignment="1">
      <alignment vertical="top" wrapText="1"/>
    </xf>
    <xf numFmtId="49" fontId="2" fillId="2" borderId="26" xfId="2" applyNumberFormat="1" applyFont="1" applyFill="1" applyBorder="1" applyAlignment="1">
      <alignment horizontal="center" vertical="top" wrapText="1"/>
    </xf>
    <xf numFmtId="0" fontId="24" fillId="0" borderId="0" xfId="0" applyFont="1">
      <alignment vertical="top"/>
    </xf>
    <xf numFmtId="0" fontId="6" fillId="0" borderId="0" xfId="0" applyFont="1" applyAlignment="1">
      <alignment vertical="top" wrapText="1"/>
    </xf>
    <xf numFmtId="0" fontId="5" fillId="0" borderId="0" xfId="0" applyFont="1" applyAlignment="1">
      <alignment horizontal="center" vertical="top" wrapText="1"/>
    </xf>
    <xf numFmtId="1" fontId="5" fillId="0" borderId="3" xfId="0" applyNumberFormat="1" applyFont="1" applyBorder="1" applyAlignment="1">
      <alignment horizontal="center" vertical="top" wrapText="1"/>
    </xf>
    <xf numFmtId="0" fontId="33" fillId="0" borderId="0" xfId="0" applyFont="1">
      <alignment vertical="top"/>
    </xf>
    <xf numFmtId="2" fontId="33" fillId="0" borderId="0" xfId="0" applyNumberFormat="1" applyFont="1" applyAlignment="1">
      <alignment horizontal="center"/>
    </xf>
    <xf numFmtId="2" fontId="5" fillId="2" borderId="4" xfId="0" applyNumberFormat="1" applyFont="1" applyFill="1" applyBorder="1" applyAlignment="1" applyProtection="1">
      <alignment horizontal="right" vertical="top" wrapText="1"/>
      <protection hidden="1"/>
    </xf>
    <xf numFmtId="0" fontId="5" fillId="0" borderId="30" xfId="0" applyFont="1" applyBorder="1" applyAlignment="1">
      <alignment vertical="top" wrapText="1"/>
    </xf>
    <xf numFmtId="49" fontId="5" fillId="0" borderId="31" xfId="2" applyNumberFormat="1" applyFont="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hidden="1"/>
    </xf>
    <xf numFmtId="0" fontId="5" fillId="12" borderId="0" xfId="0" applyFont="1" applyFill="1">
      <alignment vertical="top"/>
    </xf>
    <xf numFmtId="0" fontId="10" fillId="0" borderId="0" xfId="0" applyFont="1" applyAlignment="1">
      <alignment vertical="top" wrapText="1"/>
    </xf>
    <xf numFmtId="0" fontId="6" fillId="0" borderId="0" xfId="0" applyFont="1">
      <alignment vertical="top"/>
    </xf>
    <xf numFmtId="0" fontId="27" fillId="0" borderId="0" xfId="0" applyFont="1">
      <alignment vertical="top"/>
    </xf>
    <xf numFmtId="0" fontId="10" fillId="0" borderId="0" xfId="0" applyFont="1">
      <alignment vertical="top"/>
    </xf>
    <xf numFmtId="0" fontId="22" fillId="0" borderId="0" xfId="0" applyFont="1" applyAlignment="1">
      <alignment horizontal="center" vertical="top"/>
    </xf>
    <xf numFmtId="1" fontId="5" fillId="2" borderId="11" xfId="0" applyNumberFormat="1" applyFont="1" applyFill="1" applyBorder="1" applyAlignment="1">
      <alignment horizontal="center" vertical="top" wrapText="1"/>
    </xf>
    <xf numFmtId="0" fontId="5" fillId="0" borderId="0" xfId="0" applyFont="1" applyAlignment="1"/>
    <xf numFmtId="0" fontId="5" fillId="0" borderId="50" xfId="0" applyFont="1" applyBorder="1" applyAlignment="1">
      <alignment vertical="top" wrapText="1"/>
    </xf>
    <xf numFmtId="0" fontId="17" fillId="0" borderId="50" xfId="0" applyFont="1" applyBorder="1" applyAlignment="1">
      <alignment vertical="top" wrapText="1"/>
    </xf>
    <xf numFmtId="0" fontId="17" fillId="0" borderId="20" xfId="0" applyFont="1" applyBorder="1" applyAlignment="1">
      <alignment vertical="top" wrapText="1"/>
    </xf>
    <xf numFmtId="2" fontId="5" fillId="2" borderId="3" xfId="0" applyNumberFormat="1" applyFont="1" applyFill="1" applyBorder="1" applyAlignment="1" applyProtection="1">
      <alignment horizontal="right" vertical="top" wrapText="1"/>
      <protection hidden="1"/>
    </xf>
    <xf numFmtId="0" fontId="4" fillId="0" borderId="0" xfId="0" applyFont="1">
      <alignment vertical="top"/>
    </xf>
    <xf numFmtId="0" fontId="4" fillId="0" borderId="0" xfId="0" applyFont="1" applyAlignment="1"/>
    <xf numFmtId="0" fontId="4" fillId="0" borderId="0" xfId="0" applyFont="1" applyAlignment="1">
      <alignment wrapText="1"/>
    </xf>
    <xf numFmtId="49" fontId="19" fillId="0" borderId="0" xfId="0" applyNumberFormat="1" applyFont="1" applyAlignment="1">
      <alignment vertical="top" wrapText="1"/>
    </xf>
    <xf numFmtId="49" fontId="5" fillId="0" borderId="0" xfId="0" applyNumberFormat="1" applyFont="1" applyAlignment="1">
      <alignment horizontal="left" vertical="top" wrapText="1"/>
    </xf>
    <xf numFmtId="0" fontId="23" fillId="0" borderId="0" xfId="0" applyFont="1" applyAlignment="1">
      <alignment horizontal="left" vertical="top" wrapText="1"/>
    </xf>
    <xf numFmtId="49" fontId="8" fillId="0" borderId="0" xfId="0" applyNumberFormat="1" applyFont="1" applyAlignment="1">
      <alignment horizontal="right" vertical="center" wrapText="1"/>
    </xf>
    <xf numFmtId="0" fontId="21" fillId="0" borderId="0" xfId="0" applyFont="1" applyAlignment="1" applyProtection="1">
      <alignment horizontal="center" vertical="center"/>
      <protection hidden="1"/>
    </xf>
    <xf numFmtId="0" fontId="20" fillId="0" borderId="0" xfId="0" applyFont="1" applyAlignment="1">
      <alignment vertical="center" wrapText="1"/>
    </xf>
    <xf numFmtId="0" fontId="5" fillId="0" borderId="0" xfId="0" applyFont="1" applyAlignment="1">
      <alignment horizontal="right" vertical="center" wrapText="1"/>
    </xf>
    <xf numFmtId="1" fontId="5" fillId="0" borderId="0" xfId="0" applyNumberFormat="1" applyFont="1" applyAlignment="1">
      <alignment horizontal="right" vertical="center" wrapText="1"/>
    </xf>
    <xf numFmtId="2" fontId="5" fillId="0" borderId="0" xfId="0" applyNumberFormat="1" applyFont="1" applyAlignment="1">
      <alignment horizontal="center" vertical="top"/>
    </xf>
    <xf numFmtId="0" fontId="5" fillId="0" borderId="33" xfId="0" applyFont="1" applyBorder="1" applyAlignment="1" applyProtection="1">
      <alignment horizontal="center" vertical="top"/>
      <protection locked="0"/>
    </xf>
    <xf numFmtId="0" fontId="5" fillId="0" borderId="54" xfId="0" applyFont="1" applyBorder="1" applyAlignment="1">
      <alignment vertical="top" wrapText="1"/>
    </xf>
    <xf numFmtId="0" fontId="5" fillId="0" borderId="30" xfId="0" applyFont="1" applyBorder="1" applyAlignment="1">
      <alignment horizontal="left" vertical="top" wrapText="1"/>
    </xf>
    <xf numFmtId="0" fontId="5" fillId="0" borderId="5" xfId="0" applyFont="1" applyBorder="1" applyAlignment="1">
      <alignment horizontal="left" vertical="top" wrapText="1"/>
    </xf>
    <xf numFmtId="0" fontId="5" fillId="0" borderId="37" xfId="0" applyFont="1" applyBorder="1" applyAlignment="1">
      <alignment vertical="top" wrapText="1"/>
    </xf>
    <xf numFmtId="0" fontId="5" fillId="0" borderId="53" xfId="0" applyFont="1" applyBorder="1" applyAlignment="1" applyProtection="1">
      <alignment horizontal="center" vertical="top"/>
      <protection locked="0"/>
    </xf>
    <xf numFmtId="0" fontId="5" fillId="0" borderId="57" xfId="0" applyFont="1" applyBorder="1" applyAlignment="1">
      <alignment vertical="top" wrapText="1"/>
    </xf>
    <xf numFmtId="0" fontId="5" fillId="0" borderId="37" xfId="0" applyFont="1" applyBorder="1">
      <alignment vertical="top"/>
    </xf>
    <xf numFmtId="0" fontId="5" fillId="0" borderId="32" xfId="0" applyFont="1" applyBorder="1" applyAlignment="1" applyProtection="1">
      <alignment horizontal="center" vertical="top"/>
      <protection locked="0"/>
    </xf>
    <xf numFmtId="0" fontId="5" fillId="0" borderId="45" xfId="0" applyFont="1" applyBorder="1" applyAlignment="1" applyProtection="1">
      <alignment horizontal="center" vertical="top"/>
      <protection locked="0"/>
    </xf>
    <xf numFmtId="0" fontId="5" fillId="0" borderId="33" xfId="0" applyFont="1" applyBorder="1" applyAlignment="1" applyProtection="1">
      <alignment horizontal="center" vertical="top" wrapText="1"/>
      <protection locked="0"/>
    </xf>
    <xf numFmtId="0" fontId="5" fillId="0" borderId="53" xfId="0" applyFont="1" applyBorder="1" applyAlignment="1" applyProtection="1">
      <alignment horizontal="center" vertical="top" wrapText="1"/>
      <protection locked="0"/>
    </xf>
    <xf numFmtId="0" fontId="5" fillId="0" borderId="28" xfId="0" applyFont="1" applyBorder="1" applyAlignment="1" applyProtection="1">
      <alignment horizontal="center" vertical="top"/>
      <protection locked="0"/>
    </xf>
    <xf numFmtId="1" fontId="5" fillId="0" borderId="32" xfId="0" applyNumberFormat="1" applyFont="1" applyBorder="1" applyAlignment="1" applyProtection="1">
      <alignment horizontal="center" vertical="top" wrapText="1"/>
      <protection locked="0"/>
    </xf>
    <xf numFmtId="1" fontId="5" fillId="0" borderId="33" xfId="0" applyNumberFormat="1" applyFont="1" applyBorder="1" applyAlignment="1" applyProtection="1">
      <alignment horizontal="center" vertical="top" wrapText="1"/>
      <protection locked="0"/>
    </xf>
    <xf numFmtId="1" fontId="5" fillId="0" borderId="53" xfId="0" applyNumberFormat="1" applyFont="1" applyBorder="1" applyAlignment="1" applyProtection="1">
      <alignment horizontal="center" vertical="top" wrapText="1"/>
      <protection locked="0"/>
    </xf>
    <xf numFmtId="0" fontId="5" fillId="0" borderId="27" xfId="0" applyFont="1" applyBorder="1" applyAlignment="1">
      <alignment vertical="top" wrapText="1"/>
    </xf>
    <xf numFmtId="0" fontId="5" fillId="0" borderId="48" xfId="0" applyFont="1" applyBorder="1" applyAlignment="1">
      <alignment vertical="top" wrapText="1"/>
    </xf>
    <xf numFmtId="0" fontId="5" fillId="0" borderId="59" xfId="0" applyFont="1" applyBorder="1" applyAlignment="1">
      <alignment vertical="top" wrapText="1"/>
    </xf>
    <xf numFmtId="0" fontId="5" fillId="0" borderId="54" xfId="0" applyFont="1" applyBorder="1" applyAlignment="1">
      <alignment vertical="center" wrapText="1"/>
    </xf>
    <xf numFmtId="0" fontId="5" fillId="0" borderId="30" xfId="0" applyFont="1" applyBorder="1" applyAlignment="1">
      <alignment vertical="center" wrapText="1"/>
    </xf>
    <xf numFmtId="16" fontId="5" fillId="0" borderId="30" xfId="0" applyNumberFormat="1" applyFont="1" applyBorder="1" applyAlignment="1">
      <alignment vertical="top" wrapText="1"/>
    </xf>
    <xf numFmtId="0" fontId="6" fillId="0" borderId="30" xfId="0" applyFont="1" applyBorder="1" applyAlignment="1">
      <alignment vertical="top" wrapText="1"/>
    </xf>
    <xf numFmtId="49" fontId="5" fillId="0" borderId="54" xfId="0" applyNumberFormat="1" applyFont="1" applyBorder="1" applyAlignment="1">
      <alignment horizontal="left" vertical="top" wrapText="1"/>
    </xf>
    <xf numFmtId="49" fontId="5" fillId="0" borderId="30" xfId="0" applyNumberFormat="1" applyFont="1" applyBorder="1" applyAlignment="1">
      <alignment horizontal="left" vertical="top" wrapText="1"/>
    </xf>
    <xf numFmtId="0" fontId="5" fillId="4" borderId="54" xfId="0" applyFont="1" applyFill="1" applyBorder="1" applyAlignment="1">
      <alignment vertical="top" wrapText="1"/>
    </xf>
    <xf numFmtId="0" fontId="5" fillId="4" borderId="30" xfId="0" applyFont="1" applyFill="1" applyBorder="1" applyAlignment="1">
      <alignment vertical="top" wrapText="1"/>
    </xf>
    <xf numFmtId="17" fontId="5" fillId="0" borderId="23" xfId="0" applyNumberFormat="1" applyFont="1" applyBorder="1" applyAlignment="1">
      <alignment vertical="top" wrapText="1"/>
    </xf>
    <xf numFmtId="17" fontId="5" fillId="0" borderId="30" xfId="0" applyNumberFormat="1" applyFont="1" applyBorder="1" applyAlignment="1">
      <alignment vertical="top" wrapText="1"/>
    </xf>
    <xf numFmtId="0" fontId="5" fillId="12" borderId="5" xfId="0" applyFont="1" applyFill="1" applyBorder="1" applyAlignment="1">
      <alignment vertical="top" wrapText="1"/>
    </xf>
    <xf numFmtId="0" fontId="6" fillId="12" borderId="27" xfId="0" applyFont="1" applyFill="1" applyBorder="1" applyAlignment="1">
      <alignment vertical="top" wrapText="1"/>
    </xf>
    <xf numFmtId="0" fontId="5" fillId="4" borderId="37" xfId="0" applyFont="1" applyFill="1" applyBorder="1" applyAlignment="1">
      <alignment vertical="top" wrapText="1"/>
    </xf>
    <xf numFmtId="49" fontId="5" fillId="0" borderId="37" xfId="0" applyNumberFormat="1" applyFont="1" applyBorder="1" applyAlignment="1">
      <alignment horizontal="left" vertical="top" wrapText="1"/>
    </xf>
    <xf numFmtId="0" fontId="5" fillId="0" borderId="57" xfId="0" applyFont="1" applyBorder="1">
      <alignment vertical="top"/>
    </xf>
    <xf numFmtId="1" fontId="5" fillId="0" borderId="30" xfId="0" applyNumberFormat="1" applyFont="1" applyBorder="1" applyAlignment="1">
      <alignment vertical="top" wrapText="1"/>
    </xf>
    <xf numFmtId="0" fontId="33" fillId="0" borderId="30" xfId="0" applyFont="1" applyBorder="1" applyAlignment="1">
      <alignment vertical="top" wrapText="1"/>
    </xf>
    <xf numFmtId="0" fontId="33" fillId="0" borderId="54" xfId="0" applyFont="1" applyBorder="1" applyAlignment="1">
      <alignment vertical="top" wrapText="1"/>
    </xf>
    <xf numFmtId="1" fontId="5" fillId="0" borderId="54" xfId="0" applyNumberFormat="1" applyFont="1" applyBorder="1" applyAlignment="1">
      <alignment vertical="top" wrapText="1"/>
    </xf>
    <xf numFmtId="1" fontId="5" fillId="0" borderId="37" xfId="0" applyNumberFormat="1" applyFont="1" applyBorder="1" applyAlignment="1">
      <alignment vertical="top" wrapText="1"/>
    </xf>
    <xf numFmtId="0" fontId="33" fillId="0" borderId="37" xfId="0" applyFont="1" applyBorder="1" applyAlignment="1">
      <alignment vertical="top" wrapText="1"/>
    </xf>
    <xf numFmtId="0" fontId="28" fillId="25" borderId="5" xfId="0" applyFont="1" applyFill="1" applyBorder="1" applyAlignment="1">
      <alignment vertical="top" wrapText="1"/>
    </xf>
    <xf numFmtId="0" fontId="5" fillId="0" borderId="0" xfId="2" applyFont="1" applyAlignment="1">
      <alignment horizontal="center" vertical="top"/>
    </xf>
    <xf numFmtId="49" fontId="5" fillId="0" borderId="20" xfId="0" applyNumberFormat="1" applyFont="1" applyBorder="1" applyAlignment="1">
      <alignment vertical="top" wrapText="1"/>
    </xf>
    <xf numFmtId="49" fontId="5" fillId="0" borderId="21" xfId="0" applyNumberFormat="1" applyFont="1" applyBorder="1" applyAlignment="1">
      <alignment vertical="top" wrapText="1"/>
    </xf>
    <xf numFmtId="49" fontId="5" fillId="0" borderId="41" xfId="0" applyNumberFormat="1" applyFont="1" applyBorder="1" applyAlignment="1">
      <alignment vertical="top" wrapText="1"/>
    </xf>
    <xf numFmtId="0" fontId="35" fillId="0" borderId="0" xfId="0" applyFont="1" applyAlignment="1">
      <alignment vertical="top" wrapText="1"/>
    </xf>
    <xf numFmtId="0" fontId="35" fillId="0" borderId="61" xfId="0" applyFont="1" applyBorder="1" applyAlignment="1">
      <alignment vertical="top" wrapText="1"/>
    </xf>
    <xf numFmtId="0" fontId="6" fillId="0" borderId="40" xfId="0" applyFont="1" applyBorder="1" applyAlignment="1">
      <alignment horizontal="center" vertical="center" wrapText="1"/>
    </xf>
    <xf numFmtId="0" fontId="36" fillId="0" borderId="0" xfId="0" applyFont="1" applyAlignment="1">
      <alignment vertical="top" wrapText="1"/>
    </xf>
    <xf numFmtId="0" fontId="5" fillId="0" borderId="0" xfId="0" applyFont="1" applyAlignment="1">
      <alignment vertical="top" textRotation="180"/>
    </xf>
    <xf numFmtId="0" fontId="22" fillId="0" borderId="33" xfId="0" applyFont="1" applyBorder="1" applyAlignment="1" applyProtection="1">
      <alignment horizontal="center" vertical="top" wrapText="1"/>
      <protection locked="0"/>
    </xf>
    <xf numFmtId="0" fontId="22" fillId="0" borderId="53" xfId="0" applyFont="1" applyBorder="1" applyAlignment="1" applyProtection="1">
      <alignment horizontal="center" vertical="top" wrapText="1"/>
      <protection locked="0"/>
    </xf>
    <xf numFmtId="0" fontId="22" fillId="0" borderId="32" xfId="0" applyFont="1" applyBorder="1" applyAlignment="1" applyProtection="1">
      <alignment horizontal="center" vertical="top" wrapText="1"/>
      <protection locked="0"/>
    </xf>
    <xf numFmtId="0" fontId="5" fillId="0" borderId="32" xfId="0" applyFont="1" applyBorder="1" applyAlignment="1" applyProtection="1">
      <alignment horizontal="center" vertical="top" wrapText="1"/>
      <protection locked="0"/>
    </xf>
    <xf numFmtId="0" fontId="5" fillId="0" borderId="61" xfId="0" applyFont="1" applyBorder="1" applyAlignment="1" applyProtection="1">
      <alignment horizontal="center" vertical="top"/>
      <protection locked="0"/>
    </xf>
    <xf numFmtId="0" fontId="22" fillId="0" borderId="58" xfId="0" applyFont="1" applyBorder="1" applyAlignment="1" applyProtection="1">
      <alignment horizontal="center" vertical="top"/>
      <protection locked="0"/>
    </xf>
    <xf numFmtId="0" fontId="5" fillId="0" borderId="43" xfId="0" applyFont="1" applyBorder="1" applyAlignment="1" applyProtection="1">
      <alignment horizontal="center" vertical="top"/>
      <protection locked="0"/>
    </xf>
    <xf numFmtId="0" fontId="5" fillId="0" borderId="31" xfId="0" applyFont="1" applyBorder="1" applyAlignment="1" applyProtection="1">
      <alignment horizontal="center" vertical="top"/>
      <protection locked="0"/>
    </xf>
    <xf numFmtId="0" fontId="5" fillId="0" borderId="38" xfId="0" applyFont="1" applyBorder="1" applyAlignment="1" applyProtection="1">
      <alignment horizontal="center" vertical="top"/>
      <protection locked="0"/>
    </xf>
    <xf numFmtId="1" fontId="5" fillId="0" borderId="43" xfId="0" applyNumberFormat="1" applyFont="1" applyBorder="1" applyAlignment="1" applyProtection="1">
      <alignment horizontal="center" vertical="top" wrapText="1"/>
      <protection locked="0"/>
    </xf>
    <xf numFmtId="1" fontId="5" fillId="0" borderId="31" xfId="0" applyNumberFormat="1" applyFont="1" applyBorder="1" applyAlignment="1" applyProtection="1">
      <alignment horizontal="center" vertical="top" wrapText="1"/>
      <protection locked="0"/>
    </xf>
    <xf numFmtId="1" fontId="5" fillId="0" borderId="38" xfId="0" applyNumberFormat="1" applyFont="1" applyBorder="1" applyAlignment="1" applyProtection="1">
      <alignment horizontal="center" vertical="top" wrapText="1"/>
      <protection locked="0"/>
    </xf>
    <xf numFmtId="1" fontId="5" fillId="0" borderId="43" xfId="0" applyNumberFormat="1" applyFont="1" applyBorder="1" applyAlignment="1" applyProtection="1">
      <alignment horizontal="center" vertical="top"/>
      <protection locked="0"/>
    </xf>
    <xf numFmtId="1" fontId="5" fillId="0" borderId="31" xfId="0" applyNumberFormat="1" applyFont="1" applyBorder="1" applyAlignment="1" applyProtection="1">
      <alignment horizontal="center" vertical="top"/>
      <protection locked="0"/>
    </xf>
    <xf numFmtId="1" fontId="5" fillId="0" borderId="38" xfId="0" applyNumberFormat="1" applyFont="1" applyBorder="1" applyAlignment="1" applyProtection="1">
      <alignment horizontal="center" vertical="top"/>
      <protection locked="0"/>
    </xf>
    <xf numFmtId="1" fontId="5" fillId="4" borderId="43" xfId="0" applyNumberFormat="1" applyFont="1" applyFill="1" applyBorder="1" applyAlignment="1" applyProtection="1">
      <alignment horizontal="center" vertical="top" wrapText="1"/>
      <protection locked="0"/>
    </xf>
    <xf numFmtId="1" fontId="5" fillId="4" borderId="31" xfId="0" applyNumberFormat="1" applyFont="1" applyFill="1" applyBorder="1" applyAlignment="1" applyProtection="1">
      <alignment horizontal="center" vertical="top" wrapText="1"/>
      <protection locked="0"/>
    </xf>
    <xf numFmtId="1" fontId="5" fillId="4" borderId="38" xfId="0" applyNumberFormat="1" applyFont="1" applyFill="1" applyBorder="1" applyAlignment="1" applyProtection="1">
      <alignment horizontal="center" vertical="top" wrapText="1"/>
      <protection locked="0"/>
    </xf>
    <xf numFmtId="0" fontId="5" fillId="0" borderId="31" xfId="0" applyFont="1" applyBorder="1" applyAlignment="1" applyProtection="1">
      <alignment horizontal="center" vertical="top" wrapText="1"/>
      <protection locked="0"/>
    </xf>
    <xf numFmtId="0" fontId="5" fillId="0" borderId="38" xfId="0" applyFont="1" applyBorder="1" applyAlignment="1" applyProtection="1">
      <alignment horizontal="center" vertical="top" wrapText="1"/>
      <protection locked="0"/>
    </xf>
    <xf numFmtId="0" fontId="5" fillId="0" borderId="58" xfId="0" applyFont="1" applyBorder="1" applyAlignment="1" applyProtection="1">
      <alignment horizontal="center" vertical="top" wrapText="1"/>
      <protection locked="0"/>
    </xf>
    <xf numFmtId="1" fontId="5" fillId="0" borderId="58" xfId="0" applyNumberFormat="1" applyFont="1" applyBorder="1" applyAlignment="1" applyProtection="1">
      <alignment horizontal="center" vertical="top" wrapText="1"/>
      <protection locked="0"/>
    </xf>
    <xf numFmtId="0" fontId="10" fillId="0" borderId="0" xfId="0" applyFont="1" applyAlignment="1">
      <alignment horizontal="center" vertical="top" wrapText="1"/>
    </xf>
    <xf numFmtId="0" fontId="10" fillId="0" borderId="0" xfId="0" applyFont="1" applyAlignment="1">
      <alignment vertical="top" textRotation="180"/>
    </xf>
    <xf numFmtId="0" fontId="33" fillId="12" borderId="0" xfId="0" applyFont="1" applyFill="1">
      <alignment vertical="top"/>
    </xf>
    <xf numFmtId="0" fontId="5" fillId="0" borderId="28" xfId="0" applyFont="1" applyBorder="1" applyAlignment="1">
      <alignment vertical="top" wrapText="1"/>
    </xf>
    <xf numFmtId="0" fontId="5" fillId="0" borderId="61" xfId="0" applyFont="1" applyBorder="1" applyAlignment="1">
      <alignment vertical="top" wrapText="1"/>
    </xf>
    <xf numFmtId="0" fontId="5" fillId="0" borderId="4" xfId="0" applyFont="1" applyBorder="1" applyAlignment="1">
      <alignment vertical="top" wrapText="1"/>
    </xf>
    <xf numFmtId="0" fontId="5" fillId="0" borderId="56" xfId="0" applyFont="1" applyBorder="1" applyAlignment="1">
      <alignment vertical="top" wrapText="1"/>
    </xf>
    <xf numFmtId="0" fontId="5" fillId="0" borderId="31" xfId="0" applyFont="1" applyBorder="1" applyAlignment="1">
      <alignment horizontal="left" vertical="center" wrapText="1"/>
    </xf>
    <xf numFmtId="0" fontId="5" fillId="0" borderId="0" xfId="0" applyFont="1" applyAlignment="1" applyProtection="1">
      <alignment horizontal="center" vertical="top" wrapText="1"/>
      <protection hidden="1"/>
    </xf>
    <xf numFmtId="1" fontId="5" fillId="2" borderId="19" xfId="0" applyNumberFormat="1" applyFont="1" applyFill="1" applyBorder="1" applyAlignment="1">
      <alignment horizontal="center" vertical="top" wrapText="1"/>
    </xf>
    <xf numFmtId="1" fontId="5" fillId="2" borderId="26" xfId="0" applyNumberFormat="1" applyFont="1" applyFill="1" applyBorder="1" applyAlignment="1">
      <alignment horizontal="center" vertical="top" wrapText="1"/>
    </xf>
    <xf numFmtId="0" fontId="41" fillId="0" borderId="5" xfId="0" applyFont="1" applyBorder="1" applyAlignment="1">
      <alignment horizontal="center" vertical="top" wrapText="1"/>
    </xf>
    <xf numFmtId="1" fontId="5" fillId="2" borderId="67" xfId="0" applyNumberFormat="1" applyFont="1" applyFill="1" applyBorder="1" applyAlignment="1" applyProtection="1">
      <alignment horizontal="center" vertical="top" wrapText="1"/>
      <protection hidden="1"/>
    </xf>
    <xf numFmtId="1" fontId="5" fillId="2" borderId="19" xfId="0" applyNumberFormat="1" applyFont="1" applyFill="1" applyBorder="1" applyAlignment="1" applyProtection="1">
      <alignment horizontal="center" vertical="top" wrapText="1"/>
      <protection hidden="1"/>
    </xf>
    <xf numFmtId="0" fontId="5" fillId="2" borderId="1" xfId="0" applyFont="1" applyFill="1" applyBorder="1" applyAlignment="1" applyProtection="1">
      <alignment horizontal="center" vertical="top" wrapText="1"/>
      <protection hidden="1"/>
    </xf>
    <xf numFmtId="0" fontId="5" fillId="0" borderId="26" xfId="0" applyFont="1" applyBorder="1" applyAlignment="1">
      <alignment horizontal="center" vertical="top" wrapText="1"/>
    </xf>
    <xf numFmtId="1" fontId="5" fillId="2" borderId="26" xfId="0" applyNumberFormat="1" applyFont="1" applyFill="1" applyBorder="1" applyAlignment="1" applyProtection="1">
      <alignment horizontal="center" vertical="top" wrapText="1"/>
      <protection hidden="1"/>
    </xf>
    <xf numFmtId="0" fontId="5" fillId="2" borderId="26" xfId="0" applyFont="1" applyFill="1" applyBorder="1" applyAlignment="1" applyProtection="1">
      <alignment horizontal="center" vertical="top" wrapText="1"/>
      <protection hidden="1"/>
    </xf>
    <xf numFmtId="1" fontId="5" fillId="2" borderId="12" xfId="0" applyNumberFormat="1" applyFont="1" applyFill="1" applyBorder="1" applyAlignment="1" applyProtection="1">
      <alignment horizontal="center" vertical="top" wrapText="1"/>
      <protection hidden="1"/>
    </xf>
    <xf numFmtId="2" fontId="5" fillId="2" borderId="10" xfId="0" applyNumberFormat="1" applyFont="1" applyFill="1" applyBorder="1" applyAlignment="1" applyProtection="1">
      <alignment horizontal="center" vertical="top" wrapText="1"/>
      <protection hidden="1"/>
    </xf>
    <xf numFmtId="0" fontId="5" fillId="2" borderId="3" xfId="0" applyFont="1" applyFill="1" applyBorder="1" applyAlignment="1" applyProtection="1">
      <alignment horizontal="center" vertical="top" wrapText="1"/>
      <protection hidden="1"/>
    </xf>
    <xf numFmtId="0" fontId="5" fillId="2" borderId="66" xfId="0" applyFont="1" applyFill="1" applyBorder="1" applyAlignment="1" applyProtection="1">
      <alignment horizontal="center" vertical="top" wrapText="1"/>
      <protection hidden="1"/>
    </xf>
    <xf numFmtId="0" fontId="5" fillId="2" borderId="4" xfId="0" applyFont="1" applyFill="1" applyBorder="1" applyAlignment="1" applyProtection="1">
      <alignment horizontal="center" vertical="top" wrapText="1"/>
      <protection hidden="1"/>
    </xf>
    <xf numFmtId="1" fontId="5" fillId="2" borderId="6" xfId="0" applyNumberFormat="1" applyFont="1" applyFill="1" applyBorder="1" applyAlignment="1" applyProtection="1">
      <alignment horizontal="center" vertical="top" wrapText="1"/>
      <protection hidden="1"/>
    </xf>
    <xf numFmtId="1" fontId="5" fillId="2" borderId="8" xfId="0" applyNumberFormat="1" applyFont="1" applyFill="1" applyBorder="1" applyAlignment="1" applyProtection="1">
      <alignment horizontal="center" vertical="top" wrapText="1"/>
      <protection hidden="1"/>
    </xf>
    <xf numFmtId="0" fontId="5" fillId="2" borderId="67" xfId="0" applyFont="1" applyFill="1" applyBorder="1" applyAlignment="1">
      <alignment horizontal="center" vertical="top" wrapText="1"/>
    </xf>
    <xf numFmtId="2" fontId="5" fillId="2" borderId="73" xfId="0" applyNumberFormat="1" applyFont="1" applyFill="1" applyBorder="1" applyAlignment="1" applyProtection="1">
      <alignment horizontal="center" vertical="top" wrapText="1"/>
      <protection hidden="1"/>
    </xf>
    <xf numFmtId="1" fontId="5" fillId="2" borderId="67" xfId="0" applyNumberFormat="1" applyFont="1" applyFill="1" applyBorder="1" applyAlignment="1">
      <alignment horizontal="center" vertical="top" wrapText="1"/>
    </xf>
    <xf numFmtId="0" fontId="5" fillId="2" borderId="73" xfId="0" applyFont="1" applyFill="1" applyBorder="1" applyAlignment="1" applyProtection="1">
      <alignment horizontal="center" vertical="top" wrapText="1"/>
      <protection hidden="1"/>
    </xf>
    <xf numFmtId="0" fontId="5" fillId="0" borderId="74" xfId="0" applyFont="1" applyBorder="1" applyAlignment="1">
      <alignment vertical="top" wrapText="1"/>
    </xf>
    <xf numFmtId="0" fontId="5" fillId="0" borderId="74" xfId="0" applyFont="1" applyBorder="1" applyAlignment="1">
      <alignment horizontal="center" vertical="top" wrapText="1"/>
    </xf>
    <xf numFmtId="2" fontId="5" fillId="2" borderId="66" xfId="0" applyNumberFormat="1" applyFont="1" applyFill="1" applyBorder="1" applyAlignment="1" applyProtection="1">
      <alignment horizontal="center" vertical="top" wrapText="1"/>
      <protection hidden="1"/>
    </xf>
    <xf numFmtId="0" fontId="5" fillId="0" borderId="20" xfId="0" applyFont="1" applyBorder="1" applyAlignment="1">
      <alignment vertical="top" wrapText="1"/>
    </xf>
    <xf numFmtId="0" fontId="5" fillId="0" borderId="21" xfId="0" applyFont="1" applyBorder="1" applyAlignment="1">
      <alignment vertical="top" wrapText="1"/>
    </xf>
    <xf numFmtId="0" fontId="5" fillId="2" borderId="22" xfId="0" applyFont="1" applyFill="1" applyBorder="1" applyAlignment="1" applyProtection="1">
      <alignment horizontal="center" vertical="top" wrapText="1"/>
      <protection hidden="1"/>
    </xf>
    <xf numFmtId="0" fontId="5" fillId="2" borderId="19" xfId="0" applyFont="1" applyFill="1" applyBorder="1" applyAlignment="1" applyProtection="1">
      <alignment horizontal="center" vertical="top" wrapText="1"/>
      <protection hidden="1"/>
    </xf>
    <xf numFmtId="1" fontId="5" fillId="0" borderId="5" xfId="0" applyNumberFormat="1" applyFont="1" applyBorder="1" applyAlignment="1">
      <alignment vertical="top" wrapText="1"/>
    </xf>
    <xf numFmtId="0" fontId="5" fillId="0" borderId="63" xfId="0" applyFont="1" applyBorder="1" applyAlignment="1">
      <alignment horizontal="center" vertical="top" wrapText="1"/>
    </xf>
    <xf numFmtId="2" fontId="5" fillId="2" borderId="15" xfId="0" applyNumberFormat="1" applyFont="1" applyFill="1" applyBorder="1" applyAlignment="1" applyProtection="1">
      <alignment horizontal="right" vertical="top" wrapText="1"/>
      <protection hidden="1"/>
    </xf>
    <xf numFmtId="0" fontId="5" fillId="0" borderId="13" xfId="0" applyFont="1" applyBorder="1" applyAlignment="1">
      <alignment horizontal="center" vertical="top" wrapText="1"/>
    </xf>
    <xf numFmtId="1" fontId="5" fillId="0" borderId="13" xfId="0" applyNumberFormat="1" applyFont="1" applyBorder="1" applyAlignment="1" applyProtection="1">
      <alignment horizontal="center" vertical="top" wrapText="1"/>
      <protection hidden="1"/>
    </xf>
    <xf numFmtId="0" fontId="5" fillId="0" borderId="13" xfId="0" applyFont="1" applyBorder="1" applyAlignment="1" applyProtection="1">
      <alignment horizontal="center" vertical="top" wrapText="1"/>
      <protection hidden="1"/>
    </xf>
    <xf numFmtId="2" fontId="5" fillId="0" borderId="13" xfId="0" applyNumberFormat="1" applyFont="1" applyBorder="1" applyAlignment="1" applyProtection="1">
      <alignment horizontal="center" vertical="top" wrapText="1"/>
      <protection hidden="1"/>
    </xf>
    <xf numFmtId="0" fontId="5" fillId="0" borderId="13" xfId="0" applyFont="1" applyBorder="1" applyAlignment="1">
      <alignment vertical="top" wrapText="1"/>
    </xf>
    <xf numFmtId="0" fontId="5" fillId="0" borderId="61" xfId="0" applyFont="1" applyBorder="1" applyAlignment="1">
      <alignment horizontal="left" vertical="top" wrapText="1"/>
    </xf>
    <xf numFmtId="0" fontId="11" fillId="0" borderId="5" xfId="0" applyFont="1" applyBorder="1" applyAlignment="1" applyProtection="1">
      <alignment horizontal="center" vertical="center"/>
      <protection hidden="1"/>
    </xf>
    <xf numFmtId="49" fontId="8" fillId="0" borderId="0" xfId="0" applyNumberFormat="1" applyFont="1" applyAlignment="1">
      <alignment horizontal="center" vertical="center" wrapText="1"/>
    </xf>
    <xf numFmtId="49" fontId="8" fillId="0" borderId="80" xfId="0" applyNumberFormat="1" applyFont="1" applyBorder="1" applyAlignment="1">
      <alignment horizontal="right" vertical="center" wrapText="1"/>
    </xf>
    <xf numFmtId="0" fontId="11" fillId="0" borderId="80" xfId="0" applyFont="1" applyBorder="1" applyAlignment="1" applyProtection="1">
      <alignment horizontal="center" vertical="center"/>
      <protection hidden="1"/>
    </xf>
    <xf numFmtId="2" fontId="5" fillId="0" borderId="13" xfId="0" applyNumberFormat="1" applyFont="1" applyBorder="1" applyAlignment="1">
      <alignment horizontal="center" vertical="top" wrapText="1"/>
    </xf>
    <xf numFmtId="0" fontId="5" fillId="0" borderId="5" xfId="0" applyFont="1" applyBorder="1" applyAlignment="1">
      <alignment vertical="center" wrapText="1"/>
    </xf>
    <xf numFmtId="0" fontId="6" fillId="0" borderId="5" xfId="0" applyFont="1" applyBorder="1" applyAlignment="1">
      <alignment horizontal="center" vertical="center" wrapText="1"/>
    </xf>
    <xf numFmtId="0" fontId="5" fillId="0" borderId="1" xfId="0" applyFont="1" applyBorder="1" applyAlignment="1">
      <alignment horizontal="left" vertical="top" wrapText="1"/>
    </xf>
    <xf numFmtId="0" fontId="5" fillId="0" borderId="12" xfId="0" applyFont="1" applyBorder="1" applyAlignment="1">
      <alignment vertical="top" wrapText="1"/>
    </xf>
    <xf numFmtId="0" fontId="5" fillId="0" borderId="6" xfId="0" applyFont="1" applyBorder="1" applyAlignment="1">
      <alignment vertical="top" wrapText="1"/>
    </xf>
    <xf numFmtId="0" fontId="5" fillId="0" borderId="23" xfId="0" applyFont="1" applyBorder="1" applyAlignment="1">
      <alignment vertical="top" wrapText="1"/>
    </xf>
    <xf numFmtId="1" fontId="5" fillId="2" borderId="70" xfId="0" applyNumberFormat="1" applyFont="1" applyFill="1" applyBorder="1" applyAlignment="1">
      <alignment horizontal="center" vertical="top" wrapText="1"/>
    </xf>
    <xf numFmtId="1" fontId="41" fillId="0" borderId="5" xfId="0" applyNumberFormat="1" applyFont="1" applyBorder="1" applyAlignment="1">
      <alignment horizontal="center" vertical="top" wrapText="1"/>
    </xf>
    <xf numFmtId="1" fontId="5" fillId="2" borderId="66" xfId="0" applyNumberFormat="1" applyFont="1" applyFill="1" applyBorder="1" applyAlignment="1">
      <alignment horizontal="center" vertical="top" wrapText="1"/>
    </xf>
    <xf numFmtId="1" fontId="5" fillId="0" borderId="26" xfId="0" applyNumberFormat="1" applyFont="1" applyBorder="1" applyAlignment="1">
      <alignment horizontal="center" vertical="top" wrapText="1"/>
    </xf>
    <xf numFmtId="1" fontId="5" fillId="2" borderId="72" xfId="0" applyNumberFormat="1" applyFont="1" applyFill="1" applyBorder="1" applyAlignment="1">
      <alignment horizontal="center" vertical="top" wrapText="1"/>
    </xf>
    <xf numFmtId="0" fontId="5" fillId="0" borderId="51" xfId="0" applyFont="1" applyBorder="1" applyAlignment="1">
      <alignment vertical="top" wrapText="1"/>
    </xf>
    <xf numFmtId="1" fontId="5" fillId="2" borderId="74" xfId="0" applyNumberFormat="1" applyFont="1" applyFill="1" applyBorder="1" applyAlignment="1">
      <alignment horizontal="center" vertical="top" wrapText="1"/>
    </xf>
    <xf numFmtId="0" fontId="5" fillId="0" borderId="79" xfId="0" applyFont="1" applyBorder="1" applyAlignment="1">
      <alignment vertical="top" wrapText="1"/>
    </xf>
    <xf numFmtId="0" fontId="5" fillId="33" borderId="25" xfId="0" applyFont="1" applyFill="1" applyBorder="1" applyAlignment="1">
      <alignment vertical="top" wrapText="1"/>
    </xf>
    <xf numFmtId="2" fontId="5" fillId="0" borderId="63" xfId="0" applyNumberFormat="1" applyFont="1" applyBorder="1" applyAlignment="1">
      <alignment horizontal="center" vertical="top" wrapText="1"/>
    </xf>
    <xf numFmtId="1" fontId="5" fillId="2" borderId="63" xfId="0" applyNumberFormat="1" applyFont="1" applyFill="1" applyBorder="1" applyAlignment="1">
      <alignment horizontal="center" vertical="top" wrapText="1"/>
    </xf>
    <xf numFmtId="0" fontId="11" fillId="0" borderId="5" xfId="0" applyFont="1" applyBorder="1" applyAlignment="1">
      <alignment horizontal="center" vertical="center"/>
    </xf>
    <xf numFmtId="0" fontId="5" fillId="0" borderId="5" xfId="0" applyFont="1" applyBorder="1" applyAlignment="1">
      <alignment horizontal="left" vertical="center" wrapText="1"/>
    </xf>
    <xf numFmtId="1" fontId="20" fillId="2" borderId="15" xfId="0" applyNumberFormat="1" applyFont="1" applyFill="1" applyBorder="1" applyAlignment="1">
      <alignment horizontal="center" vertical="top" wrapText="1"/>
    </xf>
    <xf numFmtId="0" fontId="5" fillId="0" borderId="49" xfId="0" applyFont="1" applyBorder="1" applyAlignment="1">
      <alignment horizontal="left" vertical="center" wrapText="1"/>
    </xf>
    <xf numFmtId="0" fontId="5" fillId="0" borderId="41" xfId="0" applyFont="1" applyBorder="1" applyAlignment="1">
      <alignment vertical="top" wrapText="1"/>
    </xf>
    <xf numFmtId="1" fontId="5" fillId="0" borderId="5" xfId="0" applyNumberFormat="1" applyFont="1" applyBorder="1" applyAlignment="1">
      <alignment horizontal="left" vertical="top" wrapText="1"/>
    </xf>
    <xf numFmtId="0" fontId="11" fillId="0" borderId="5" xfId="0" applyFont="1" applyBorder="1" applyAlignment="1">
      <alignment horizontal="center" vertical="center" wrapText="1"/>
    </xf>
    <xf numFmtId="0" fontId="8" fillId="0" borderId="5" xfId="0" applyFont="1" applyBorder="1" applyAlignment="1">
      <alignment horizontal="center" vertical="center" wrapText="1"/>
    </xf>
    <xf numFmtId="1" fontId="5" fillId="2" borderId="73" xfId="0" applyNumberFormat="1" applyFont="1" applyFill="1" applyBorder="1" applyAlignment="1">
      <alignment horizontal="center" vertical="top" wrapText="1"/>
    </xf>
    <xf numFmtId="0" fontId="5" fillId="0" borderId="53" xfId="0" applyFont="1" applyBorder="1" applyAlignment="1">
      <alignment horizontal="left" vertical="center" wrapText="1"/>
    </xf>
    <xf numFmtId="1" fontId="5" fillId="2" borderId="78" xfId="0" applyNumberFormat="1" applyFont="1" applyFill="1" applyBorder="1" applyAlignment="1">
      <alignment horizontal="center" vertical="top" wrapText="1"/>
    </xf>
    <xf numFmtId="2" fontId="5" fillId="0" borderId="7" xfId="0" applyNumberFormat="1" applyFont="1" applyBorder="1" applyAlignment="1">
      <alignment horizontal="center" vertical="top" wrapText="1"/>
    </xf>
    <xf numFmtId="0" fontId="5" fillId="0" borderId="36" xfId="0" applyFont="1" applyBorder="1" applyAlignment="1">
      <alignment vertical="top" wrapText="1"/>
    </xf>
    <xf numFmtId="0" fontId="5" fillId="0" borderId="18" xfId="0" applyFont="1" applyBorder="1" applyAlignment="1">
      <alignment horizontal="left" vertical="center" wrapText="1"/>
    </xf>
    <xf numFmtId="0" fontId="5" fillId="0" borderId="16" xfId="0" applyFont="1" applyBorder="1" applyAlignment="1">
      <alignment horizontal="left" vertical="center" wrapText="1"/>
    </xf>
    <xf numFmtId="0" fontId="5" fillId="0" borderId="35" xfId="0" applyFont="1" applyBorder="1" applyAlignment="1">
      <alignment vertical="top" wrapText="1"/>
    </xf>
    <xf numFmtId="0" fontId="5" fillId="0" borderId="34" xfId="0" applyFont="1" applyBorder="1" applyAlignment="1">
      <alignment vertical="top" wrapText="1"/>
    </xf>
    <xf numFmtId="0" fontId="5" fillId="0" borderId="18" xfId="0" applyFont="1" applyBorder="1" applyAlignment="1">
      <alignment vertical="center" wrapText="1"/>
    </xf>
    <xf numFmtId="0" fontId="5" fillId="0" borderId="16" xfId="0" applyFont="1" applyBorder="1" applyAlignment="1">
      <alignment vertical="center" wrapText="1"/>
    </xf>
    <xf numFmtId="0" fontId="5" fillId="0" borderId="16" xfId="4" applyFont="1" applyFill="1" applyBorder="1" applyAlignment="1" applyProtection="1">
      <alignment vertical="top" wrapText="1"/>
    </xf>
    <xf numFmtId="0" fontId="6" fillId="12" borderId="5" xfId="0" applyFont="1" applyFill="1" applyBorder="1" applyAlignment="1">
      <alignment vertical="top" wrapText="1"/>
    </xf>
    <xf numFmtId="0" fontId="5" fillId="34" borderId="15" xfId="0" applyFont="1" applyFill="1" applyBorder="1" applyAlignment="1">
      <alignment horizontal="left" vertical="top" wrapText="1"/>
    </xf>
    <xf numFmtId="0" fontId="5" fillId="35" borderId="5" xfId="0" applyFont="1" applyFill="1" applyBorder="1" applyAlignment="1">
      <alignment vertical="top" wrapText="1"/>
    </xf>
    <xf numFmtId="49" fontId="14" fillId="0" borderId="5" xfId="2" applyNumberFormat="1" applyFont="1" applyBorder="1" applyAlignment="1">
      <alignment vertical="top" wrapText="1"/>
    </xf>
    <xf numFmtId="0" fontId="5" fillId="26" borderId="25" xfId="0" applyFont="1" applyFill="1" applyBorder="1" applyAlignment="1">
      <alignment horizontal="left" vertical="top" wrapText="1"/>
    </xf>
    <xf numFmtId="2" fontId="5" fillId="5" borderId="20" xfId="0" applyNumberFormat="1" applyFont="1" applyFill="1" applyBorder="1" applyAlignment="1" applyProtection="1">
      <alignment horizontal="center" vertical="center" wrapText="1"/>
      <protection hidden="1"/>
    </xf>
    <xf numFmtId="2" fontId="5" fillId="5" borderId="21" xfId="0" applyNumberFormat="1" applyFont="1" applyFill="1" applyBorder="1" applyAlignment="1" applyProtection="1">
      <alignment horizontal="center" vertical="center" wrapText="1"/>
      <protection hidden="1"/>
    </xf>
    <xf numFmtId="2" fontId="5" fillId="5" borderId="9" xfId="0" applyNumberFormat="1" applyFont="1" applyFill="1" applyBorder="1" applyAlignment="1" applyProtection="1">
      <alignment horizontal="center" vertical="center" wrapText="1"/>
      <protection hidden="1"/>
    </xf>
    <xf numFmtId="2" fontId="5" fillId="9" borderId="10" xfId="0" applyNumberFormat="1" applyFont="1" applyFill="1" applyBorder="1" applyAlignment="1" applyProtection="1">
      <alignment horizontal="center" vertical="center" wrapText="1"/>
      <protection hidden="1"/>
    </xf>
    <xf numFmtId="2" fontId="5" fillId="9" borderId="2" xfId="0" applyNumberFormat="1" applyFont="1" applyFill="1" applyBorder="1" applyAlignment="1" applyProtection="1">
      <alignment horizontal="center" vertical="center" wrapText="1"/>
      <protection hidden="1"/>
    </xf>
    <xf numFmtId="2" fontId="20" fillId="2" borderId="42" xfId="0" applyNumberFormat="1" applyFont="1" applyFill="1" applyBorder="1" applyAlignment="1">
      <alignment horizontal="right" vertical="top" wrapText="1"/>
    </xf>
    <xf numFmtId="2" fontId="20" fillId="2" borderId="73" xfId="0" applyNumberFormat="1" applyFont="1" applyFill="1" applyBorder="1" applyAlignment="1">
      <alignment horizontal="right" vertical="top" wrapText="1"/>
    </xf>
    <xf numFmtId="1" fontId="20" fillId="2" borderId="26" xfId="0" applyNumberFormat="1" applyFont="1" applyFill="1" applyBorder="1" applyAlignment="1">
      <alignment horizontal="center" vertical="top" wrapText="1"/>
    </xf>
    <xf numFmtId="2" fontId="20" fillId="2" borderId="26" xfId="0" applyNumberFormat="1" applyFont="1" applyFill="1" applyBorder="1" applyAlignment="1">
      <alignment horizontal="right" vertical="top" wrapText="1"/>
    </xf>
    <xf numFmtId="0" fontId="5" fillId="0" borderId="17" xfId="0" applyFont="1" applyBorder="1" applyAlignment="1">
      <alignment vertical="center" wrapText="1"/>
    </xf>
    <xf numFmtId="0" fontId="5" fillId="33" borderId="40" xfId="0" applyFont="1" applyFill="1" applyBorder="1" applyAlignment="1">
      <alignment horizontal="left" vertical="top" wrapText="1"/>
    </xf>
    <xf numFmtId="0" fontId="5" fillId="0" borderId="50" xfId="0" applyFont="1" applyBorder="1" applyAlignment="1">
      <alignment horizontal="left" vertical="top" wrapText="1"/>
    </xf>
    <xf numFmtId="0" fontId="5" fillId="0" borderId="52" xfId="0" applyFont="1" applyBorder="1" applyAlignment="1">
      <alignment vertical="top" wrapText="1"/>
    </xf>
    <xf numFmtId="1" fontId="5" fillId="20" borderId="25" xfId="0" applyNumberFormat="1" applyFont="1" applyFill="1" applyBorder="1" applyAlignment="1">
      <alignment horizontal="left" vertical="top" wrapText="1"/>
    </xf>
    <xf numFmtId="1" fontId="5" fillId="10" borderId="5" xfId="0" applyNumberFormat="1" applyFont="1" applyFill="1" applyBorder="1" applyAlignment="1">
      <alignment horizontal="left" vertical="top"/>
    </xf>
    <xf numFmtId="0" fontId="5" fillId="0" borderId="5" xfId="0" applyFont="1" applyBorder="1" applyAlignment="1">
      <alignment horizontal="left" vertical="top"/>
    </xf>
    <xf numFmtId="0" fontId="10" fillId="0" borderId="0" xfId="0" applyFont="1" applyAlignment="1">
      <alignment horizontal="left" vertical="top" wrapText="1"/>
    </xf>
    <xf numFmtId="0" fontId="33" fillId="12" borderId="5" xfId="0" applyFont="1" applyFill="1" applyBorder="1" applyAlignment="1">
      <alignment vertical="top" wrapText="1"/>
    </xf>
    <xf numFmtId="0" fontId="33" fillId="0" borderId="5" xfId="0" applyFont="1" applyBorder="1" applyAlignment="1">
      <alignment vertical="top" wrapText="1"/>
    </xf>
    <xf numFmtId="0" fontId="33" fillId="0" borderId="76" xfId="0" applyFont="1" applyBorder="1" applyAlignment="1">
      <alignment vertical="top" wrapText="1"/>
    </xf>
    <xf numFmtId="0" fontId="34" fillId="0" borderId="0" xfId="0" applyFont="1" applyAlignment="1">
      <alignment vertical="center" wrapText="1"/>
    </xf>
    <xf numFmtId="0" fontId="42" fillId="0" borderId="0" xfId="0" applyFont="1" applyAlignment="1">
      <alignment vertical="top" wrapText="1"/>
    </xf>
    <xf numFmtId="0" fontId="6" fillId="0" borderId="76" xfId="0" applyFont="1" applyBorder="1" applyAlignment="1" applyProtection="1">
      <alignment horizontal="center" wrapText="1"/>
      <protection locked="0"/>
    </xf>
    <xf numFmtId="0" fontId="4" fillId="0" borderId="16" xfId="0" applyFont="1" applyBorder="1" applyAlignment="1" applyProtection="1">
      <alignment horizontal="center" vertical="top" wrapText="1"/>
      <protection locked="0"/>
    </xf>
    <xf numFmtId="14" fontId="4" fillId="0" borderId="16" xfId="0" applyNumberFormat="1" applyFont="1" applyBorder="1" applyAlignment="1" applyProtection="1">
      <alignment horizontal="center" vertical="top" wrapText="1"/>
      <protection locked="0"/>
    </xf>
    <xf numFmtId="164" fontId="4" fillId="0" borderId="16" xfId="0" applyNumberFormat="1" applyFont="1" applyBorder="1" applyAlignment="1" applyProtection="1">
      <alignment horizontal="center" vertical="top" wrapText="1"/>
      <protection locked="0"/>
    </xf>
    <xf numFmtId="9" fontId="4" fillId="0" borderId="16" xfId="0" applyNumberFormat="1" applyFont="1" applyBorder="1" applyAlignment="1" applyProtection="1">
      <alignment horizontal="center" vertical="top" wrapText="1"/>
      <protection locked="0"/>
    </xf>
    <xf numFmtId="0" fontId="5" fillId="0" borderId="16" xfId="0" applyFont="1" applyBorder="1" applyAlignment="1" applyProtection="1">
      <alignment horizontal="center" vertical="top" wrapText="1"/>
      <protection locked="0"/>
    </xf>
    <xf numFmtId="1" fontId="4" fillId="0" borderId="16" xfId="0" applyNumberFormat="1" applyFont="1" applyBorder="1" applyAlignment="1" applyProtection="1">
      <alignment horizontal="center" vertical="top" wrapText="1"/>
      <protection locked="0"/>
    </xf>
    <xf numFmtId="0" fontId="48" fillId="0" borderId="17" xfId="0" applyFont="1" applyBorder="1" applyAlignment="1" applyProtection="1">
      <alignment vertical="top" wrapText="1"/>
      <protection locked="0"/>
    </xf>
    <xf numFmtId="0" fontId="33" fillId="0" borderId="43" xfId="0" applyFont="1" applyBorder="1" applyAlignment="1" applyProtection="1">
      <alignment horizontal="center" vertical="top" wrapText="1"/>
      <protection locked="0"/>
    </xf>
    <xf numFmtId="0" fontId="33" fillId="0" borderId="31" xfId="0" applyFont="1" applyBorder="1" applyAlignment="1" applyProtection="1">
      <alignment horizontal="center" vertical="top" wrapText="1"/>
      <protection locked="0"/>
    </xf>
    <xf numFmtId="0" fontId="33" fillId="0" borderId="38" xfId="0" applyFont="1" applyBorder="1" applyAlignment="1" applyProtection="1">
      <alignment horizontal="center" vertical="top" wrapText="1"/>
      <protection locked="0"/>
    </xf>
    <xf numFmtId="0" fontId="5" fillId="0" borderId="43" xfId="0" applyFont="1" applyBorder="1" applyAlignment="1" applyProtection="1">
      <alignment horizontal="center" vertical="top" wrapText="1"/>
      <protection locked="0"/>
    </xf>
    <xf numFmtId="0" fontId="33" fillId="0" borderId="24" xfId="0" applyFont="1" applyBorder="1" applyAlignment="1">
      <alignment horizontal="left" vertical="top" wrapText="1"/>
    </xf>
    <xf numFmtId="0" fontId="33" fillId="0" borderId="40" xfId="0" applyFont="1" applyBorder="1" applyAlignment="1">
      <alignment vertical="top" wrapText="1"/>
    </xf>
    <xf numFmtId="0" fontId="33" fillId="0" borderId="55" xfId="0" applyFont="1" applyBorder="1" applyAlignment="1">
      <alignment vertical="top" wrapText="1"/>
    </xf>
    <xf numFmtId="0" fontId="33" fillId="0" borderId="24" xfId="0" applyFont="1" applyBorder="1" applyAlignment="1">
      <alignment vertical="top" wrapText="1"/>
    </xf>
    <xf numFmtId="0" fontId="33" fillId="0" borderId="18" xfId="0" applyFont="1" applyBorder="1" applyAlignment="1">
      <alignment vertical="top" wrapText="1"/>
    </xf>
    <xf numFmtId="0" fontId="33" fillId="0" borderId="16" xfId="0" applyFont="1" applyBorder="1" applyAlignment="1">
      <alignment vertical="top" wrapText="1"/>
    </xf>
    <xf numFmtId="0" fontId="33" fillId="0" borderId="17" xfId="0" applyFont="1" applyBorder="1" applyAlignment="1">
      <alignment vertical="top" wrapText="1"/>
    </xf>
    <xf numFmtId="0" fontId="51" fillId="19" borderId="13" xfId="0" applyFont="1" applyFill="1" applyBorder="1" applyAlignment="1">
      <alignment horizontal="center" vertical="center"/>
    </xf>
    <xf numFmtId="0" fontId="51" fillId="0" borderId="0" xfId="0" applyFont="1" applyAlignment="1">
      <alignment horizontal="center" vertical="center"/>
    </xf>
    <xf numFmtId="49" fontId="5" fillId="0" borderId="34" xfId="0" applyNumberFormat="1" applyFont="1" applyBorder="1" applyAlignment="1">
      <alignment horizontal="left" vertical="top" wrapText="1"/>
    </xf>
    <xf numFmtId="49" fontId="33" fillId="0" borderId="16" xfId="0" applyNumberFormat="1" applyFont="1" applyBorder="1" applyAlignment="1">
      <alignment horizontal="left" vertical="top" wrapText="1"/>
    </xf>
    <xf numFmtId="0" fontId="33" fillId="0" borderId="77" xfId="0" applyFont="1" applyBorder="1" applyAlignment="1">
      <alignment vertical="top" wrapText="1"/>
    </xf>
    <xf numFmtId="0" fontId="37" fillId="0" borderId="16" xfId="0" applyFont="1" applyBorder="1" applyAlignment="1">
      <alignment vertical="top" wrapText="1"/>
    </xf>
    <xf numFmtId="0" fontId="37" fillId="0" borderId="77" xfId="0" applyFont="1" applyBorder="1" applyAlignment="1">
      <alignment vertical="top" wrapText="1"/>
    </xf>
    <xf numFmtId="0" fontId="37" fillId="0" borderId="18"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77" xfId="0" applyFont="1" applyBorder="1" applyAlignment="1">
      <alignment vertical="top" wrapText="1"/>
    </xf>
    <xf numFmtId="1" fontId="5" fillId="0" borderId="18" xfId="0" applyNumberFormat="1" applyFont="1" applyBorder="1" applyAlignment="1">
      <alignment vertical="top" wrapText="1"/>
    </xf>
    <xf numFmtId="0" fontId="6" fillId="0" borderId="18" xfId="0" applyFont="1" applyBorder="1" applyAlignment="1">
      <alignment vertical="top" wrapText="1"/>
    </xf>
    <xf numFmtId="0" fontId="5" fillId="0" borderId="18" xfId="4" applyFont="1" applyFill="1" applyBorder="1" applyAlignment="1" applyProtection="1">
      <alignment vertical="top"/>
    </xf>
    <xf numFmtId="0" fontId="5" fillId="0" borderId="16" xfId="4" applyFont="1" applyFill="1" applyBorder="1" applyAlignment="1" applyProtection="1">
      <alignment vertical="top"/>
    </xf>
    <xf numFmtId="0" fontId="5" fillId="0" borderId="18" xfId="0" applyFont="1" applyBorder="1">
      <alignment vertical="top"/>
    </xf>
    <xf numFmtId="0" fontId="5" fillId="0" borderId="16" xfId="0" applyFont="1" applyBorder="1">
      <alignment vertical="top"/>
    </xf>
    <xf numFmtId="0" fontId="0" fillId="0" borderId="77" xfId="0" applyBorder="1" applyAlignment="1">
      <alignment vertical="top" wrapText="1"/>
    </xf>
    <xf numFmtId="0" fontId="5" fillId="0" borderId="77" xfId="0" applyFont="1" applyBorder="1">
      <alignment vertical="top"/>
    </xf>
    <xf numFmtId="0" fontId="51" fillId="46" borderId="5" xfId="0" applyFont="1" applyFill="1" applyBorder="1" applyAlignment="1">
      <alignment horizontal="center" vertical="center" wrapText="1"/>
    </xf>
    <xf numFmtId="0" fontId="51" fillId="46" borderId="40" xfId="0" applyFont="1" applyFill="1" applyBorder="1" applyAlignment="1">
      <alignment horizontal="center" vertical="center" wrapText="1"/>
    </xf>
    <xf numFmtId="49" fontId="2" fillId="0" borderId="70" xfId="2" applyNumberFormat="1" applyFont="1" applyBorder="1" applyAlignment="1">
      <alignment vertical="top" wrapText="1"/>
    </xf>
    <xf numFmtId="49" fontId="14" fillId="0" borderId="28" xfId="2" applyNumberFormat="1" applyFont="1" applyBorder="1" applyAlignment="1">
      <alignment vertical="top" wrapText="1"/>
    </xf>
    <xf numFmtId="0" fontId="5" fillId="0" borderId="80" xfId="2" applyFont="1" applyBorder="1" applyAlignment="1">
      <alignment vertical="top" wrapText="1"/>
    </xf>
    <xf numFmtId="49" fontId="2" fillId="2" borderId="74" xfId="2" applyNumberFormat="1" applyFont="1" applyFill="1" applyBorder="1" applyAlignment="1">
      <alignment horizontal="center" vertical="top" wrapText="1"/>
    </xf>
    <xf numFmtId="49" fontId="5" fillId="0" borderId="5" xfId="2" applyNumberFormat="1" applyFont="1" applyBorder="1">
      <alignment vertical="top"/>
    </xf>
    <xf numFmtId="49" fontId="10" fillId="0" borderId="5" xfId="2" applyNumberFormat="1" applyBorder="1">
      <alignment vertical="top"/>
    </xf>
    <xf numFmtId="1" fontId="5" fillId="0" borderId="46" xfId="2" applyNumberFormat="1" applyFont="1" applyBorder="1" applyAlignment="1" applyProtection="1">
      <alignment horizontal="center" vertical="top"/>
      <protection locked="0"/>
    </xf>
    <xf numFmtId="1" fontId="5" fillId="0" borderId="33" xfId="2" applyNumberFormat="1" applyFont="1" applyBorder="1" applyAlignment="1" applyProtection="1">
      <alignment horizontal="center" vertical="top"/>
      <protection locked="0"/>
    </xf>
    <xf numFmtId="1" fontId="5" fillId="0" borderId="53" xfId="2" applyNumberFormat="1" applyFont="1" applyBorder="1" applyAlignment="1" applyProtection="1">
      <alignment horizontal="center" vertical="top"/>
      <protection locked="0"/>
    </xf>
    <xf numFmtId="49" fontId="2" fillId="2" borderId="27" xfId="2" applyNumberFormat="1" applyFont="1" applyFill="1" applyBorder="1" applyAlignment="1">
      <alignment horizontal="center" vertical="top" wrapText="1"/>
    </xf>
    <xf numFmtId="49" fontId="2" fillId="2" borderId="63" xfId="2" applyNumberFormat="1" applyFont="1" applyFill="1" applyBorder="1" applyAlignment="1">
      <alignment horizontal="center" vertical="top" wrapText="1"/>
    </xf>
    <xf numFmtId="49" fontId="2" fillId="2" borderId="58" xfId="2" applyNumberFormat="1" applyFont="1" applyFill="1" applyBorder="1" applyAlignment="1">
      <alignment horizontal="center" vertical="top" wrapText="1"/>
    </xf>
    <xf numFmtId="49" fontId="2" fillId="0" borderId="30" xfId="2" applyNumberFormat="1" applyFont="1" applyBorder="1" applyAlignment="1">
      <alignment horizontal="center" vertical="top" wrapText="1"/>
    </xf>
    <xf numFmtId="49" fontId="2" fillId="0" borderId="31" xfId="2" applyNumberFormat="1" applyFont="1" applyBorder="1" applyAlignment="1">
      <alignment horizontal="center" vertical="top" wrapText="1"/>
    </xf>
    <xf numFmtId="49" fontId="2" fillId="0" borderId="57" xfId="2" applyNumberFormat="1" applyFont="1" applyBorder="1" applyAlignment="1">
      <alignment horizontal="center" vertical="top" wrapText="1"/>
    </xf>
    <xf numFmtId="49" fontId="2" fillId="0" borderId="64" xfId="2" applyNumberFormat="1" applyFont="1" applyBorder="1" applyAlignment="1">
      <alignment horizontal="center" vertical="top" wrapText="1"/>
    </xf>
    <xf numFmtId="49" fontId="2" fillId="0" borderId="65" xfId="2" applyNumberFormat="1" applyFont="1" applyBorder="1" applyAlignment="1">
      <alignment horizontal="center" vertical="top" wrapText="1"/>
    </xf>
    <xf numFmtId="49" fontId="2" fillId="0" borderId="48" xfId="2" applyNumberFormat="1" applyFont="1" applyBorder="1" applyAlignment="1">
      <alignment horizontal="center" vertical="top" wrapText="1"/>
    </xf>
    <xf numFmtId="49" fontId="2" fillId="0" borderId="19" xfId="2" applyNumberFormat="1" applyFont="1" applyBorder="1" applyAlignment="1">
      <alignment horizontal="center" vertical="top" wrapText="1"/>
    </xf>
    <xf numFmtId="49" fontId="2" fillId="0" borderId="49" xfId="2" applyNumberFormat="1" applyFont="1" applyBorder="1" applyAlignment="1">
      <alignment horizontal="center" vertical="top" wrapText="1"/>
    </xf>
    <xf numFmtId="49" fontId="14" fillId="0" borderId="13" xfId="2" applyNumberFormat="1" applyFont="1" applyBorder="1" applyAlignment="1">
      <alignment vertical="top" wrapText="1"/>
    </xf>
    <xf numFmtId="49" fontId="2" fillId="0" borderId="37" xfId="2" applyNumberFormat="1" applyFont="1" applyBorder="1" applyAlignment="1">
      <alignment horizontal="center" vertical="top" wrapText="1"/>
    </xf>
    <xf numFmtId="49" fontId="2" fillId="0" borderId="26" xfId="2" applyNumberFormat="1" applyFont="1" applyBorder="1" applyAlignment="1">
      <alignment horizontal="center" vertical="top" wrapText="1"/>
    </xf>
    <xf numFmtId="49" fontId="2" fillId="0" borderId="38" xfId="2" applyNumberFormat="1" applyFont="1" applyBorder="1" applyAlignment="1">
      <alignment horizontal="center" vertical="top" wrapText="1"/>
    </xf>
    <xf numFmtId="0" fontId="18" fillId="0" borderId="0" xfId="0" applyFont="1" applyAlignment="1">
      <alignment vertical="center" wrapText="1"/>
    </xf>
    <xf numFmtId="0" fontId="51" fillId="20" borderId="25" xfId="0" applyFont="1" applyFill="1" applyBorder="1" applyAlignment="1">
      <alignment horizontal="center" vertical="center" wrapText="1"/>
    </xf>
    <xf numFmtId="0" fontId="51" fillId="6" borderId="5" xfId="0" applyFont="1" applyFill="1" applyBorder="1" applyAlignment="1">
      <alignment horizontal="center" vertical="center" wrapText="1"/>
    </xf>
    <xf numFmtId="1" fontId="51" fillId="6" borderId="5" xfId="0" applyNumberFormat="1" applyFont="1" applyFill="1" applyBorder="1" applyAlignment="1" applyProtection="1">
      <alignment horizontal="center" vertical="center" wrapText="1"/>
      <protection hidden="1"/>
    </xf>
    <xf numFmtId="0" fontId="51" fillId="6" borderId="5" xfId="0" applyFont="1" applyFill="1" applyBorder="1" applyAlignment="1" applyProtection="1">
      <alignment horizontal="center" vertical="center" wrapText="1"/>
      <protection hidden="1"/>
    </xf>
    <xf numFmtId="0" fontId="18" fillId="0" borderId="0" xfId="0" applyFont="1" applyAlignment="1">
      <alignment horizontal="center" vertical="center" wrapText="1"/>
    </xf>
    <xf numFmtId="0" fontId="51" fillId="0" borderId="1" xfId="0" applyFont="1" applyBorder="1" applyAlignment="1">
      <alignment horizontal="center" vertical="center" wrapText="1"/>
    </xf>
    <xf numFmtId="0" fontId="51" fillId="0" borderId="3" xfId="0" applyFont="1" applyBorder="1" applyAlignment="1">
      <alignment horizontal="center" vertical="center" wrapText="1"/>
    </xf>
    <xf numFmtId="1" fontId="51" fillId="0" borderId="3" xfId="0" applyNumberFormat="1" applyFont="1" applyBorder="1" applyAlignment="1" applyProtection="1">
      <alignment horizontal="center" vertical="center" wrapText="1"/>
      <protection hidden="1"/>
    </xf>
    <xf numFmtId="0" fontId="51" fillId="0" borderId="3" xfId="0" applyFont="1" applyBorder="1" applyAlignment="1" applyProtection="1">
      <alignment horizontal="center" vertical="center" wrapText="1"/>
      <protection hidden="1"/>
    </xf>
    <xf numFmtId="2" fontId="51" fillId="0" borderId="3" xfId="0" applyNumberFormat="1" applyFont="1" applyBorder="1" applyAlignment="1" applyProtection="1">
      <alignment horizontal="center" vertical="center" wrapText="1"/>
      <protection hidden="1"/>
    </xf>
    <xf numFmtId="0" fontId="18" fillId="0" borderId="0" xfId="0" applyFont="1" applyAlignment="1">
      <alignment vertical="center"/>
    </xf>
    <xf numFmtId="0" fontId="18" fillId="0" borderId="0" xfId="0" applyFont="1" applyAlignment="1">
      <alignment vertical="top" wrapText="1"/>
    </xf>
    <xf numFmtId="0" fontId="51" fillId="14" borderId="5" xfId="0" applyFont="1" applyFill="1" applyBorder="1" applyAlignment="1">
      <alignment horizontal="center" vertical="center" wrapText="1"/>
    </xf>
    <xf numFmtId="0" fontId="51" fillId="14" borderId="5" xfId="0" applyFont="1" applyFill="1" applyBorder="1" applyAlignment="1" applyProtection="1">
      <alignment horizontal="center" vertical="center" wrapText="1"/>
      <protection hidden="1"/>
    </xf>
    <xf numFmtId="0" fontId="51" fillId="3" borderId="40" xfId="0" applyFont="1" applyFill="1" applyBorder="1" applyAlignment="1">
      <alignment horizontal="center" vertical="center" wrapText="1"/>
    </xf>
    <xf numFmtId="1" fontId="51" fillId="3" borderId="40" xfId="0" applyNumberFormat="1" applyFont="1" applyFill="1" applyBorder="1" applyAlignment="1" applyProtection="1">
      <alignment horizontal="center" vertical="center" wrapText="1"/>
      <protection hidden="1"/>
    </xf>
    <xf numFmtId="0" fontId="51" fillId="3" borderId="40" xfId="0" applyFont="1" applyFill="1" applyBorder="1" applyAlignment="1" applyProtection="1">
      <alignment horizontal="center" vertical="center" wrapText="1"/>
      <protection hidden="1"/>
    </xf>
    <xf numFmtId="2" fontId="51" fillId="3" borderId="52" xfId="0" applyNumberFormat="1" applyFont="1" applyFill="1" applyBorder="1" applyAlignment="1" applyProtection="1">
      <alignment horizontal="center" vertical="center" wrapText="1"/>
      <protection hidden="1"/>
    </xf>
    <xf numFmtId="0" fontId="51" fillId="6" borderId="24" xfId="0" applyFont="1" applyFill="1" applyBorder="1" applyAlignment="1">
      <alignment horizontal="center" vertical="center" wrapText="1"/>
    </xf>
    <xf numFmtId="0" fontId="5" fillId="0" borderId="24" xfId="0" applyFont="1" applyBorder="1" applyAlignment="1">
      <alignment vertical="center" wrapText="1"/>
    </xf>
    <xf numFmtId="0" fontId="5" fillId="0" borderId="2" xfId="4" applyNumberFormat="1" applyFont="1" applyFill="1" applyBorder="1" applyAlignment="1" applyProtection="1">
      <alignment vertical="top" wrapText="1"/>
    </xf>
    <xf numFmtId="2" fontId="5" fillId="0" borderId="54" xfId="0" applyNumberFormat="1" applyFont="1" applyBorder="1" applyAlignment="1">
      <alignment horizontal="center" vertical="center"/>
    </xf>
    <xf numFmtId="2" fontId="5" fillId="0" borderId="11" xfId="0" applyNumberFormat="1" applyFont="1" applyBorder="1" applyAlignment="1">
      <alignment horizontal="center" vertical="center"/>
    </xf>
    <xf numFmtId="2" fontId="45" fillId="44" borderId="43" xfId="0" applyNumberFormat="1" applyFont="1" applyFill="1" applyBorder="1" applyAlignment="1">
      <alignment horizontal="center" vertical="center"/>
    </xf>
    <xf numFmtId="2" fontId="5" fillId="0" borderId="30" xfId="0" applyNumberFormat="1" applyFont="1" applyBorder="1" applyAlignment="1">
      <alignment horizontal="center" vertical="center"/>
    </xf>
    <xf numFmtId="2" fontId="5" fillId="0" borderId="8" xfId="0" applyNumberFormat="1" applyFont="1" applyBorder="1" applyAlignment="1">
      <alignment horizontal="center" vertical="center"/>
    </xf>
    <xf numFmtId="2" fontId="45" fillId="44" borderId="31" xfId="0" applyNumberFormat="1" applyFont="1" applyFill="1" applyBorder="1" applyAlignment="1">
      <alignment horizontal="center" vertical="center"/>
    </xf>
    <xf numFmtId="2" fontId="5" fillId="0" borderId="23" xfId="0" applyNumberFormat="1" applyFont="1" applyBorder="1" applyAlignment="1">
      <alignment horizontal="center" vertical="center"/>
    </xf>
    <xf numFmtId="2" fontId="5" fillId="0" borderId="6" xfId="0" applyNumberFormat="1" applyFont="1" applyBorder="1" applyAlignment="1">
      <alignment horizontal="center" vertical="center"/>
    </xf>
    <xf numFmtId="2" fontId="46" fillId="47" borderId="31" xfId="0" applyNumberFormat="1" applyFont="1" applyFill="1" applyBorder="1" applyAlignment="1">
      <alignment horizontal="center" vertical="center"/>
    </xf>
    <xf numFmtId="2" fontId="45" fillId="10" borderId="75" xfId="0" applyNumberFormat="1" applyFont="1" applyFill="1" applyBorder="1" applyAlignment="1">
      <alignment horizontal="center" vertical="center"/>
    </xf>
    <xf numFmtId="0" fontId="5" fillId="0" borderId="11" xfId="0" applyFont="1" applyBorder="1" applyAlignment="1">
      <alignment vertical="top" wrapText="1"/>
    </xf>
    <xf numFmtId="0" fontId="5" fillId="0" borderId="39" xfId="2" applyFont="1" applyBorder="1" applyAlignment="1">
      <alignment vertical="top" wrapText="1"/>
    </xf>
    <xf numFmtId="0" fontId="5" fillId="0" borderId="34" xfId="2" applyFont="1" applyBorder="1" applyAlignment="1">
      <alignment vertical="top" wrapText="1"/>
    </xf>
    <xf numFmtId="0" fontId="5" fillId="0" borderId="36" xfId="2" applyFont="1" applyBorder="1" applyAlignment="1">
      <alignment vertical="top" wrapText="1"/>
    </xf>
    <xf numFmtId="0" fontId="48" fillId="0" borderId="35" xfId="0" applyFont="1" applyBorder="1" applyAlignment="1">
      <alignment vertical="top" wrapText="1"/>
    </xf>
    <xf numFmtId="0" fontId="48" fillId="0" borderId="34" xfId="0" applyFont="1" applyBorder="1" applyAlignment="1">
      <alignment vertical="top" wrapText="1"/>
    </xf>
    <xf numFmtId="0" fontId="5" fillId="0" borderId="59" xfId="0" applyFont="1" applyBorder="1" applyAlignment="1">
      <alignment horizontal="left" vertical="top" wrapText="1"/>
    </xf>
    <xf numFmtId="16" fontId="5" fillId="0" borderId="62" xfId="0" applyNumberFormat="1" applyFont="1" applyBorder="1" applyAlignment="1">
      <alignment vertical="top" wrapText="1"/>
    </xf>
    <xf numFmtId="49" fontId="2" fillId="48" borderId="11" xfId="2" applyNumberFormat="1" applyFont="1" applyFill="1" applyBorder="1" applyAlignment="1">
      <alignment horizontal="right" vertical="top" wrapText="1"/>
    </xf>
    <xf numFmtId="49" fontId="2" fillId="48" borderId="2" xfId="2" applyNumberFormat="1" applyFont="1" applyFill="1" applyBorder="1" applyAlignment="1">
      <alignment horizontal="right" vertical="top" wrapText="1"/>
    </xf>
    <xf numFmtId="49" fontId="2" fillId="48" borderId="4" xfId="2" applyNumberFormat="1" applyFont="1" applyFill="1" applyBorder="1" applyAlignment="1">
      <alignment horizontal="right" vertical="top" wrapText="1"/>
    </xf>
    <xf numFmtId="49" fontId="2" fillId="48" borderId="9" xfId="2" applyNumberFormat="1" applyFont="1" applyFill="1" applyBorder="1" applyAlignment="1">
      <alignment horizontal="right" vertical="top" wrapText="1"/>
    </xf>
    <xf numFmtId="49" fontId="14" fillId="0" borderId="80" xfId="2" applyNumberFormat="1" applyFont="1" applyBorder="1" applyAlignment="1">
      <alignment vertical="top" wrapText="1"/>
    </xf>
    <xf numFmtId="49" fontId="2" fillId="0" borderId="23" xfId="2" applyNumberFormat="1" applyFont="1" applyBorder="1" applyAlignment="1">
      <alignment horizontal="center" vertical="top" wrapText="1"/>
    </xf>
    <xf numFmtId="49" fontId="2" fillId="0" borderId="3" xfId="2" applyNumberFormat="1" applyFont="1" applyBorder="1" applyAlignment="1">
      <alignment horizontal="center" vertical="top" wrapText="1"/>
    </xf>
    <xf numFmtId="49" fontId="2" fillId="48" borderId="31" xfId="2" applyNumberFormat="1" applyFont="1" applyFill="1" applyBorder="1" applyAlignment="1">
      <alignment horizontal="right" vertical="top" wrapText="1"/>
    </xf>
    <xf numFmtId="49" fontId="2" fillId="2" borderId="64" xfId="2" applyNumberFormat="1" applyFont="1" applyFill="1" applyBorder="1" applyAlignment="1">
      <alignment horizontal="center" vertical="top" wrapText="1"/>
    </xf>
    <xf numFmtId="49" fontId="2" fillId="2" borderId="79" xfId="2" applyNumberFormat="1" applyFont="1" applyFill="1" applyBorder="1" applyAlignment="1">
      <alignment horizontal="center" vertical="top" wrapText="1"/>
    </xf>
    <xf numFmtId="49" fontId="16" fillId="49" borderId="0" xfId="2" applyNumberFormat="1" applyFont="1" applyFill="1" applyAlignment="1">
      <alignment vertical="top" wrapText="1"/>
    </xf>
    <xf numFmtId="0" fontId="0" fillId="0" borderId="0" xfId="0" applyAlignment="1">
      <alignment horizontal="center" vertical="center"/>
    </xf>
    <xf numFmtId="0" fontId="5" fillId="0" borderId="20" xfId="0" applyFont="1" applyBorder="1" applyAlignment="1" applyProtection="1">
      <alignment horizontal="center" vertical="top"/>
      <protection locked="0"/>
    </xf>
    <xf numFmtId="0" fontId="22" fillId="0" borderId="61" xfId="0" applyFont="1" applyBorder="1" applyAlignment="1" applyProtection="1">
      <alignment horizontal="center" vertical="top"/>
      <protection locked="0"/>
    </xf>
    <xf numFmtId="1" fontId="22" fillId="0" borderId="61" xfId="0" applyNumberFormat="1" applyFont="1" applyBorder="1" applyAlignment="1" applyProtection="1">
      <alignment horizontal="center" vertical="top" wrapText="1"/>
      <protection locked="0"/>
    </xf>
    <xf numFmtId="1" fontId="22" fillId="0" borderId="33" xfId="0" applyNumberFormat="1" applyFont="1" applyBorder="1" applyAlignment="1" applyProtection="1">
      <alignment horizontal="center" vertical="top"/>
      <protection locked="0"/>
    </xf>
    <xf numFmtId="1" fontId="22" fillId="0" borderId="53" xfId="0" applyNumberFormat="1" applyFont="1" applyBorder="1" applyAlignment="1" applyProtection="1">
      <alignment horizontal="center" vertical="top"/>
      <protection locked="0"/>
    </xf>
    <xf numFmtId="1" fontId="22" fillId="0" borderId="33" xfId="0" applyNumberFormat="1" applyFont="1" applyBorder="1" applyAlignment="1" applyProtection="1">
      <alignment horizontal="center" vertical="top" wrapText="1"/>
      <protection locked="0"/>
    </xf>
    <xf numFmtId="1" fontId="22" fillId="0" borderId="53" xfId="0" applyNumberFormat="1" applyFont="1" applyBorder="1" applyAlignment="1" applyProtection="1">
      <alignment horizontal="center" vertical="top" wrapText="1"/>
      <protection locked="0"/>
    </xf>
    <xf numFmtId="1" fontId="22" fillId="0" borderId="32" xfId="0" applyNumberFormat="1" applyFont="1" applyBorder="1" applyAlignment="1" applyProtection="1">
      <alignment horizontal="center" vertical="top" wrapText="1"/>
      <protection locked="0"/>
    </xf>
    <xf numFmtId="0" fontId="22" fillId="0" borderId="14" xfId="0" applyFont="1" applyBorder="1" applyAlignment="1" applyProtection="1">
      <alignment horizontal="center" vertical="top"/>
      <protection locked="0"/>
    </xf>
    <xf numFmtId="0" fontId="22" fillId="0" borderId="1" xfId="0" applyFont="1" applyBorder="1" applyAlignment="1" applyProtection="1">
      <alignment horizontal="center" vertical="top"/>
      <protection locked="0"/>
    </xf>
    <xf numFmtId="1" fontId="22" fillId="0" borderId="28" xfId="0" applyNumberFormat="1" applyFont="1" applyBorder="1" applyAlignment="1" applyProtection="1">
      <alignment horizontal="center" vertical="top" wrapText="1"/>
      <protection locked="0"/>
    </xf>
    <xf numFmtId="0" fontId="22" fillId="0" borderId="28" xfId="0" applyFont="1" applyBorder="1" applyAlignment="1" applyProtection="1">
      <alignment horizontal="center" vertical="top" wrapText="1"/>
      <protection locked="0"/>
    </xf>
    <xf numFmtId="1" fontId="22" fillId="0" borderId="32" xfId="0" applyNumberFormat="1" applyFont="1" applyBorder="1" applyAlignment="1" applyProtection="1">
      <alignment horizontal="center" vertical="top"/>
      <protection locked="0"/>
    </xf>
    <xf numFmtId="1" fontId="22" fillId="0" borderId="45" xfId="0" applyNumberFormat="1" applyFont="1" applyBorder="1" applyAlignment="1" applyProtection="1">
      <alignment horizontal="center" vertical="top" wrapText="1"/>
      <protection locked="0"/>
    </xf>
    <xf numFmtId="0" fontId="22" fillId="0" borderId="28" xfId="0" applyFont="1" applyBorder="1" applyAlignment="1" applyProtection="1">
      <alignment horizontal="center" vertical="top"/>
      <protection locked="0"/>
    </xf>
    <xf numFmtId="0" fontId="22" fillId="0" borderId="53" xfId="0" applyFont="1" applyBorder="1" applyAlignment="1" applyProtection="1">
      <alignment horizontal="center" vertical="top"/>
      <protection locked="0"/>
    </xf>
    <xf numFmtId="0" fontId="22" fillId="0" borderId="45" xfId="0" applyFont="1" applyBorder="1" applyAlignment="1" applyProtection="1">
      <alignment horizontal="center" vertical="top"/>
      <protection locked="0"/>
    </xf>
    <xf numFmtId="0" fontId="22" fillId="0" borderId="60" xfId="0" applyFont="1" applyBorder="1" applyAlignment="1" applyProtection="1">
      <alignment horizontal="center" vertical="top" wrapText="1"/>
      <protection locked="0"/>
    </xf>
    <xf numFmtId="0" fontId="22" fillId="0" borderId="33" xfId="0" applyFont="1" applyBorder="1" applyAlignment="1" applyProtection="1">
      <alignment horizontal="center" vertical="top"/>
      <protection locked="0"/>
    </xf>
    <xf numFmtId="1" fontId="22" fillId="0" borderId="3" xfId="0" applyNumberFormat="1" applyFont="1" applyBorder="1" applyAlignment="1" applyProtection="1">
      <alignment horizontal="center" vertical="top"/>
      <protection locked="0"/>
    </xf>
    <xf numFmtId="0" fontId="22" fillId="0" borderId="4" xfId="0" applyFont="1" applyBorder="1" applyAlignment="1" applyProtection="1">
      <alignment horizontal="center" vertical="top"/>
      <protection locked="0"/>
    </xf>
    <xf numFmtId="1" fontId="22" fillId="0" borderId="1" xfId="0" applyNumberFormat="1" applyFont="1" applyBorder="1" applyAlignment="1" applyProtection="1">
      <alignment horizontal="center" vertical="top" wrapText="1"/>
      <protection locked="0"/>
    </xf>
    <xf numFmtId="0" fontId="5" fillId="0" borderId="0" xfId="0" applyFont="1" applyAlignment="1">
      <alignment vertical="center" wrapText="1"/>
    </xf>
    <xf numFmtId="0" fontId="5" fillId="0" borderId="0" xfId="0" applyFont="1" applyAlignment="1">
      <alignment vertical="center"/>
    </xf>
    <xf numFmtId="1" fontId="5" fillId="0" borderId="0" xfId="0" applyNumberFormat="1" applyFont="1" applyAlignment="1">
      <alignment horizontal="center" vertical="center" wrapText="1"/>
    </xf>
    <xf numFmtId="0" fontId="5" fillId="0" borderId="51" xfId="0" applyFont="1" applyBorder="1" applyAlignment="1">
      <alignment horizontal="left" vertical="top" wrapText="1"/>
    </xf>
    <xf numFmtId="1" fontId="5" fillId="0" borderId="20" xfId="0" applyNumberFormat="1" applyFont="1" applyBorder="1" applyAlignment="1">
      <alignment vertical="top" wrapText="1"/>
    </xf>
    <xf numFmtId="1" fontId="5" fillId="0" borderId="21" xfId="0" applyNumberFormat="1" applyFont="1" applyBorder="1" applyAlignment="1">
      <alignment vertical="top" wrapText="1"/>
    </xf>
    <xf numFmtId="1" fontId="5" fillId="0" borderId="25" xfId="0" applyNumberFormat="1" applyFont="1" applyBorder="1" applyAlignment="1">
      <alignment vertical="top" wrapText="1"/>
    </xf>
    <xf numFmtId="0" fontId="51" fillId="6" borderId="13" xfId="0" applyFont="1" applyFill="1" applyBorder="1" applyAlignment="1">
      <alignment horizontal="center" vertical="center" wrapText="1"/>
    </xf>
    <xf numFmtId="0" fontId="5" fillId="0" borderId="41" xfId="0" applyFont="1" applyBorder="1" applyAlignment="1">
      <alignment horizontal="left" vertical="top" wrapText="1"/>
    </xf>
    <xf numFmtId="1" fontId="5" fillId="2" borderId="74" xfId="0" applyNumberFormat="1" applyFont="1" applyFill="1" applyBorder="1" applyAlignment="1" applyProtection="1">
      <alignment horizontal="center" vertical="top" wrapText="1"/>
      <protection hidden="1"/>
    </xf>
    <xf numFmtId="2" fontId="5" fillId="2" borderId="12" xfId="0" applyNumberFormat="1" applyFont="1" applyFill="1" applyBorder="1" applyAlignment="1" applyProtection="1">
      <alignment horizontal="right" vertical="top" wrapText="1"/>
      <protection hidden="1"/>
    </xf>
    <xf numFmtId="2" fontId="5" fillId="2" borderId="8" xfId="0" applyNumberFormat="1" applyFont="1" applyFill="1" applyBorder="1" applyAlignment="1" applyProtection="1">
      <alignment horizontal="right" vertical="top" wrapText="1"/>
      <protection hidden="1"/>
    </xf>
    <xf numFmtId="2" fontId="5" fillId="2" borderId="13" xfId="0" applyNumberFormat="1" applyFont="1" applyFill="1" applyBorder="1" applyAlignment="1" applyProtection="1">
      <alignment horizontal="right" vertical="top" wrapText="1"/>
      <protection hidden="1"/>
    </xf>
    <xf numFmtId="1" fontId="5" fillId="2" borderId="70" xfId="0" applyNumberFormat="1" applyFont="1" applyFill="1" applyBorder="1" applyAlignment="1" applyProtection="1">
      <alignment horizontal="center" vertical="top" wrapText="1"/>
      <protection hidden="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1" fontId="5" fillId="0" borderId="41" xfId="0" applyNumberFormat="1" applyFont="1" applyBorder="1" applyAlignment="1">
      <alignment vertical="top" wrapText="1"/>
    </xf>
    <xf numFmtId="1" fontId="5" fillId="0" borderId="51" xfId="0" applyNumberFormat="1" applyFont="1" applyBorder="1" applyAlignment="1">
      <alignment vertical="top" wrapText="1"/>
    </xf>
    <xf numFmtId="1" fontId="5" fillId="0" borderId="50" xfId="0" applyNumberFormat="1" applyFont="1" applyBorder="1" applyAlignment="1">
      <alignment vertical="top" wrapText="1"/>
    </xf>
    <xf numFmtId="49" fontId="51" fillId="14" borderId="25" xfId="0" applyNumberFormat="1" applyFont="1" applyFill="1" applyBorder="1" applyAlignment="1">
      <alignment horizontal="center" vertical="center" wrapText="1"/>
    </xf>
    <xf numFmtId="0" fontId="20" fillId="0" borderId="13" xfId="0" applyFont="1" applyBorder="1" applyAlignment="1">
      <alignment vertical="top" wrapText="1"/>
    </xf>
    <xf numFmtId="0" fontId="20" fillId="0" borderId="20" xfId="0" applyFont="1" applyBorder="1" applyAlignment="1">
      <alignment vertical="top" wrapText="1"/>
    </xf>
    <xf numFmtId="0" fontId="20" fillId="0" borderId="21" xfId="0" applyFont="1" applyBorder="1" applyAlignment="1">
      <alignment vertical="top" wrapText="1"/>
    </xf>
    <xf numFmtId="0" fontId="20" fillId="0" borderId="41" xfId="0" applyFont="1" applyBorder="1" applyAlignment="1">
      <alignment vertical="top" wrapText="1"/>
    </xf>
    <xf numFmtId="0" fontId="20" fillId="0" borderId="29" xfId="0" applyFont="1" applyBorder="1" applyAlignment="1">
      <alignment vertical="top" wrapText="1"/>
    </xf>
    <xf numFmtId="0" fontId="20" fillId="0" borderId="50" xfId="0" applyFont="1" applyBorder="1" applyAlignment="1">
      <alignment vertical="top" wrapText="1"/>
    </xf>
    <xf numFmtId="1" fontId="20" fillId="0" borderId="13" xfId="0" applyNumberFormat="1" applyFont="1" applyBorder="1" applyAlignment="1">
      <alignment vertical="top" wrapText="1"/>
    </xf>
    <xf numFmtId="1" fontId="20" fillId="0" borderId="20" xfId="0" applyNumberFormat="1" applyFont="1" applyBorder="1" applyAlignment="1">
      <alignment vertical="top" wrapText="1"/>
    </xf>
    <xf numFmtId="1" fontId="20" fillId="0" borderId="21" xfId="0" applyNumberFormat="1" applyFont="1" applyBorder="1" applyAlignment="1">
      <alignment vertical="top" wrapText="1"/>
    </xf>
    <xf numFmtId="1" fontId="20" fillId="0" borderId="41" xfId="0" applyNumberFormat="1" applyFont="1" applyBorder="1" applyAlignment="1">
      <alignment vertical="top" wrapText="1"/>
    </xf>
    <xf numFmtId="0" fontId="5" fillId="0" borderId="29" xfId="0" applyFont="1" applyBorder="1" applyAlignment="1">
      <alignment vertical="top" wrapText="1"/>
    </xf>
    <xf numFmtId="0" fontId="5" fillId="0" borderId="13" xfId="0" applyFont="1" applyBorder="1" applyAlignment="1">
      <alignment horizontal="left" vertical="top" wrapText="1"/>
    </xf>
    <xf numFmtId="1" fontId="20" fillId="0" borderId="13" xfId="0" applyNumberFormat="1" applyFont="1" applyBorder="1" applyAlignment="1">
      <alignment horizontal="left" vertical="top" wrapText="1"/>
    </xf>
    <xf numFmtId="0" fontId="5" fillId="0" borderId="29" xfId="0" applyFont="1" applyBorder="1" applyAlignment="1">
      <alignment horizontal="left" vertical="top" wrapText="1"/>
    </xf>
    <xf numFmtId="49" fontId="5" fillId="0" borderId="13" xfId="0" applyNumberFormat="1" applyFont="1" applyBorder="1" applyAlignment="1">
      <alignment vertical="top" wrapText="1"/>
    </xf>
    <xf numFmtId="0" fontId="5" fillId="2" borderId="74" xfId="0" applyFont="1" applyFill="1" applyBorder="1" applyAlignment="1">
      <alignment horizontal="center" vertical="top" wrapText="1"/>
    </xf>
    <xf numFmtId="1" fontId="51" fillId="14" borderId="28" xfId="0" applyNumberFormat="1" applyFont="1" applyFill="1" applyBorder="1" applyAlignment="1" applyProtection="1">
      <alignment horizontal="center" vertical="center" wrapText="1"/>
      <protection hidden="1"/>
    </xf>
    <xf numFmtId="2" fontId="20" fillId="2" borderId="70" xfId="0" applyNumberFormat="1" applyFont="1" applyFill="1" applyBorder="1" applyAlignment="1">
      <alignment horizontal="right" vertical="top" wrapText="1"/>
    </xf>
    <xf numFmtId="1" fontId="20" fillId="2" borderId="6" xfId="0" applyNumberFormat="1" applyFont="1" applyFill="1" applyBorder="1" applyAlignment="1">
      <alignment horizontal="center" vertical="top" wrapText="1"/>
    </xf>
    <xf numFmtId="1" fontId="20" fillId="2" borderId="8" xfId="0" applyNumberFormat="1" applyFont="1" applyFill="1" applyBorder="1" applyAlignment="1">
      <alignment horizontal="center" vertical="top" wrapText="1"/>
    </xf>
    <xf numFmtId="1" fontId="20" fillId="2" borderId="74" xfId="0" applyNumberFormat="1" applyFont="1" applyFill="1" applyBorder="1" applyAlignment="1">
      <alignment horizontal="center" vertical="top" wrapText="1"/>
    </xf>
    <xf numFmtId="1" fontId="20" fillId="2" borderId="11" xfId="0" applyNumberFormat="1" applyFont="1" applyFill="1" applyBorder="1" applyAlignment="1">
      <alignment horizontal="center" vertical="top" wrapText="1"/>
    </xf>
    <xf numFmtId="1" fontId="20" fillId="2" borderId="70" xfId="0" applyNumberFormat="1" applyFont="1" applyFill="1" applyBorder="1" applyAlignment="1">
      <alignment horizontal="center" vertical="top" wrapText="1"/>
    </xf>
    <xf numFmtId="1" fontId="20" fillId="2" borderId="78" xfId="0" applyNumberFormat="1" applyFont="1" applyFill="1" applyBorder="1" applyAlignment="1">
      <alignment horizontal="center" vertical="top" wrapText="1"/>
    </xf>
    <xf numFmtId="1" fontId="5" fillId="2" borderId="79" xfId="0" applyNumberFormat="1" applyFont="1" applyFill="1" applyBorder="1" applyAlignment="1">
      <alignment horizontal="center" vertical="top" wrapText="1"/>
    </xf>
    <xf numFmtId="0" fontId="5" fillId="0" borderId="0" xfId="0" applyFont="1" applyAlignment="1">
      <alignment horizontal="left" vertical="center" wrapText="1"/>
    </xf>
    <xf numFmtId="2" fontId="5" fillId="0" borderId="20" xfId="0" applyNumberFormat="1" applyFont="1" applyBorder="1" applyAlignment="1">
      <alignment horizontal="center" vertical="center"/>
    </xf>
    <xf numFmtId="2" fontId="5" fillId="0" borderId="21" xfId="0" applyNumberFormat="1" applyFont="1" applyBorder="1" applyAlignment="1">
      <alignment horizontal="center" vertical="center"/>
    </xf>
    <xf numFmtId="2" fontId="33" fillId="0" borderId="19" xfId="5" applyNumberFormat="1" applyFont="1" applyBorder="1" applyAlignment="1">
      <alignment horizontal="center" vertical="center"/>
    </xf>
    <xf numFmtId="2" fontId="33" fillId="0" borderId="1" xfId="5" applyNumberFormat="1" applyFont="1" applyBorder="1" applyAlignment="1">
      <alignment horizontal="center" vertical="center"/>
    </xf>
    <xf numFmtId="2" fontId="33" fillId="0" borderId="26" xfId="5" applyNumberFormat="1" applyFont="1" applyBorder="1" applyAlignment="1">
      <alignment horizontal="center" vertical="center"/>
    </xf>
    <xf numFmtId="2" fontId="5" fillId="0" borderId="32" xfId="0" applyNumberFormat="1" applyFont="1" applyBorder="1" applyAlignment="1">
      <alignment horizontal="center" vertical="center"/>
    </xf>
    <xf numFmtId="2" fontId="5" fillId="0" borderId="33" xfId="0" applyNumberFormat="1" applyFont="1" applyBorder="1" applyAlignment="1">
      <alignment horizontal="center" vertical="center"/>
    </xf>
    <xf numFmtId="2" fontId="5" fillId="45" borderId="33" xfId="0" applyNumberFormat="1" applyFont="1" applyFill="1" applyBorder="1" applyAlignment="1">
      <alignment horizontal="center" vertical="center"/>
    </xf>
    <xf numFmtId="2" fontId="5" fillId="0" borderId="4" xfId="0" applyNumberFormat="1" applyFont="1" applyBorder="1" applyAlignment="1">
      <alignment horizontal="center" vertical="center"/>
    </xf>
    <xf numFmtId="2" fontId="5" fillId="0" borderId="1" xfId="0" applyNumberFormat="1" applyFont="1" applyBorder="1" applyAlignment="1">
      <alignment horizontal="center" vertical="center"/>
    </xf>
    <xf numFmtId="2" fontId="5" fillId="0" borderId="3" xfId="0" applyNumberFormat="1" applyFont="1" applyBorder="1" applyAlignment="1">
      <alignment horizontal="center" vertical="center"/>
    </xf>
    <xf numFmtId="0" fontId="33" fillId="0" borderId="0" xfId="0" applyFont="1" applyAlignment="1" applyProtection="1">
      <alignment horizontal="left" vertical="top" wrapText="1"/>
      <protection locked="0"/>
    </xf>
    <xf numFmtId="0" fontId="34" fillId="0" borderId="0" xfId="0" applyFont="1" applyAlignment="1">
      <alignment horizontal="center" vertical="top" wrapText="1"/>
    </xf>
    <xf numFmtId="2" fontId="45" fillId="0" borderId="0" xfId="0" applyNumberFormat="1" applyFont="1" applyAlignment="1">
      <alignment horizontal="center" vertical="center"/>
    </xf>
    <xf numFmtId="2" fontId="46" fillId="0" borderId="0" xfId="0" applyNumberFormat="1" applyFont="1" applyAlignment="1">
      <alignment horizontal="center" vertical="center"/>
    </xf>
    <xf numFmtId="0" fontId="33" fillId="0" borderId="0" xfId="0" applyFont="1" applyAlignment="1">
      <alignment horizontal="left" vertical="top"/>
    </xf>
    <xf numFmtId="0" fontId="26" fillId="0" borderId="52" xfId="0" applyFont="1" applyBorder="1" applyAlignment="1">
      <alignment vertical="center"/>
    </xf>
    <xf numFmtId="0" fontId="26" fillId="0" borderId="40" xfId="0" applyFont="1" applyBorder="1" applyAlignment="1">
      <alignment vertical="center"/>
    </xf>
    <xf numFmtId="0" fontId="5" fillId="44" borderId="60" xfId="0" applyFont="1" applyFill="1" applyBorder="1" applyAlignment="1">
      <alignment horizontal="center" vertical="center" wrapText="1"/>
    </xf>
    <xf numFmtId="0" fontId="5" fillId="0" borderId="0" xfId="0" applyFont="1" applyAlignment="1">
      <alignment horizontal="center" vertical="center" wrapText="1"/>
    </xf>
    <xf numFmtId="0" fontId="33" fillId="0" borderId="0" xfId="0" applyFont="1" applyAlignment="1">
      <alignment vertical="center"/>
    </xf>
    <xf numFmtId="0" fontId="4" fillId="0" borderId="0" xfId="0" applyFont="1" applyAlignment="1">
      <alignment vertical="center"/>
    </xf>
    <xf numFmtId="0" fontId="4" fillId="0" borderId="35" xfId="0" applyFont="1" applyBorder="1" applyAlignment="1">
      <alignment vertical="center"/>
    </xf>
    <xf numFmtId="0" fontId="4" fillId="0" borderId="34" xfId="0" applyFont="1" applyBorder="1" applyAlignment="1">
      <alignment vertical="center"/>
    </xf>
    <xf numFmtId="0" fontId="4" fillId="0" borderId="68" xfId="0" applyFont="1" applyBorder="1" applyAlignment="1">
      <alignment vertical="center"/>
    </xf>
    <xf numFmtId="0" fontId="4" fillId="0" borderId="39" xfId="0" applyFont="1" applyBorder="1" applyAlignment="1">
      <alignment vertical="center" wrapText="1"/>
    </xf>
    <xf numFmtId="0" fontId="4" fillId="0" borderId="34" xfId="0" applyFont="1" applyBorder="1" applyAlignment="1">
      <alignment vertical="center" wrapText="1"/>
    </xf>
    <xf numFmtId="0" fontId="4" fillId="0" borderId="36" xfId="0" applyFont="1" applyBorder="1" applyAlignment="1">
      <alignment vertical="center" wrapText="1"/>
    </xf>
    <xf numFmtId="1" fontId="22" fillId="0" borderId="45" xfId="0" applyNumberFormat="1" applyFont="1" applyBorder="1" applyAlignment="1" applyProtection="1">
      <alignment horizontal="center" vertical="top"/>
      <protection locked="0"/>
    </xf>
    <xf numFmtId="1" fontId="22" fillId="0" borderId="20" xfId="0" applyNumberFormat="1" applyFont="1" applyBorder="1" applyAlignment="1" applyProtection="1">
      <alignment horizontal="center" vertical="top" wrapText="1"/>
      <protection locked="0"/>
    </xf>
    <xf numFmtId="1" fontId="22" fillId="0" borderId="21" xfId="0" applyNumberFormat="1" applyFont="1" applyBorder="1" applyAlignment="1" applyProtection="1">
      <alignment horizontal="center" vertical="top" wrapText="1"/>
      <protection locked="0"/>
    </xf>
    <xf numFmtId="1" fontId="22" fillId="0" borderId="41" xfId="0" applyNumberFormat="1" applyFont="1" applyBorder="1" applyAlignment="1" applyProtection="1">
      <alignment horizontal="center" vertical="top" wrapText="1"/>
      <protection locked="0"/>
    </xf>
    <xf numFmtId="0" fontId="5" fillId="10" borderId="60" xfId="0" applyFont="1" applyFill="1" applyBorder="1" applyAlignment="1" applyProtection="1">
      <alignment horizontal="center" vertical="top"/>
      <protection locked="0"/>
    </xf>
    <xf numFmtId="1" fontId="51" fillId="52" borderId="5" xfId="0" applyNumberFormat="1" applyFont="1" applyFill="1" applyBorder="1" applyAlignment="1">
      <alignment horizontal="center" vertical="center"/>
    </xf>
    <xf numFmtId="0" fontId="51" fillId="52" borderId="5" xfId="0" applyFont="1" applyFill="1" applyBorder="1" applyAlignment="1">
      <alignment horizontal="center" vertical="center" wrapText="1"/>
    </xf>
    <xf numFmtId="0" fontId="51" fillId="52" borderId="25" xfId="0" applyFont="1" applyFill="1" applyBorder="1" applyAlignment="1">
      <alignment horizontal="center" vertical="center" wrapText="1"/>
    </xf>
    <xf numFmtId="0" fontId="52" fillId="52" borderId="5" xfId="0" applyFont="1" applyFill="1" applyBorder="1" applyAlignment="1">
      <alignment horizontal="center" vertical="center"/>
    </xf>
    <xf numFmtId="0" fontId="5" fillId="53" borderId="62" xfId="0" applyFont="1" applyFill="1" applyBorder="1" applyAlignment="1">
      <alignment vertical="top" wrapText="1"/>
    </xf>
    <xf numFmtId="0" fontId="33" fillId="53" borderId="40" xfId="0" applyFont="1" applyFill="1" applyBorder="1" applyAlignment="1">
      <alignment vertical="top" wrapText="1"/>
    </xf>
    <xf numFmtId="0" fontId="22" fillId="53" borderId="28" xfId="0" applyFont="1" applyFill="1" applyBorder="1" applyAlignment="1" applyProtection="1">
      <alignment horizontal="center" vertical="top" wrapText="1"/>
      <protection locked="0"/>
    </xf>
    <xf numFmtId="0" fontId="5" fillId="53" borderId="25" xfId="0" applyFont="1" applyFill="1" applyBorder="1" applyAlignment="1">
      <alignment horizontal="left" vertical="top" wrapText="1"/>
    </xf>
    <xf numFmtId="0" fontId="33" fillId="53" borderId="5" xfId="0" applyFont="1" applyFill="1" applyBorder="1" applyAlignment="1">
      <alignment vertical="top" wrapText="1"/>
    </xf>
    <xf numFmtId="1" fontId="22" fillId="0" borderId="31" xfId="0" applyNumberFormat="1" applyFont="1" applyBorder="1" applyAlignment="1" applyProtection="1">
      <alignment horizontal="center" vertical="top" wrapText="1"/>
      <protection locked="0"/>
    </xf>
    <xf numFmtId="0" fontId="22" fillId="0" borderId="31" xfId="0" applyFont="1" applyBorder="1" applyAlignment="1" applyProtection="1">
      <alignment horizontal="center" vertical="top"/>
      <protection locked="0"/>
    </xf>
    <xf numFmtId="1" fontId="22" fillId="0" borderId="31" xfId="0" applyNumberFormat="1" applyFont="1" applyBorder="1" applyAlignment="1" applyProtection="1">
      <alignment horizontal="center" vertical="top"/>
      <protection locked="0"/>
    </xf>
    <xf numFmtId="0" fontId="22" fillId="0" borderId="31" xfId="0" applyFont="1" applyBorder="1" applyAlignment="1" applyProtection="1">
      <alignment horizontal="center" vertical="top" wrapText="1"/>
      <protection locked="0"/>
    </xf>
    <xf numFmtId="0" fontId="22" fillId="0" borderId="32" xfId="0" applyFont="1" applyBorder="1" applyAlignment="1" applyProtection="1">
      <alignment horizontal="center" vertical="top"/>
      <protection locked="0"/>
    </xf>
    <xf numFmtId="0" fontId="22" fillId="2" borderId="46" xfId="0" applyFont="1" applyFill="1" applyBorder="1" applyAlignment="1" applyProtection="1">
      <alignment horizontal="center" vertical="top" wrapText="1"/>
      <protection locked="0"/>
    </xf>
    <xf numFmtId="49" fontId="5" fillId="0" borderId="5" xfId="0" applyNumberFormat="1" applyFont="1" applyBorder="1" applyAlignment="1">
      <alignment vertical="top" wrapText="1"/>
    </xf>
    <xf numFmtId="0" fontId="5" fillId="0" borderId="5" xfId="2" applyFont="1" applyBorder="1" applyAlignment="1">
      <alignment vertical="top" wrapText="1"/>
    </xf>
    <xf numFmtId="0" fontId="5" fillId="4" borderId="5" xfId="0" applyFont="1" applyFill="1" applyBorder="1" applyAlignment="1">
      <alignment vertical="top" wrapText="1"/>
    </xf>
    <xf numFmtId="1" fontId="22" fillId="0" borderId="26" xfId="0" applyNumberFormat="1" applyFont="1" applyBorder="1" applyAlignment="1" applyProtection="1">
      <alignment horizontal="center" vertical="top" wrapText="1"/>
      <protection locked="0"/>
    </xf>
    <xf numFmtId="0" fontId="5" fillId="4" borderId="24" xfId="0" applyFont="1" applyFill="1" applyBorder="1" applyAlignment="1">
      <alignment vertical="top" wrapText="1"/>
    </xf>
    <xf numFmtId="0" fontId="5" fillId="54" borderId="62" xfId="0" applyFont="1" applyFill="1" applyBorder="1" applyAlignment="1">
      <alignment horizontal="left" vertical="top" wrapText="1"/>
    </xf>
    <xf numFmtId="0" fontId="5" fillId="0" borderId="34" xfId="4" applyFont="1" applyFill="1" applyBorder="1" applyAlignment="1" applyProtection="1">
      <alignment vertical="center" wrapText="1"/>
    </xf>
    <xf numFmtId="49" fontId="5" fillId="48" borderId="32" xfId="2" applyNumberFormat="1" applyFont="1" applyFill="1" applyBorder="1" applyAlignment="1">
      <alignment horizontal="center" vertical="top" wrapText="1"/>
    </xf>
    <xf numFmtId="49" fontId="5" fillId="48" borderId="33" xfId="2" applyNumberFormat="1" applyFont="1" applyFill="1" applyBorder="1" applyAlignment="1">
      <alignment horizontal="center" vertical="top" wrapText="1"/>
    </xf>
    <xf numFmtId="0" fontId="26" fillId="50" borderId="5" xfId="2" applyFont="1" applyFill="1" applyBorder="1" applyAlignment="1">
      <alignment horizontal="center" vertical="center" wrapText="1"/>
    </xf>
    <xf numFmtId="0" fontId="51" fillId="19" borderId="52" xfId="0" applyFont="1" applyFill="1" applyBorder="1" applyAlignment="1">
      <alignment horizontal="center" vertical="center" wrapText="1"/>
    </xf>
    <xf numFmtId="0" fontId="51" fillId="19" borderId="40" xfId="0" applyFont="1" applyFill="1" applyBorder="1" applyAlignment="1">
      <alignment horizontal="center" vertical="center" wrapText="1"/>
    </xf>
    <xf numFmtId="49" fontId="51" fillId="3" borderId="60" xfId="0" applyNumberFormat="1" applyFont="1" applyFill="1" applyBorder="1" applyAlignment="1">
      <alignment horizontal="center" vertical="center" wrapText="1"/>
    </xf>
    <xf numFmtId="1" fontId="51" fillId="6" borderId="14" xfId="0" applyNumberFormat="1" applyFont="1" applyFill="1" applyBorder="1" applyAlignment="1" applyProtection="1">
      <alignment horizontal="center" vertical="center" wrapText="1"/>
      <protection hidden="1"/>
    </xf>
    <xf numFmtId="0" fontId="51" fillId="6" borderId="24" xfId="0" applyFont="1" applyFill="1" applyBorder="1" applyAlignment="1" applyProtection="1">
      <alignment horizontal="center" vertical="center" wrapText="1"/>
      <protection hidden="1"/>
    </xf>
    <xf numFmtId="0" fontId="5" fillId="0" borderId="13" xfId="0" applyFont="1" applyBorder="1" applyAlignment="1">
      <alignment horizontal="left" vertical="center" wrapText="1"/>
    </xf>
    <xf numFmtId="0" fontId="5" fillId="0" borderId="77" xfId="0" applyFont="1" applyBorder="1" applyAlignment="1">
      <alignment horizontal="left" vertical="center" wrapText="1"/>
    </xf>
    <xf numFmtId="0" fontId="5" fillId="0" borderId="17" xfId="0" applyFont="1" applyBorder="1" applyAlignment="1">
      <alignment horizontal="left" vertical="center" wrapText="1"/>
    </xf>
    <xf numFmtId="2" fontId="5" fillId="2" borderId="12" xfId="0" applyNumberFormat="1" applyFont="1" applyFill="1" applyBorder="1" applyAlignment="1" applyProtection="1">
      <alignment horizontal="center" vertical="top" wrapText="1"/>
      <protection hidden="1"/>
    </xf>
    <xf numFmtId="0" fontId="5" fillId="27" borderId="5" xfId="0" applyFont="1" applyFill="1" applyBorder="1" applyAlignment="1">
      <alignment horizontal="left" vertical="top" wrapText="1"/>
    </xf>
    <xf numFmtId="1" fontId="5" fillId="2" borderId="48" xfId="0" applyNumberFormat="1" applyFont="1" applyFill="1" applyBorder="1" applyAlignment="1">
      <alignment horizontal="center" vertical="top" wrapText="1"/>
    </xf>
    <xf numFmtId="0" fontId="51" fillId="14" borderId="42" xfId="0" applyFont="1" applyFill="1" applyBorder="1" applyAlignment="1">
      <alignment horizontal="center" vertical="center" wrapText="1"/>
    </xf>
    <xf numFmtId="2" fontId="20" fillId="2" borderId="67" xfId="0" applyNumberFormat="1" applyFont="1" applyFill="1" applyBorder="1" applyAlignment="1">
      <alignment horizontal="center" vertical="top" wrapText="1"/>
    </xf>
    <xf numFmtId="0" fontId="20" fillId="0" borderId="5" xfId="0" applyFont="1" applyBorder="1" applyAlignment="1">
      <alignment vertical="top" wrapText="1"/>
    </xf>
    <xf numFmtId="0" fontId="20" fillId="0" borderId="26" xfId="0" applyFont="1" applyBorder="1" applyAlignment="1">
      <alignment horizontal="center" vertical="top" wrapText="1"/>
    </xf>
    <xf numFmtId="2" fontId="20" fillId="2" borderId="48" xfId="0" applyNumberFormat="1" applyFont="1" applyFill="1" applyBorder="1" applyAlignment="1">
      <alignment horizontal="center" vertical="top" wrapText="1"/>
    </xf>
    <xf numFmtId="0" fontId="20" fillId="0" borderId="3" xfId="0" applyFont="1" applyBorder="1" applyAlignment="1">
      <alignment horizontal="center" vertical="top" wrapText="1"/>
    </xf>
    <xf numFmtId="1" fontId="20" fillId="0" borderId="3" xfId="0" applyNumberFormat="1" applyFont="1" applyBorder="1" applyAlignment="1">
      <alignment horizontal="center" vertical="top" wrapText="1"/>
    </xf>
    <xf numFmtId="0" fontId="51" fillId="6" borderId="52" xfId="0" applyFont="1" applyFill="1" applyBorder="1" applyAlignment="1">
      <alignment horizontal="center" vertical="center" wrapText="1"/>
    </xf>
    <xf numFmtId="1" fontId="20" fillId="0" borderId="7" xfId="0" applyNumberFormat="1" applyFont="1" applyBorder="1" applyAlignment="1">
      <alignment horizontal="center" vertical="top" wrapText="1"/>
    </xf>
    <xf numFmtId="0" fontId="5" fillId="0" borderId="7" xfId="0" applyFont="1" applyBorder="1" applyAlignment="1">
      <alignment horizontal="center" vertical="top" wrapText="1"/>
    </xf>
    <xf numFmtId="2" fontId="5" fillId="0" borderId="0" xfId="0" applyNumberFormat="1" applyFont="1">
      <alignment vertical="top"/>
    </xf>
    <xf numFmtId="0" fontId="19" fillId="0" borderId="62" xfId="0" applyFont="1" applyBorder="1">
      <alignment vertical="top"/>
    </xf>
    <xf numFmtId="0" fontId="4" fillId="0" borderId="18" xfId="0" applyFont="1" applyBorder="1" applyAlignment="1" applyProtection="1">
      <alignment horizontal="center" vertical="top"/>
      <protection locked="0"/>
    </xf>
    <xf numFmtId="2" fontId="33" fillId="0" borderId="0" xfId="0" applyNumberFormat="1" applyFont="1">
      <alignment vertical="top"/>
    </xf>
    <xf numFmtId="2" fontId="33" fillId="0" borderId="0" xfId="0" applyNumberFormat="1" applyFont="1" applyAlignment="1">
      <alignment vertical="center"/>
    </xf>
    <xf numFmtId="0" fontId="58" fillId="0" borderId="0" xfId="0" applyFont="1">
      <alignment vertical="top"/>
    </xf>
    <xf numFmtId="2" fontId="58" fillId="0" borderId="0" xfId="0" applyNumberFormat="1" applyFont="1" applyAlignment="1"/>
    <xf numFmtId="0" fontId="58" fillId="0" borderId="0" xfId="0" applyFont="1" applyAlignment="1">
      <alignment vertical="center"/>
    </xf>
    <xf numFmtId="2" fontId="58" fillId="0" borderId="0" xfId="0" applyNumberFormat="1" applyFont="1" applyAlignment="1">
      <alignment wrapText="1"/>
    </xf>
    <xf numFmtId="2" fontId="58" fillId="0" borderId="0" xfId="0" applyNumberFormat="1" applyFont="1" applyAlignment="1">
      <alignment vertical="center"/>
    </xf>
    <xf numFmtId="2" fontId="33" fillId="0" borderId="49" xfId="5" applyNumberFormat="1" applyFont="1" applyBorder="1" applyAlignment="1">
      <alignment horizontal="center" vertical="center"/>
    </xf>
    <xf numFmtId="2" fontId="33" fillId="0" borderId="21" xfId="0" applyNumberFormat="1" applyFont="1" applyBorder="1" applyAlignment="1">
      <alignment horizontal="center" vertical="center"/>
    </xf>
    <xf numFmtId="2" fontId="33" fillId="0" borderId="41" xfId="0" applyNumberFormat="1" applyFont="1" applyBorder="1" applyAlignment="1">
      <alignment horizontal="center" vertical="center"/>
    </xf>
    <xf numFmtId="2" fontId="33" fillId="12" borderId="0" xfId="0" applyNumberFormat="1" applyFont="1" applyFill="1">
      <alignment vertical="top"/>
    </xf>
    <xf numFmtId="0" fontId="5" fillId="0" borderId="10" xfId="4" applyFont="1" applyFill="1" applyBorder="1" applyAlignment="1" applyProtection="1">
      <alignment vertical="top" wrapText="1"/>
    </xf>
    <xf numFmtId="0" fontId="22" fillId="38" borderId="5" xfId="0" applyFont="1" applyFill="1" applyBorder="1" applyAlignment="1">
      <alignment vertical="top" wrapText="1"/>
    </xf>
    <xf numFmtId="0" fontId="6" fillId="0" borderId="5" xfId="0" applyFont="1" applyBorder="1" applyAlignment="1">
      <alignment vertical="top" wrapText="1"/>
    </xf>
    <xf numFmtId="0" fontId="61" fillId="56" borderId="5" xfId="0" applyFont="1" applyFill="1" applyBorder="1" applyAlignment="1">
      <alignment horizontal="left" vertical="top" wrapText="1"/>
    </xf>
    <xf numFmtId="0" fontId="5" fillId="0" borderId="54" xfId="0" quotePrefix="1" applyFont="1" applyBorder="1" applyAlignment="1">
      <alignment vertical="top" wrapText="1"/>
    </xf>
    <xf numFmtId="0" fontId="22" fillId="57" borderId="5" xfId="0" applyFont="1" applyFill="1" applyBorder="1" applyAlignment="1">
      <alignment vertical="top" wrapText="1"/>
    </xf>
    <xf numFmtId="0" fontId="51" fillId="57" borderId="5" xfId="0" applyFont="1" applyFill="1" applyBorder="1" applyAlignment="1">
      <alignment horizontal="center" vertical="center" wrapText="1"/>
    </xf>
    <xf numFmtId="0" fontId="5" fillId="38" borderId="5" xfId="0" applyFont="1" applyFill="1" applyBorder="1" applyAlignment="1">
      <alignment vertical="top" wrapText="1"/>
    </xf>
    <xf numFmtId="0" fontId="5" fillId="57" borderId="5" xfId="0" applyFont="1" applyFill="1" applyBorder="1" applyAlignment="1">
      <alignment vertical="top" wrapText="1"/>
    </xf>
    <xf numFmtId="0" fontId="33" fillId="56" borderId="5" xfId="0" applyFont="1" applyFill="1" applyBorder="1" applyAlignment="1">
      <alignment horizontal="left" vertical="top" wrapText="1"/>
    </xf>
    <xf numFmtId="0" fontId="34" fillId="0" borderId="13" xfId="0" applyFont="1" applyBorder="1" applyAlignment="1">
      <alignment horizontal="left" vertical="center" wrapText="1"/>
    </xf>
    <xf numFmtId="0" fontId="4" fillId="0" borderId="16" xfId="0" applyFont="1" applyBorder="1" applyAlignment="1">
      <alignment vertical="center"/>
    </xf>
    <xf numFmtId="2" fontId="5" fillId="0" borderId="31" xfId="0" applyNumberFormat="1" applyFont="1" applyBorder="1" applyAlignment="1">
      <alignment horizontal="center" vertical="center"/>
    </xf>
    <xf numFmtId="0" fontId="4" fillId="0" borderId="81" xfId="0" applyFont="1" applyBorder="1" applyAlignment="1">
      <alignment vertical="center"/>
    </xf>
    <xf numFmtId="2" fontId="5" fillId="0" borderId="82" xfId="0" applyNumberFormat="1" applyFont="1" applyBorder="1" applyAlignment="1">
      <alignment horizontal="center" vertical="center"/>
    </xf>
    <xf numFmtId="2" fontId="5" fillId="0" borderId="83" xfId="0" applyNumberFormat="1" applyFont="1" applyBorder="1" applyAlignment="1">
      <alignment horizontal="center" vertical="center"/>
    </xf>
    <xf numFmtId="2" fontId="5" fillId="0" borderId="43" xfId="0" applyNumberFormat="1" applyFont="1" applyBorder="1" applyAlignment="1">
      <alignment horizontal="center" vertical="center"/>
    </xf>
    <xf numFmtId="2" fontId="5" fillId="0" borderId="84" xfId="0" applyNumberFormat="1" applyFont="1" applyBorder="1" applyAlignment="1">
      <alignment horizontal="center" vertical="center"/>
    </xf>
    <xf numFmtId="2" fontId="45" fillId="44" borderId="84" xfId="0" applyNumberFormat="1" applyFont="1" applyFill="1" applyBorder="1" applyAlignment="1">
      <alignment horizontal="center" vertical="center"/>
    </xf>
    <xf numFmtId="2" fontId="5" fillId="0" borderId="12" xfId="0" applyNumberFormat="1" applyFont="1" applyBorder="1" applyAlignment="1">
      <alignment horizontal="center" vertical="center"/>
    </xf>
    <xf numFmtId="0" fontId="4" fillId="0" borderId="86" xfId="0" applyFont="1" applyBorder="1" applyAlignment="1">
      <alignment vertical="center"/>
    </xf>
    <xf numFmtId="2" fontId="5" fillId="0" borderId="85" xfId="0" applyNumberFormat="1" applyFont="1" applyBorder="1" applyAlignment="1">
      <alignment horizontal="center" vertical="center"/>
    </xf>
    <xf numFmtId="2" fontId="5" fillId="0" borderId="87" xfId="0" applyNumberFormat="1" applyFont="1" applyBorder="1" applyAlignment="1">
      <alignment horizontal="center" vertical="center"/>
    </xf>
    <xf numFmtId="2" fontId="5" fillId="0" borderId="88" xfId="0" applyNumberFormat="1" applyFont="1" applyBorder="1" applyAlignment="1">
      <alignment horizontal="center" vertical="center"/>
    </xf>
    <xf numFmtId="2" fontId="5" fillId="0" borderId="89" xfId="0" applyNumberFormat="1" applyFont="1" applyBorder="1" applyAlignment="1">
      <alignment horizontal="center" vertical="center"/>
    </xf>
    <xf numFmtId="0" fontId="4" fillId="0" borderId="91" xfId="0" applyFont="1" applyBorder="1" applyAlignment="1">
      <alignment vertical="center"/>
    </xf>
    <xf numFmtId="2" fontId="5" fillId="0" borderId="92" xfId="0" applyNumberFormat="1" applyFont="1" applyBorder="1" applyAlignment="1">
      <alignment horizontal="center" vertical="center"/>
    </xf>
    <xf numFmtId="2" fontId="5" fillId="0" borderId="93" xfId="0" applyNumberFormat="1" applyFont="1" applyBorder="1" applyAlignment="1">
      <alignment horizontal="center" vertical="center"/>
    </xf>
    <xf numFmtId="2" fontId="5" fillId="0" borderId="94" xfId="0" applyNumberFormat="1" applyFont="1" applyBorder="1" applyAlignment="1">
      <alignment horizontal="center" vertical="center"/>
    </xf>
    <xf numFmtId="2" fontId="5" fillId="0" borderId="95" xfId="0" applyNumberFormat="1" applyFont="1" applyBorder="1" applyAlignment="1">
      <alignment horizontal="center" vertical="center"/>
    </xf>
    <xf numFmtId="2" fontId="45" fillId="44" borderId="96" xfId="0" applyNumberFormat="1" applyFont="1" applyFill="1" applyBorder="1" applyAlignment="1">
      <alignment horizontal="center" vertical="center"/>
    </xf>
    <xf numFmtId="2" fontId="5" fillId="45" borderId="45" xfId="0" applyNumberFormat="1" applyFont="1" applyFill="1" applyBorder="1" applyAlignment="1">
      <alignment horizontal="center" vertical="center"/>
    </xf>
    <xf numFmtId="0" fontId="26" fillId="0" borderId="35" xfId="0" applyFont="1" applyBorder="1" applyAlignment="1">
      <alignment vertical="center"/>
    </xf>
    <xf numFmtId="2" fontId="46" fillId="0" borderId="20" xfId="0" applyNumberFormat="1" applyFont="1" applyBorder="1" applyAlignment="1">
      <alignment horizontal="center" vertical="center"/>
    </xf>
    <xf numFmtId="2" fontId="45" fillId="0" borderId="21" xfId="0" applyNumberFormat="1" applyFont="1" applyBorder="1" applyAlignment="1">
      <alignment horizontal="center" vertical="center"/>
    </xf>
    <xf numFmtId="2" fontId="45" fillId="0" borderId="10" xfId="0" applyNumberFormat="1" applyFont="1" applyBorder="1" applyAlignment="1">
      <alignment horizontal="center" vertical="center"/>
    </xf>
    <xf numFmtId="2" fontId="45" fillId="0" borderId="22" xfId="0" applyNumberFormat="1" applyFont="1" applyBorder="1" applyAlignment="1">
      <alignment horizontal="center" vertical="center"/>
    </xf>
    <xf numFmtId="2" fontId="45" fillId="44" borderId="2" xfId="0" applyNumberFormat="1" applyFont="1" applyFill="1" applyBorder="1" applyAlignment="1">
      <alignment horizontal="center" vertical="center"/>
    </xf>
    <xf numFmtId="2" fontId="45" fillId="44" borderId="9" xfId="0" applyNumberFormat="1" applyFont="1" applyFill="1" applyBorder="1" applyAlignment="1">
      <alignment horizontal="center" vertical="center"/>
    </xf>
    <xf numFmtId="2" fontId="5" fillId="0" borderId="75" xfId="0" applyNumberFormat="1" applyFont="1" applyBorder="1" applyAlignment="1">
      <alignment horizontal="center" vertical="center"/>
    </xf>
    <xf numFmtId="0" fontId="4" fillId="0" borderId="77" xfId="0" applyFont="1" applyBorder="1" applyAlignment="1">
      <alignment vertical="center"/>
    </xf>
    <xf numFmtId="0" fontId="33" fillId="0" borderId="41" xfId="0" applyFont="1" applyBorder="1">
      <alignment vertical="top"/>
    </xf>
    <xf numFmtId="2" fontId="46" fillId="10" borderId="97" xfId="0" applyNumberFormat="1" applyFont="1" applyFill="1" applyBorder="1" applyAlignment="1">
      <alignment horizontal="center" vertical="center"/>
    </xf>
    <xf numFmtId="2" fontId="46" fillId="0" borderId="22" xfId="0" applyNumberFormat="1" applyFont="1" applyBorder="1" applyAlignment="1">
      <alignment horizontal="center" vertical="center"/>
    </xf>
    <xf numFmtId="2" fontId="5" fillId="45" borderId="34" xfId="0" applyNumberFormat="1" applyFont="1" applyFill="1" applyBorder="1" applyAlignment="1">
      <alignment horizontal="center" vertical="center"/>
    </xf>
    <xf numFmtId="2" fontId="5" fillId="45" borderId="21" xfId="0" applyNumberFormat="1" applyFont="1" applyFill="1" applyBorder="1" applyAlignment="1">
      <alignment horizontal="center" vertical="center"/>
    </xf>
    <xf numFmtId="2" fontId="5" fillId="45" borderId="0" xfId="0" applyNumberFormat="1" applyFont="1" applyFill="1" applyAlignment="1">
      <alignment horizontal="center" vertical="center"/>
    </xf>
    <xf numFmtId="2" fontId="5" fillId="45" borderId="86" xfId="0" applyNumberFormat="1" applyFont="1" applyFill="1" applyBorder="1" applyAlignment="1">
      <alignment horizontal="center" vertical="center"/>
    </xf>
    <xf numFmtId="2" fontId="5" fillId="45" borderId="90" xfId="0" applyNumberFormat="1" applyFont="1" applyFill="1" applyBorder="1" applyAlignment="1">
      <alignment horizontal="center" vertical="center"/>
    </xf>
    <xf numFmtId="2" fontId="5" fillId="45" borderId="100" xfId="0" applyNumberFormat="1" applyFont="1" applyFill="1" applyBorder="1" applyAlignment="1">
      <alignment horizontal="center" vertical="center"/>
    </xf>
    <xf numFmtId="2" fontId="5" fillId="45" borderId="99" xfId="0" applyNumberFormat="1" applyFont="1" applyFill="1" applyBorder="1" applyAlignment="1">
      <alignment horizontal="center" vertical="center"/>
    </xf>
    <xf numFmtId="2" fontId="45" fillId="44" borderId="95" xfId="0" applyNumberFormat="1" applyFont="1" applyFill="1" applyBorder="1" applyAlignment="1">
      <alignment horizontal="center" vertical="center"/>
    </xf>
    <xf numFmtId="2" fontId="45" fillId="44" borderId="12" xfId="0" applyNumberFormat="1" applyFont="1" applyFill="1" applyBorder="1" applyAlignment="1">
      <alignment horizontal="center" vertical="center"/>
    </xf>
    <xf numFmtId="2" fontId="45" fillId="44" borderId="6" xfId="0" applyNumberFormat="1" applyFont="1" applyFill="1" applyBorder="1" applyAlignment="1">
      <alignment horizontal="center" vertical="center"/>
    </xf>
    <xf numFmtId="2" fontId="45" fillId="44" borderId="89" xfId="0" applyNumberFormat="1" applyFont="1" applyFill="1" applyBorder="1" applyAlignment="1">
      <alignment horizontal="center" vertical="center"/>
    </xf>
    <xf numFmtId="2" fontId="45" fillId="44" borderId="8" xfId="0" applyNumberFormat="1" applyFont="1" applyFill="1" applyBorder="1" applyAlignment="1">
      <alignment horizontal="center" vertical="center"/>
    </xf>
    <xf numFmtId="2" fontId="45" fillId="44" borderId="98" xfId="0" applyNumberFormat="1" applyFont="1" applyFill="1" applyBorder="1" applyAlignment="1">
      <alignment horizontal="center" vertical="center"/>
    </xf>
    <xf numFmtId="2" fontId="46" fillId="45" borderId="12" xfId="0" applyNumberFormat="1" applyFont="1" applyFill="1" applyBorder="1" applyAlignment="1">
      <alignment horizontal="center" vertical="center"/>
    </xf>
    <xf numFmtId="2" fontId="33" fillId="0" borderId="31" xfId="5" applyNumberFormat="1" applyFont="1" applyBorder="1" applyAlignment="1">
      <alignment horizontal="center" vertical="center"/>
    </xf>
    <xf numFmtId="2" fontId="33" fillId="0" borderId="38" xfId="5" applyNumberFormat="1" applyFont="1" applyBorder="1" applyAlignment="1">
      <alignment horizontal="center" vertical="center"/>
    </xf>
    <xf numFmtId="0" fontId="57" fillId="0" borderId="80" xfId="0" applyFont="1" applyBorder="1" applyAlignment="1">
      <alignment vertical="top" wrapText="1"/>
    </xf>
    <xf numFmtId="0" fontId="57" fillId="0" borderId="0" xfId="0" applyFont="1" applyAlignment="1">
      <alignment vertical="top" wrapText="1"/>
    </xf>
    <xf numFmtId="0" fontId="57" fillId="0" borderId="62" xfId="0" applyFont="1" applyBorder="1" applyAlignment="1">
      <alignment vertical="top" wrapText="1"/>
    </xf>
    <xf numFmtId="0" fontId="34" fillId="0" borderId="62" xfId="0" applyFont="1" applyBorder="1" applyAlignment="1">
      <alignment vertical="center" wrapText="1"/>
    </xf>
    <xf numFmtId="0" fontId="38" fillId="0" borderId="29" xfId="0" applyFont="1" applyBorder="1" applyAlignment="1">
      <alignment vertical="center" wrapText="1"/>
    </xf>
    <xf numFmtId="0" fontId="38" fillId="0" borderId="51" xfId="0" applyFont="1" applyBorder="1" applyAlignment="1">
      <alignment vertical="center" wrapText="1"/>
    </xf>
    <xf numFmtId="0" fontId="4" fillId="0" borderId="21" xfId="0" applyFont="1" applyBorder="1" applyAlignment="1">
      <alignment vertical="center"/>
    </xf>
    <xf numFmtId="0" fontId="34" fillId="0" borderId="80" xfId="0" applyFont="1" applyBorder="1" applyAlignment="1">
      <alignment horizontal="left" vertical="center" wrapText="1"/>
    </xf>
    <xf numFmtId="2" fontId="5" fillId="0" borderId="34" xfId="0" applyNumberFormat="1" applyFont="1" applyBorder="1" applyAlignment="1">
      <alignment horizontal="center" vertical="center"/>
    </xf>
    <xf numFmtId="0" fontId="6" fillId="14" borderId="59" xfId="0" applyFont="1" applyFill="1" applyBorder="1" applyAlignment="1">
      <alignment horizontal="center" vertical="center" wrapText="1"/>
    </xf>
    <xf numFmtId="0" fontId="5" fillId="14" borderId="42" xfId="0" applyFont="1" applyFill="1" applyBorder="1" applyAlignment="1">
      <alignment horizontal="center" vertical="center" wrapText="1"/>
    </xf>
    <xf numFmtId="0" fontId="5" fillId="14" borderId="60" xfId="0" applyFont="1" applyFill="1" applyBorder="1" applyAlignment="1">
      <alignment horizontal="center" vertical="center" wrapText="1"/>
    </xf>
    <xf numFmtId="0" fontId="6" fillId="30" borderId="70" xfId="0" applyFont="1" applyFill="1" applyBorder="1" applyAlignment="1">
      <alignment horizontal="center" vertical="center" wrapText="1"/>
    </xf>
    <xf numFmtId="0" fontId="5" fillId="30" borderId="70" xfId="0" applyFont="1" applyFill="1" applyBorder="1" applyAlignment="1">
      <alignment horizontal="center" vertical="center" wrapText="1"/>
    </xf>
    <xf numFmtId="0" fontId="5" fillId="30" borderId="60" xfId="0" applyFont="1" applyFill="1" applyBorder="1" applyAlignment="1">
      <alignment horizontal="center" vertical="center" wrapText="1"/>
    </xf>
    <xf numFmtId="0" fontId="5" fillId="30" borderId="63" xfId="0" applyFont="1" applyFill="1" applyBorder="1" applyAlignment="1">
      <alignment horizontal="center" vertical="center" wrapText="1"/>
    </xf>
    <xf numFmtId="0" fontId="5" fillId="30" borderId="58" xfId="0" applyFont="1" applyFill="1" applyBorder="1" applyAlignment="1">
      <alignment horizontal="center" vertical="center" wrapText="1"/>
    </xf>
    <xf numFmtId="0" fontId="5" fillId="14" borderId="78" xfId="0" applyFont="1" applyFill="1" applyBorder="1" applyAlignment="1">
      <alignment horizontal="center" vertical="center" wrapText="1"/>
    </xf>
    <xf numFmtId="0" fontId="5" fillId="14" borderId="63" xfId="0" applyFont="1" applyFill="1" applyBorder="1" applyAlignment="1">
      <alignment horizontal="center" vertical="center" wrapText="1"/>
    </xf>
    <xf numFmtId="2" fontId="47" fillId="0" borderId="0" xfId="0" applyNumberFormat="1" applyFont="1" applyAlignment="1">
      <alignment horizontal="center"/>
    </xf>
    <xf numFmtId="2" fontId="5" fillId="37" borderId="30" xfId="0" applyNumberFormat="1" applyFont="1" applyFill="1" applyBorder="1" applyAlignment="1">
      <alignment horizontal="center" vertical="center"/>
    </xf>
    <xf numFmtId="2" fontId="5" fillId="37" borderId="1" xfId="0" applyNumberFormat="1" applyFont="1" applyFill="1" applyBorder="1" applyAlignment="1">
      <alignment horizontal="center" vertical="center"/>
    </xf>
    <xf numFmtId="2" fontId="5" fillId="37" borderId="31" xfId="0" applyNumberFormat="1" applyFont="1" applyFill="1" applyBorder="1" applyAlignment="1">
      <alignment horizontal="center" vertical="center" wrapText="1"/>
    </xf>
    <xf numFmtId="0" fontId="57" fillId="0" borderId="39" xfId="0" applyFont="1" applyBorder="1" applyAlignment="1">
      <alignment vertical="top" wrapText="1"/>
    </xf>
    <xf numFmtId="0" fontId="57" fillId="0" borderId="34" xfId="0" applyFont="1" applyBorder="1" applyAlignment="1">
      <alignment vertical="top" wrapText="1"/>
    </xf>
    <xf numFmtId="0" fontId="57" fillId="0" borderId="36" xfId="0" applyFont="1" applyBorder="1" applyAlignment="1">
      <alignment vertical="top" wrapText="1"/>
    </xf>
    <xf numFmtId="2" fontId="5" fillId="0" borderId="50" xfId="0" applyNumberFormat="1" applyFont="1" applyBorder="1" applyAlignment="1">
      <alignment horizontal="center" vertical="center"/>
    </xf>
    <xf numFmtId="2" fontId="5" fillId="0" borderId="62" xfId="0" applyNumberFormat="1" applyFont="1" applyBorder="1" applyAlignment="1">
      <alignment horizontal="center" vertical="center"/>
    </xf>
    <xf numFmtId="2" fontId="5" fillId="0" borderId="0" xfId="0" applyNumberFormat="1" applyFont="1" applyAlignment="1">
      <alignment horizontal="center" vertical="center"/>
    </xf>
    <xf numFmtId="2" fontId="5" fillId="0" borderId="2" xfId="0" applyNumberFormat="1" applyFont="1" applyBorder="1" applyAlignment="1">
      <alignment horizontal="center" vertical="center"/>
    </xf>
    <xf numFmtId="2" fontId="5" fillId="0" borderId="0" xfId="0" applyNumberFormat="1" applyFont="1" applyAlignment="1">
      <alignment horizontal="center" vertical="center" wrapText="1"/>
    </xf>
    <xf numFmtId="0" fontId="51" fillId="58" borderId="40" xfId="0" applyFont="1" applyFill="1" applyBorder="1" applyAlignment="1">
      <alignment horizontal="center" vertical="center" wrapText="1"/>
    </xf>
    <xf numFmtId="0" fontId="33" fillId="0" borderId="5" xfId="0" applyFont="1" applyBorder="1" applyAlignment="1">
      <alignment vertical="center" wrapText="1"/>
    </xf>
    <xf numFmtId="0" fontId="6" fillId="0" borderId="28" xfId="0" applyFont="1" applyBorder="1" applyAlignment="1" applyProtection="1">
      <alignment vertical="top" wrapText="1"/>
      <protection locked="0"/>
    </xf>
    <xf numFmtId="2" fontId="46" fillId="0" borderId="1" xfId="0" applyNumberFormat="1" applyFont="1" applyBorder="1" applyAlignment="1">
      <alignment horizontal="center" vertical="center"/>
    </xf>
    <xf numFmtId="2" fontId="46" fillId="45" borderId="1" xfId="0" applyNumberFormat="1" applyFont="1" applyFill="1" applyBorder="1" applyAlignment="1">
      <alignment horizontal="center" vertical="center"/>
    </xf>
    <xf numFmtId="2" fontId="46" fillId="45" borderId="3" xfId="0" applyNumberFormat="1" applyFont="1" applyFill="1" applyBorder="1" applyAlignment="1">
      <alignment horizontal="center" vertical="center"/>
    </xf>
    <xf numFmtId="2" fontId="68" fillId="47" borderId="0" xfId="0" applyNumberFormat="1" applyFont="1" applyFill="1" applyAlignment="1">
      <alignment horizontal="center" vertical="center" wrapText="1"/>
    </xf>
    <xf numFmtId="2" fontId="69" fillId="47" borderId="0" xfId="0" applyNumberFormat="1" applyFont="1" applyFill="1" applyAlignment="1">
      <alignment vertical="center"/>
    </xf>
    <xf numFmtId="2" fontId="69" fillId="47" borderId="0" xfId="0" applyNumberFormat="1" applyFont="1" applyFill="1">
      <alignment vertical="top"/>
    </xf>
    <xf numFmtId="2" fontId="68" fillId="47" borderId="0" xfId="0" applyNumberFormat="1" applyFont="1" applyFill="1" applyAlignment="1">
      <alignment vertical="center" wrapText="1"/>
    </xf>
    <xf numFmtId="2" fontId="68" fillId="47" borderId="0" xfId="0" applyNumberFormat="1" applyFont="1" applyFill="1" applyAlignment="1">
      <alignment wrapText="1"/>
    </xf>
    <xf numFmtId="2" fontId="68" fillId="47" borderId="0" xfId="0" applyNumberFormat="1" applyFont="1" applyFill="1" applyAlignment="1">
      <alignment vertical="center"/>
    </xf>
    <xf numFmtId="2" fontId="68" fillId="47" borderId="0" xfId="0" applyNumberFormat="1" applyFont="1" applyFill="1" applyAlignment="1">
      <alignment horizontal="center"/>
    </xf>
    <xf numFmtId="2" fontId="68" fillId="47" borderId="0" xfId="0" applyNumberFormat="1" applyFont="1" applyFill="1" applyAlignment="1">
      <alignment horizontal="center" wrapText="1"/>
    </xf>
    <xf numFmtId="0" fontId="68" fillId="47" borderId="0" xfId="0" applyFont="1" applyFill="1" applyAlignment="1">
      <alignment vertical="center" wrapText="1"/>
    </xf>
    <xf numFmtId="0" fontId="70" fillId="47" borderId="0" xfId="0" applyFont="1" applyFill="1" applyAlignment="1">
      <alignment vertical="center"/>
    </xf>
    <xf numFmtId="2" fontId="33" fillId="0" borderId="66" xfId="0" applyNumberFormat="1" applyFont="1" applyBorder="1" applyAlignment="1">
      <alignment horizontal="center" vertical="center"/>
    </xf>
    <xf numFmtId="0" fontId="22" fillId="2" borderId="46" xfId="0" applyFont="1" applyFill="1" applyBorder="1" applyAlignment="1">
      <alignment horizontal="center" vertical="top"/>
    </xf>
    <xf numFmtId="0" fontId="22" fillId="2" borderId="60" xfId="0" applyFont="1" applyFill="1" applyBorder="1" applyAlignment="1">
      <alignment horizontal="center" vertical="top"/>
    </xf>
    <xf numFmtId="0" fontId="55" fillId="10" borderId="60" xfId="0" applyFont="1" applyFill="1" applyBorder="1" applyAlignment="1">
      <alignment horizontal="center" vertical="top"/>
    </xf>
    <xf numFmtId="0" fontId="7" fillId="0" borderId="76" xfId="4" applyFont="1" applyFill="1" applyBorder="1" applyAlignment="1" applyProtection="1">
      <alignment vertical="top" wrapText="1"/>
      <protection locked="0"/>
    </xf>
    <xf numFmtId="0" fontId="5" fillId="0" borderId="16" xfId="4" applyNumberFormat="1" applyFont="1" applyFill="1" applyBorder="1" applyAlignment="1" applyProtection="1">
      <alignment vertical="top" wrapText="1"/>
      <protection locked="0"/>
    </xf>
    <xf numFmtId="0" fontId="5" fillId="0" borderId="16" xfId="0" applyFont="1" applyBorder="1" applyAlignment="1" applyProtection="1">
      <alignment vertical="center" wrapText="1"/>
      <protection locked="0"/>
    </xf>
    <xf numFmtId="0" fontId="5" fillId="0" borderId="16" xfId="4" applyFont="1" applyFill="1" applyBorder="1" applyAlignment="1" applyProtection="1">
      <alignment vertical="center" wrapText="1"/>
      <protection locked="0"/>
    </xf>
    <xf numFmtId="0" fontId="5" fillId="0" borderId="5" xfId="0" applyFont="1" applyBorder="1" applyAlignment="1" applyProtection="1">
      <alignment vertical="top" wrapText="1"/>
      <protection locked="0"/>
    </xf>
    <xf numFmtId="0" fontId="22" fillId="52" borderId="46" xfId="0" applyFont="1" applyFill="1" applyBorder="1" applyAlignment="1">
      <alignment horizontal="center" vertical="top" wrapText="1"/>
    </xf>
    <xf numFmtId="0" fontId="22" fillId="52" borderId="60" xfId="0" applyFont="1" applyFill="1" applyBorder="1" applyAlignment="1">
      <alignment horizontal="center" vertical="top" wrapText="1"/>
    </xf>
    <xf numFmtId="0" fontId="22" fillId="52" borderId="47" xfId="0" applyFont="1" applyFill="1" applyBorder="1" applyAlignment="1">
      <alignment horizontal="center" vertical="top"/>
    </xf>
    <xf numFmtId="0" fontId="22" fillId="52" borderId="60" xfId="0" applyFont="1" applyFill="1" applyBorder="1" applyAlignment="1">
      <alignment horizontal="center" vertical="top"/>
    </xf>
    <xf numFmtId="0" fontId="6" fillId="12" borderId="5" xfId="0" applyFont="1" applyFill="1" applyBorder="1" applyAlignment="1" applyProtection="1">
      <alignment vertical="top" wrapText="1"/>
      <protection locked="0"/>
    </xf>
    <xf numFmtId="0" fontId="5" fillId="53" borderId="55" xfId="0" applyFont="1" applyFill="1" applyBorder="1" applyAlignment="1" applyProtection="1">
      <alignment vertical="top" wrapText="1"/>
      <protection locked="0"/>
    </xf>
    <xf numFmtId="0" fontId="6" fillId="0" borderId="5" xfId="0" applyFont="1" applyBorder="1" applyAlignment="1" applyProtection="1">
      <alignment vertical="top" wrapText="1"/>
      <protection locked="0"/>
    </xf>
    <xf numFmtId="0" fontId="5" fillId="0" borderId="5" xfId="0" applyFont="1" applyBorder="1" applyAlignment="1" applyProtection="1">
      <alignment horizontal="left" vertical="top" wrapText="1"/>
      <protection locked="0"/>
    </xf>
    <xf numFmtId="0" fontId="5" fillId="53" borderId="5" xfId="0" applyFont="1" applyFill="1" applyBorder="1" applyAlignment="1" applyProtection="1">
      <alignment horizontal="left" vertical="top" wrapText="1"/>
      <protection locked="0"/>
    </xf>
    <xf numFmtId="0" fontId="5" fillId="0" borderId="16" xfId="0" applyFont="1" applyBorder="1" applyAlignment="1" applyProtection="1">
      <alignment vertical="top" wrapText="1"/>
      <protection locked="0"/>
    </xf>
    <xf numFmtId="49" fontId="5" fillId="0" borderId="16" xfId="0" applyNumberFormat="1" applyFont="1" applyBorder="1" applyAlignment="1" applyProtection="1">
      <alignment horizontal="left" vertical="top" wrapText="1"/>
      <protection locked="0"/>
    </xf>
    <xf numFmtId="0" fontId="5" fillId="0" borderId="55" xfId="0" applyFont="1" applyBorder="1" applyProtection="1">
      <alignment vertical="top"/>
      <protection locked="0"/>
    </xf>
    <xf numFmtId="0" fontId="8" fillId="54" borderId="46" xfId="0" applyFont="1" applyFill="1" applyBorder="1" applyAlignment="1">
      <alignment horizontal="center" vertical="top" wrapText="1"/>
    </xf>
    <xf numFmtId="0" fontId="8" fillId="54" borderId="60" xfId="0" applyFont="1" applyFill="1" applyBorder="1" applyAlignment="1">
      <alignment horizontal="center" vertical="top" wrapText="1"/>
    </xf>
    <xf numFmtId="0" fontId="5" fillId="54" borderId="55" xfId="0" applyFont="1" applyFill="1" applyBorder="1" applyAlignment="1" applyProtection="1">
      <alignment horizontal="left" vertical="top" wrapText="1"/>
      <protection locked="0"/>
    </xf>
    <xf numFmtId="0" fontId="5" fillId="0" borderId="55" xfId="0" applyFont="1" applyBorder="1" applyAlignment="1" applyProtection="1">
      <alignment horizontal="center" vertical="top" wrapText="1"/>
      <protection locked="0"/>
    </xf>
    <xf numFmtId="0" fontId="5" fillId="0" borderId="40"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55" xfId="0" applyFont="1" applyBorder="1" applyAlignment="1">
      <alignment horizontal="left" vertical="top" wrapText="1"/>
    </xf>
    <xf numFmtId="0" fontId="5" fillId="0" borderId="39" xfId="0" applyFont="1" applyBorder="1" applyAlignment="1">
      <alignment vertical="top" wrapText="1"/>
    </xf>
    <xf numFmtId="0" fontId="5" fillId="0" borderId="55" xfId="0" applyFont="1" applyBorder="1" applyAlignment="1">
      <alignment vertical="top" wrapText="1"/>
    </xf>
    <xf numFmtId="0" fontId="5" fillId="0" borderId="40" xfId="0" applyFont="1" applyBorder="1" applyAlignment="1">
      <alignment vertical="top" wrapText="1"/>
    </xf>
    <xf numFmtId="0" fontId="5" fillId="0" borderId="24" xfId="0" applyFont="1" applyBorder="1" applyAlignment="1">
      <alignment vertical="top" wrapText="1"/>
    </xf>
    <xf numFmtId="0" fontId="5" fillId="0" borderId="18"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34" borderId="55" xfId="0" applyFont="1" applyFill="1" applyBorder="1" applyAlignment="1">
      <alignment horizontal="left" vertical="top" wrapText="1"/>
    </xf>
    <xf numFmtId="0" fontId="5" fillId="37" borderId="40" xfId="0" applyFont="1" applyFill="1" applyBorder="1" applyAlignment="1">
      <alignment vertical="top" wrapText="1"/>
    </xf>
    <xf numFmtId="0" fontId="5" fillId="37" borderId="55" xfId="0" applyFont="1" applyFill="1" applyBorder="1" applyAlignment="1">
      <alignment vertical="top" wrapText="1"/>
    </xf>
    <xf numFmtId="0" fontId="5" fillId="37" borderId="24" xfId="0" applyFont="1" applyFill="1" applyBorder="1" applyAlignment="1">
      <alignment vertical="top" wrapText="1"/>
    </xf>
    <xf numFmtId="0" fontId="5" fillId="0" borderId="0" xfId="2" applyFont="1" applyAlignment="1">
      <alignment vertical="top" wrapText="1"/>
    </xf>
    <xf numFmtId="0" fontId="5" fillId="0" borderId="77" xfId="0" applyFont="1" applyBorder="1" applyAlignment="1">
      <alignment vertical="top" wrapText="1"/>
    </xf>
    <xf numFmtId="0" fontId="5" fillId="0" borderId="18"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24" xfId="0" applyFont="1" applyBorder="1" applyAlignment="1">
      <alignment horizontal="left" vertical="top" wrapText="1"/>
    </xf>
    <xf numFmtId="0" fontId="5" fillId="0" borderId="34" xfId="0" applyFont="1" applyBorder="1" applyAlignment="1">
      <alignment horizontal="left" vertical="top" wrapText="1"/>
    </xf>
    <xf numFmtId="0" fontId="5" fillId="0" borderId="36" xfId="0" applyFont="1" applyBorder="1" applyAlignment="1">
      <alignment horizontal="left" vertical="top" wrapText="1"/>
    </xf>
    <xf numFmtId="0" fontId="5" fillId="0" borderId="60" xfId="0" applyFont="1" applyBorder="1" applyAlignment="1">
      <alignment vertical="top" wrapText="1"/>
    </xf>
    <xf numFmtId="0" fontId="48" fillId="0" borderId="36" xfId="0" applyFont="1" applyBorder="1" applyAlignment="1" applyProtection="1">
      <alignment vertical="top" wrapText="1"/>
      <protection locked="0"/>
    </xf>
    <xf numFmtId="0" fontId="5" fillId="0" borderId="54" xfId="0" applyFont="1" applyBorder="1">
      <alignment vertical="top"/>
    </xf>
    <xf numFmtId="0" fontId="5" fillId="0" borderId="56" xfId="0" applyFont="1" applyBorder="1">
      <alignment vertical="top"/>
    </xf>
    <xf numFmtId="0" fontId="5" fillId="0" borderId="1" xfId="0" applyFont="1" applyBorder="1" applyAlignment="1">
      <alignment vertical="top" wrapText="1"/>
    </xf>
    <xf numFmtId="0" fontId="5" fillId="0" borderId="23" xfId="0" applyFont="1" applyBorder="1">
      <alignment vertical="top"/>
    </xf>
    <xf numFmtId="0" fontId="5" fillId="0" borderId="54" xfId="0" applyFont="1" applyBorder="1" applyAlignment="1">
      <alignment vertical="center"/>
    </xf>
    <xf numFmtId="0" fontId="5" fillId="0" borderId="30" xfId="0" applyFont="1" applyBorder="1" applyAlignment="1">
      <alignment vertical="center"/>
    </xf>
    <xf numFmtId="0" fontId="5" fillId="0" borderId="57" xfId="0" applyFont="1" applyBorder="1" applyAlignment="1">
      <alignment vertical="center"/>
    </xf>
    <xf numFmtId="0" fontId="5" fillId="0" borderId="54" xfId="0" applyFont="1" applyBorder="1" applyAlignment="1">
      <alignment horizontal="left" vertical="top" indent="1"/>
    </xf>
    <xf numFmtId="0" fontId="5" fillId="0" borderId="30" xfId="0" applyFont="1" applyBorder="1" applyAlignment="1">
      <alignment horizontal="left" vertical="top" indent="1"/>
    </xf>
    <xf numFmtId="0" fontId="5" fillId="0" borderId="37" xfId="0" applyFont="1" applyBorder="1" applyAlignment="1">
      <alignment horizontal="left" vertical="top" indent="1"/>
    </xf>
    <xf numFmtId="0" fontId="5" fillId="0" borderId="34" xfId="0" applyFont="1" applyBorder="1" applyAlignment="1">
      <alignment vertical="center" wrapText="1"/>
    </xf>
    <xf numFmtId="0" fontId="5" fillId="10" borderId="60" xfId="0" applyFont="1" applyFill="1" applyBorder="1" applyAlignment="1">
      <alignment horizontal="center" vertical="top"/>
    </xf>
    <xf numFmtId="0" fontId="5" fillId="10" borderId="46" xfId="0" applyFont="1" applyFill="1" applyBorder="1" applyAlignment="1">
      <alignment horizontal="center" vertical="top"/>
    </xf>
    <xf numFmtId="0" fontId="5" fillId="10" borderId="46" xfId="0" applyFont="1" applyFill="1" applyBorder="1" applyAlignment="1">
      <alignment horizontal="center" vertical="top" wrapText="1"/>
    </xf>
    <xf numFmtId="0" fontId="5" fillId="10" borderId="67" xfId="0" applyFont="1" applyFill="1" applyBorder="1" applyAlignment="1">
      <alignment horizontal="center" vertical="top"/>
    </xf>
    <xf numFmtId="0" fontId="22" fillId="10" borderId="60" xfId="0" applyFont="1" applyFill="1" applyBorder="1" applyAlignment="1">
      <alignment horizontal="center" vertical="top"/>
    </xf>
    <xf numFmtId="0" fontId="56" fillId="10" borderId="46" xfId="0" applyFont="1" applyFill="1" applyBorder="1" applyAlignment="1">
      <alignment horizontal="center" vertical="top"/>
    </xf>
    <xf numFmtId="0" fontId="5" fillId="12" borderId="27" xfId="0" applyFont="1" applyFill="1" applyBorder="1" applyAlignment="1">
      <alignment vertical="top" wrapText="1"/>
    </xf>
    <xf numFmtId="0" fontId="22" fillId="10" borderId="28" xfId="0" applyFont="1" applyFill="1" applyBorder="1" applyAlignment="1">
      <alignment horizontal="center" vertical="top"/>
    </xf>
    <xf numFmtId="0" fontId="5" fillId="53" borderId="28" xfId="0" applyFont="1" applyFill="1" applyBorder="1" applyAlignment="1">
      <alignment horizontal="center" vertical="top" wrapText="1"/>
    </xf>
    <xf numFmtId="0" fontId="33" fillId="0" borderId="18" xfId="0" applyFont="1" applyBorder="1">
      <alignment vertical="top"/>
    </xf>
    <xf numFmtId="0" fontId="33" fillId="0" borderId="76" xfId="0" applyFont="1" applyBorder="1">
      <alignment vertical="top"/>
    </xf>
    <xf numFmtId="0" fontId="33" fillId="0" borderId="16" xfId="0" applyFont="1" applyBorder="1">
      <alignment vertical="top"/>
    </xf>
    <xf numFmtId="0" fontId="5" fillId="0" borderId="62" xfId="0" applyFont="1" applyBorder="1">
      <alignment vertical="top"/>
    </xf>
    <xf numFmtId="0" fontId="33" fillId="0" borderId="55" xfId="0" applyFont="1" applyBorder="1">
      <alignment vertical="top"/>
    </xf>
    <xf numFmtId="0" fontId="22" fillId="2" borderId="46" xfId="0" applyFont="1" applyFill="1" applyBorder="1" applyAlignment="1">
      <alignment horizontal="center" vertical="top" wrapText="1"/>
    </xf>
    <xf numFmtId="0" fontId="22" fillId="2" borderId="60" xfId="0" applyFont="1" applyFill="1" applyBorder="1" applyAlignment="1">
      <alignment horizontal="center" vertical="top" wrapText="1"/>
    </xf>
    <xf numFmtId="0" fontId="22" fillId="2" borderId="32" xfId="0" applyFont="1" applyFill="1" applyBorder="1" applyAlignment="1">
      <alignment horizontal="center" vertical="top" wrapText="1"/>
    </xf>
    <xf numFmtId="0" fontId="22" fillId="2" borderId="67" xfId="0" applyFont="1" applyFill="1" applyBorder="1" applyAlignment="1">
      <alignment horizontal="center" vertical="top" wrapText="1"/>
    </xf>
    <xf numFmtId="0" fontId="22" fillId="2" borderId="61" xfId="0" applyFont="1" applyFill="1" applyBorder="1" applyAlignment="1">
      <alignment horizontal="center" vertical="top" wrapText="1"/>
    </xf>
    <xf numFmtId="0" fontId="6" fillId="0" borderId="28" xfId="0" applyFont="1" applyBorder="1" applyProtection="1">
      <alignment vertical="top"/>
      <protection locked="0"/>
    </xf>
    <xf numFmtId="0" fontId="8" fillId="0" borderId="28" xfId="0" applyFont="1" applyBorder="1" applyProtection="1">
      <alignment vertical="top"/>
      <protection locked="0"/>
    </xf>
    <xf numFmtId="0" fontId="33" fillId="0" borderId="28" xfId="0" applyFont="1" applyBorder="1" applyProtection="1">
      <alignment vertical="top"/>
      <protection locked="0"/>
    </xf>
    <xf numFmtId="0" fontId="5" fillId="2" borderId="46" xfId="0" applyFont="1" applyFill="1" applyBorder="1" applyAlignment="1">
      <alignment horizontal="center" vertical="top" wrapText="1"/>
    </xf>
    <xf numFmtId="0" fontId="5" fillId="2" borderId="60" xfId="0" applyFont="1" applyFill="1" applyBorder="1" applyAlignment="1">
      <alignment horizontal="center" vertical="top" wrapText="1"/>
    </xf>
    <xf numFmtId="0" fontId="5" fillId="54" borderId="60" xfId="0" applyFont="1" applyFill="1" applyBorder="1" applyAlignment="1">
      <alignment horizontal="center" vertical="top" wrapText="1"/>
    </xf>
    <xf numFmtId="0" fontId="10" fillId="0" borderId="0" xfId="2" applyProtection="1">
      <alignment vertical="top"/>
      <protection locked="0"/>
    </xf>
    <xf numFmtId="0" fontId="5" fillId="48" borderId="31" xfId="2" applyFont="1" applyFill="1" applyBorder="1" applyAlignment="1">
      <alignment horizontal="center" vertical="top" wrapText="1"/>
    </xf>
    <xf numFmtId="1" fontId="10" fillId="48" borderId="16" xfId="2" applyNumberFormat="1" applyFill="1" applyBorder="1" applyAlignment="1">
      <alignment horizontal="center" vertical="top"/>
    </xf>
    <xf numFmtId="1" fontId="10" fillId="48" borderId="44" xfId="2" applyNumberFormat="1" applyFill="1" applyBorder="1" applyAlignment="1">
      <alignment horizontal="center" vertical="top"/>
    </xf>
    <xf numFmtId="2" fontId="10" fillId="48" borderId="5" xfId="2" applyNumberFormat="1" applyFill="1" applyBorder="1" applyAlignment="1">
      <alignment horizontal="center" vertical="top"/>
    </xf>
    <xf numFmtId="0" fontId="5" fillId="48" borderId="43" xfId="2" applyFont="1" applyFill="1" applyBorder="1" applyAlignment="1">
      <alignment horizontal="center" vertical="top" wrapText="1"/>
    </xf>
    <xf numFmtId="49" fontId="5" fillId="48" borderId="31" xfId="2" applyNumberFormat="1" applyFont="1" applyFill="1" applyBorder="1" applyAlignment="1">
      <alignment horizontal="center" vertical="top" wrapText="1"/>
    </xf>
    <xf numFmtId="0" fontId="5" fillId="48" borderId="33" xfId="2" applyFont="1" applyFill="1" applyBorder="1" applyAlignment="1">
      <alignment horizontal="center" vertical="top" wrapText="1"/>
    </xf>
    <xf numFmtId="0" fontId="5" fillId="48" borderId="32" xfId="2" applyFont="1" applyFill="1" applyBorder="1" applyAlignment="1">
      <alignment horizontal="center" vertical="top" wrapText="1"/>
    </xf>
    <xf numFmtId="0" fontId="5" fillId="48" borderId="75" xfId="2" applyFont="1" applyFill="1" applyBorder="1" applyAlignment="1">
      <alignment horizontal="center" vertical="top" wrapText="1"/>
    </xf>
    <xf numFmtId="2" fontId="5" fillId="3" borderId="25" xfId="0" applyNumberFormat="1" applyFont="1" applyFill="1" applyBorder="1" applyAlignment="1" applyProtection="1">
      <alignment horizontal="center" vertical="center" wrapText="1"/>
      <protection hidden="1"/>
    </xf>
    <xf numFmtId="2" fontId="5" fillId="6" borderId="25" xfId="0" applyNumberFormat="1" applyFont="1" applyFill="1" applyBorder="1" applyAlignment="1" applyProtection="1">
      <alignment horizontal="center" vertical="center" wrapText="1"/>
      <protection hidden="1"/>
    </xf>
    <xf numFmtId="2" fontId="5" fillId="5" borderId="66" xfId="0" applyNumberFormat="1" applyFont="1" applyFill="1" applyBorder="1" applyAlignment="1" applyProtection="1">
      <alignment horizontal="center" vertical="center" wrapText="1"/>
      <protection hidden="1"/>
    </xf>
    <xf numFmtId="2" fontId="5" fillId="17" borderId="15" xfId="0" applyNumberFormat="1" applyFont="1" applyFill="1" applyBorder="1" applyAlignment="1" applyProtection="1">
      <alignment horizontal="center" vertical="center" wrapText="1"/>
      <protection hidden="1"/>
    </xf>
    <xf numFmtId="2" fontId="5" fillId="3" borderId="5" xfId="0" applyNumberFormat="1" applyFont="1" applyFill="1" applyBorder="1" applyAlignment="1" applyProtection="1">
      <alignment horizontal="center" vertical="center"/>
      <protection hidden="1"/>
    </xf>
    <xf numFmtId="2" fontId="5" fillId="6" borderId="5" xfId="0" applyNumberFormat="1" applyFont="1" applyFill="1" applyBorder="1" applyAlignment="1" applyProtection="1">
      <alignment horizontal="center" vertical="center" wrapText="1"/>
      <protection hidden="1"/>
    </xf>
    <xf numFmtId="1" fontId="5" fillId="0" borderId="62" xfId="0" applyNumberFormat="1" applyFont="1" applyBorder="1" applyAlignment="1">
      <alignment vertical="top" wrapText="1"/>
    </xf>
    <xf numFmtId="0" fontId="5" fillId="0" borderId="76" xfId="0" applyFont="1" applyBorder="1" applyAlignment="1">
      <alignment horizontal="left" vertical="top" wrapText="1"/>
    </xf>
    <xf numFmtId="0" fontId="51" fillId="19" borderId="5" xfId="0" applyFont="1" applyFill="1" applyBorder="1" applyAlignment="1">
      <alignment horizontal="center" vertical="center" wrapText="1"/>
    </xf>
    <xf numFmtId="0" fontId="51" fillId="3" borderId="5" xfId="0" applyFont="1" applyFill="1" applyBorder="1" applyAlignment="1">
      <alignment horizontal="center" vertical="center" wrapText="1"/>
    </xf>
    <xf numFmtId="49" fontId="51" fillId="19" borderId="28" xfId="0" applyNumberFormat="1" applyFont="1" applyFill="1" applyBorder="1" applyAlignment="1">
      <alignment horizontal="center" vertical="center" wrapText="1"/>
    </xf>
    <xf numFmtId="1" fontId="51" fillId="3" borderId="5" xfId="0" applyNumberFormat="1" applyFont="1" applyFill="1" applyBorder="1" applyAlignment="1">
      <alignment horizontal="center" vertical="center" wrapText="1"/>
    </xf>
    <xf numFmtId="2" fontId="51" fillId="3" borderId="25" xfId="0" applyNumberFormat="1" applyFont="1" applyFill="1" applyBorder="1" applyAlignment="1">
      <alignment horizontal="center" vertical="center" wrapText="1"/>
    </xf>
    <xf numFmtId="2" fontId="5" fillId="28" borderId="25" xfId="0" applyNumberFormat="1" applyFont="1" applyFill="1" applyBorder="1" applyAlignment="1">
      <alignment horizontal="center" vertical="top" wrapText="1"/>
    </xf>
    <xf numFmtId="2" fontId="5" fillId="2" borderId="10" xfId="0" applyNumberFormat="1" applyFont="1" applyFill="1" applyBorder="1" applyAlignment="1">
      <alignment horizontal="center" vertical="top" wrapText="1"/>
    </xf>
    <xf numFmtId="2" fontId="5" fillId="2" borderId="2" xfId="0" applyNumberFormat="1" applyFont="1" applyFill="1" applyBorder="1" applyAlignment="1">
      <alignment horizontal="center" vertical="top" wrapText="1"/>
    </xf>
    <xf numFmtId="2" fontId="5" fillId="2" borderId="72" xfId="0" applyNumberFormat="1" applyFont="1" applyFill="1" applyBorder="1" applyAlignment="1">
      <alignment horizontal="center" vertical="top" wrapText="1"/>
    </xf>
    <xf numFmtId="2" fontId="5" fillId="28" borderId="5" xfId="0" applyNumberFormat="1" applyFont="1" applyFill="1" applyBorder="1" applyAlignment="1">
      <alignment horizontal="center" vertical="top" wrapText="1"/>
    </xf>
    <xf numFmtId="2" fontId="5" fillId="2" borderId="43" xfId="0" applyNumberFormat="1" applyFont="1" applyFill="1" applyBorder="1" applyAlignment="1">
      <alignment horizontal="center" vertical="top" wrapText="1"/>
    </xf>
    <xf numFmtId="2" fontId="5" fillId="2" borderId="31" xfId="0" applyNumberFormat="1" applyFont="1" applyFill="1" applyBorder="1" applyAlignment="1">
      <alignment horizontal="center" vertical="top" wrapText="1"/>
    </xf>
    <xf numFmtId="2" fontId="5" fillId="2" borderId="38" xfId="0" applyNumberFormat="1" applyFont="1" applyFill="1" applyBorder="1" applyAlignment="1">
      <alignment horizontal="center" vertical="top" wrapText="1"/>
    </xf>
    <xf numFmtId="2" fontId="5" fillId="3" borderId="51" xfId="0" applyNumberFormat="1" applyFont="1" applyFill="1" applyBorder="1" applyAlignment="1">
      <alignment horizontal="center" vertical="top" wrapText="1"/>
    </xf>
    <xf numFmtId="2" fontId="5" fillId="2" borderId="9" xfId="0" applyNumberFormat="1" applyFont="1" applyFill="1" applyBorder="1" applyAlignment="1">
      <alignment horizontal="center" vertical="top" wrapText="1"/>
    </xf>
    <xf numFmtId="2" fontId="5" fillId="3" borderId="5" xfId="0" applyNumberFormat="1" applyFont="1" applyFill="1" applyBorder="1" applyAlignment="1">
      <alignment horizontal="center" vertical="top" wrapText="1"/>
    </xf>
    <xf numFmtId="2" fontId="5" fillId="2" borderId="44" xfId="0" applyNumberFormat="1" applyFont="1" applyFill="1" applyBorder="1" applyAlignment="1">
      <alignment horizontal="center" vertical="top" wrapText="1"/>
    </xf>
    <xf numFmtId="2" fontId="5" fillId="2" borderId="75" xfId="0" applyNumberFormat="1" applyFont="1" applyFill="1" applyBorder="1" applyAlignment="1">
      <alignment horizontal="center" vertical="top" wrapText="1"/>
    </xf>
    <xf numFmtId="2" fontId="5" fillId="3" borderId="25" xfId="0" applyNumberFormat="1" applyFont="1" applyFill="1" applyBorder="1" applyAlignment="1">
      <alignment horizontal="center" vertical="top" wrapText="1"/>
    </xf>
    <xf numFmtId="2" fontId="5" fillId="3" borderId="24" xfId="0" applyNumberFormat="1" applyFont="1" applyFill="1" applyBorder="1" applyAlignment="1">
      <alignment horizontal="center" vertical="top" wrapText="1"/>
    </xf>
    <xf numFmtId="2" fontId="5" fillId="2" borderId="22" xfId="0" applyNumberFormat="1" applyFont="1" applyFill="1" applyBorder="1" applyAlignment="1">
      <alignment horizontal="center" vertical="top" wrapText="1"/>
    </xf>
    <xf numFmtId="2" fontId="5" fillId="11" borderId="25" xfId="0" applyNumberFormat="1" applyFont="1" applyFill="1" applyBorder="1" applyAlignment="1">
      <alignment horizontal="center" vertical="top" wrapText="1"/>
    </xf>
    <xf numFmtId="2" fontId="51" fillId="6" borderId="51" xfId="0" applyNumberFormat="1" applyFont="1" applyFill="1" applyBorder="1" applyAlignment="1">
      <alignment horizontal="center" vertical="center" wrapText="1"/>
    </xf>
    <xf numFmtId="2" fontId="5" fillId="26" borderId="5" xfId="0" applyNumberFormat="1" applyFont="1" applyFill="1" applyBorder="1" applyAlignment="1">
      <alignment horizontal="center" vertical="top" wrapText="1"/>
    </xf>
    <xf numFmtId="2" fontId="5" fillId="26" borderId="25" xfId="0" applyNumberFormat="1" applyFont="1" applyFill="1" applyBorder="1" applyAlignment="1">
      <alignment horizontal="center" vertical="top" wrapText="1"/>
    </xf>
    <xf numFmtId="2" fontId="5" fillId="26" borderId="51" xfId="0" applyNumberFormat="1" applyFont="1" applyFill="1" applyBorder="1" applyAlignment="1">
      <alignment horizontal="center" vertical="top" wrapText="1"/>
    </xf>
    <xf numFmtId="2" fontId="5" fillId="2" borderId="29" xfId="0" applyNumberFormat="1" applyFont="1" applyFill="1" applyBorder="1" applyAlignment="1">
      <alignment horizontal="center" vertical="top" wrapText="1"/>
    </xf>
    <xf numFmtId="2" fontId="5" fillId="6" borderId="25" xfId="0" applyNumberFormat="1" applyFont="1" applyFill="1" applyBorder="1" applyAlignment="1">
      <alignment horizontal="center" vertical="top" wrapText="1"/>
    </xf>
    <xf numFmtId="2" fontId="5" fillId="28" borderId="51" xfId="0" applyNumberFormat="1" applyFont="1" applyFill="1" applyBorder="1" applyAlignment="1">
      <alignment horizontal="center" vertical="top" wrapText="1"/>
    </xf>
    <xf numFmtId="2" fontId="5" fillId="3" borderId="25" xfId="0" applyNumberFormat="1" applyFont="1" applyFill="1" applyBorder="1" applyAlignment="1">
      <alignment horizontal="center" vertical="top"/>
    </xf>
    <xf numFmtId="2" fontId="5" fillId="19" borderId="5" xfId="0" applyNumberFormat="1" applyFont="1" applyFill="1" applyBorder="1" applyAlignment="1">
      <alignment horizontal="center" vertical="top" wrapText="1"/>
    </xf>
    <xf numFmtId="2" fontId="5" fillId="42" borderId="40" xfId="0" applyNumberFormat="1" applyFont="1" applyFill="1" applyBorder="1" applyAlignment="1">
      <alignment horizontal="center" vertical="top" wrapText="1"/>
    </xf>
    <xf numFmtId="2" fontId="51" fillId="14" borderId="5" xfId="0" applyNumberFormat="1" applyFont="1" applyFill="1" applyBorder="1" applyAlignment="1">
      <alignment horizontal="center" vertical="center" wrapText="1"/>
    </xf>
    <xf numFmtId="2" fontId="20" fillId="14" borderId="25" xfId="0" applyNumberFormat="1" applyFont="1" applyFill="1" applyBorder="1" applyAlignment="1">
      <alignment horizontal="right" vertical="top" wrapText="1"/>
    </xf>
    <xf numFmtId="2" fontId="20" fillId="2" borderId="22" xfId="0" applyNumberFormat="1" applyFont="1" applyFill="1" applyBorder="1" applyAlignment="1">
      <alignment horizontal="right" vertical="top" wrapText="1"/>
    </xf>
    <xf numFmtId="2" fontId="20" fillId="2" borderId="9" xfId="0" applyNumberFormat="1" applyFont="1" applyFill="1" applyBorder="1" applyAlignment="1">
      <alignment horizontal="right" vertical="top" wrapText="1"/>
    </xf>
    <xf numFmtId="2" fontId="20" fillId="2" borderId="72" xfId="0" applyNumberFormat="1" applyFont="1" applyFill="1" applyBorder="1" applyAlignment="1">
      <alignment horizontal="right" vertical="top" wrapText="1"/>
    </xf>
    <xf numFmtId="2" fontId="20" fillId="14" borderId="51" xfId="0" applyNumberFormat="1" applyFont="1" applyFill="1" applyBorder="1" applyAlignment="1">
      <alignment horizontal="right" vertical="top" wrapText="1"/>
    </xf>
    <xf numFmtId="2" fontId="51" fillId="6" borderId="25" xfId="0" applyNumberFormat="1" applyFont="1" applyFill="1" applyBorder="1" applyAlignment="1">
      <alignment horizontal="center" vertical="center" wrapText="1"/>
    </xf>
    <xf numFmtId="1" fontId="5" fillId="2" borderId="22" xfId="0" applyNumberFormat="1" applyFont="1" applyFill="1" applyBorder="1" applyAlignment="1">
      <alignment horizontal="center" vertical="top" wrapText="1"/>
    </xf>
    <xf numFmtId="0" fontId="5" fillId="10" borderId="0" xfId="0" applyFont="1" applyFill="1" applyAlignment="1">
      <alignment horizontal="center" vertical="top" wrapText="1"/>
    </xf>
    <xf numFmtId="2" fontId="20" fillId="6" borderId="5" xfId="0" applyNumberFormat="1" applyFont="1" applyFill="1" applyBorder="1" applyAlignment="1">
      <alignment horizontal="right" vertical="top" wrapText="1"/>
    </xf>
    <xf numFmtId="2" fontId="5" fillId="6" borderId="5" xfId="0" applyNumberFormat="1" applyFont="1" applyFill="1" applyBorder="1" applyAlignment="1">
      <alignment horizontal="center" vertical="top" wrapText="1"/>
    </xf>
    <xf numFmtId="2" fontId="5" fillId="17" borderId="5" xfId="0" applyNumberFormat="1" applyFont="1" applyFill="1" applyBorder="1" applyAlignment="1">
      <alignment horizontal="center" vertical="top" wrapText="1"/>
    </xf>
    <xf numFmtId="2" fontId="5" fillId="33" borderId="25" xfId="0" applyNumberFormat="1" applyFont="1" applyFill="1" applyBorder="1" applyAlignment="1">
      <alignment horizontal="center" vertical="top" wrapText="1"/>
    </xf>
    <xf numFmtId="49" fontId="51" fillId="3" borderId="28" xfId="0" applyNumberFormat="1" applyFont="1" applyFill="1" applyBorder="1" applyAlignment="1">
      <alignment horizontal="center" vertical="center" wrapText="1"/>
    </xf>
    <xf numFmtId="0" fontId="5" fillId="19" borderId="62" xfId="0" applyFont="1" applyFill="1" applyBorder="1" applyAlignment="1">
      <alignment horizontal="left" vertical="top" wrapText="1"/>
    </xf>
    <xf numFmtId="0" fontId="5" fillId="19" borderId="25" xfId="0" applyFont="1" applyFill="1" applyBorder="1" applyAlignment="1">
      <alignment horizontal="left" vertical="top" wrapText="1"/>
    </xf>
    <xf numFmtId="0" fontId="5" fillId="0" borderId="42" xfId="0" applyFont="1" applyBorder="1" applyAlignment="1">
      <alignment horizontal="center" vertical="top" wrapText="1"/>
    </xf>
    <xf numFmtId="1" fontId="5" fillId="2" borderId="15" xfId="0" applyNumberFormat="1" applyFont="1" applyFill="1" applyBorder="1" applyAlignment="1">
      <alignment horizontal="center" vertical="top" wrapText="1"/>
    </xf>
    <xf numFmtId="0" fontId="5" fillId="0" borderId="25" xfId="0" applyFont="1" applyBorder="1" applyAlignment="1">
      <alignment horizontal="left" vertical="top" wrapText="1"/>
    </xf>
    <xf numFmtId="0" fontId="5" fillId="19" borderId="40" xfId="0" applyFont="1" applyFill="1" applyBorder="1" applyAlignment="1">
      <alignment vertical="top" wrapText="1"/>
    </xf>
    <xf numFmtId="0" fontId="5" fillId="0" borderId="60" xfId="0" applyFont="1" applyBorder="1" applyAlignment="1">
      <alignment horizontal="left" vertical="top" wrapText="1"/>
    </xf>
    <xf numFmtId="0" fontId="5" fillId="19" borderId="55" xfId="0" applyFont="1" applyFill="1" applyBorder="1" applyAlignment="1">
      <alignment vertical="top" wrapText="1"/>
    </xf>
    <xf numFmtId="0" fontId="5" fillId="0" borderId="35" xfId="0" applyFont="1" applyBorder="1" applyAlignment="1">
      <alignment horizontal="left" vertical="top" wrapText="1"/>
    </xf>
    <xf numFmtId="0" fontId="5" fillId="19" borderId="24" xfId="0" applyFont="1" applyFill="1" applyBorder="1" applyAlignment="1">
      <alignment vertical="top" wrapText="1"/>
    </xf>
    <xf numFmtId="2" fontId="5" fillId="19" borderId="25"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33" borderId="5" xfId="0" applyFont="1" applyFill="1" applyBorder="1" applyAlignment="1">
      <alignment horizontal="left" vertical="top" wrapText="1"/>
    </xf>
    <xf numFmtId="49" fontId="5" fillId="0" borderId="25" xfId="0" applyNumberFormat="1" applyFont="1" applyBorder="1" applyAlignment="1">
      <alignment horizontal="right" vertical="top" wrapText="1"/>
    </xf>
    <xf numFmtId="0" fontId="5" fillId="2" borderId="6" xfId="0" applyFont="1" applyFill="1" applyBorder="1" applyAlignment="1">
      <alignment horizontal="center" vertical="top" wrapText="1"/>
    </xf>
    <xf numFmtId="2" fontId="5" fillId="33" borderId="5" xfId="0" applyNumberFormat="1" applyFont="1" applyFill="1" applyBorder="1" applyAlignment="1">
      <alignment horizontal="center" vertical="top" wrapText="1"/>
    </xf>
    <xf numFmtId="0" fontId="51" fillId="14" borderId="58" xfId="0" applyFont="1" applyFill="1" applyBorder="1" applyAlignment="1">
      <alignment horizontal="center" vertical="center" wrapText="1"/>
    </xf>
    <xf numFmtId="0" fontId="51" fillId="14" borderId="28" xfId="0" applyFont="1" applyFill="1" applyBorder="1" applyAlignment="1">
      <alignment horizontal="center" vertical="center" wrapText="1"/>
    </xf>
    <xf numFmtId="2" fontId="5" fillId="2" borderId="48" xfId="0" applyNumberFormat="1" applyFont="1" applyFill="1" applyBorder="1" applyAlignment="1">
      <alignment horizontal="center" vertical="top" wrapText="1"/>
    </xf>
    <xf numFmtId="2" fontId="5" fillId="2" borderId="12" xfId="0" applyNumberFormat="1" applyFont="1" applyFill="1" applyBorder="1" applyAlignment="1">
      <alignment horizontal="center" vertical="top" wrapText="1"/>
    </xf>
    <xf numFmtId="2" fontId="5" fillId="14" borderId="24" xfId="0" applyNumberFormat="1" applyFont="1" applyFill="1" applyBorder="1" applyAlignment="1">
      <alignment horizontal="center" vertical="top" wrapText="1"/>
    </xf>
    <xf numFmtId="0" fontId="5" fillId="13" borderId="48" xfId="0" applyFont="1" applyFill="1" applyBorder="1" applyAlignment="1">
      <alignment horizontal="center" vertical="top" wrapText="1"/>
    </xf>
    <xf numFmtId="0" fontId="5" fillId="13" borderId="67" xfId="0" applyFont="1" applyFill="1" applyBorder="1" applyAlignment="1">
      <alignment horizontal="center" vertical="top" wrapText="1"/>
    </xf>
    <xf numFmtId="2" fontId="5" fillId="14" borderId="5" xfId="0" applyNumberFormat="1" applyFont="1" applyFill="1" applyBorder="1" applyAlignment="1">
      <alignment horizontal="center" vertical="top" wrapText="1"/>
    </xf>
    <xf numFmtId="0" fontId="5" fillId="13" borderId="6" xfId="0" applyFont="1" applyFill="1" applyBorder="1" applyAlignment="1">
      <alignment horizontal="center" vertical="top" wrapText="1"/>
    </xf>
    <xf numFmtId="0" fontId="5" fillId="13" borderId="74" xfId="0" applyFont="1" applyFill="1" applyBorder="1" applyAlignment="1">
      <alignment horizontal="center" vertical="top" wrapText="1"/>
    </xf>
    <xf numFmtId="0" fontId="5" fillId="13" borderId="12" xfId="0" applyFont="1" applyFill="1" applyBorder="1" applyAlignment="1">
      <alignment horizontal="center" vertical="top" wrapText="1"/>
    </xf>
    <xf numFmtId="0" fontId="5" fillId="13" borderId="8" xfId="0" applyFont="1" applyFill="1" applyBorder="1" applyAlignment="1">
      <alignment horizontal="center" vertical="top" wrapText="1"/>
    </xf>
    <xf numFmtId="0" fontId="51" fillId="6" borderId="18" xfId="0" applyFont="1" applyFill="1" applyBorder="1" applyAlignment="1">
      <alignment horizontal="center" vertical="center" wrapText="1"/>
    </xf>
    <xf numFmtId="1" fontId="51" fillId="6" borderId="5" xfId="0" applyNumberFormat="1" applyFont="1" applyFill="1" applyBorder="1" applyAlignment="1">
      <alignment horizontal="center" vertical="center" wrapText="1"/>
    </xf>
    <xf numFmtId="0" fontId="5" fillId="26" borderId="22" xfId="0" applyFont="1" applyFill="1" applyBorder="1" applyAlignment="1">
      <alignment horizontal="left" vertical="top" wrapText="1"/>
    </xf>
    <xf numFmtId="0" fontId="5" fillId="2" borderId="1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8" xfId="0" applyFont="1" applyFill="1" applyBorder="1" applyAlignment="1">
      <alignment horizontal="center" vertical="top" wrapText="1"/>
    </xf>
    <xf numFmtId="2" fontId="5" fillId="26" borderId="52" xfId="0" applyNumberFormat="1" applyFont="1" applyFill="1" applyBorder="1" applyAlignment="1">
      <alignment horizontal="center" vertical="top" wrapText="1"/>
    </xf>
    <xf numFmtId="0" fontId="5" fillId="26" borderId="52" xfId="0" applyFont="1" applyFill="1" applyBorder="1" applyAlignment="1">
      <alignment horizontal="left" vertical="top" wrapText="1"/>
    </xf>
    <xf numFmtId="0" fontId="5" fillId="26" borderId="62" xfId="0" applyFont="1" applyFill="1" applyBorder="1" applyAlignment="1">
      <alignment horizontal="left" vertical="top" wrapText="1"/>
    </xf>
    <xf numFmtId="0" fontId="5" fillId="2" borderId="2" xfId="0" applyFont="1" applyFill="1" applyBorder="1" applyAlignment="1">
      <alignment horizontal="center" vertical="top" wrapText="1"/>
    </xf>
    <xf numFmtId="0" fontId="5" fillId="26" borderId="51" xfId="0" applyFont="1" applyFill="1" applyBorder="1" applyAlignment="1">
      <alignment horizontal="left" vertical="top" wrapText="1"/>
    </xf>
    <xf numFmtId="0" fontId="5" fillId="2" borderId="72" xfId="0" applyFont="1" applyFill="1" applyBorder="1" applyAlignment="1">
      <alignment horizontal="center" vertical="top" wrapText="1"/>
    </xf>
    <xf numFmtId="0" fontId="5" fillId="2" borderId="48" xfId="0" applyFont="1" applyFill="1" applyBorder="1" applyAlignment="1">
      <alignment horizontal="center" vertical="top" wrapText="1"/>
    </xf>
    <xf numFmtId="0" fontId="5" fillId="2" borderId="9" xfId="0" applyFont="1" applyFill="1" applyBorder="1" applyAlignment="1">
      <alignment horizontal="center" vertical="top" wrapText="1"/>
    </xf>
    <xf numFmtId="1" fontId="5" fillId="2" borderId="7" xfId="0" applyNumberFormat="1" applyFont="1" applyFill="1" applyBorder="1" applyAlignment="1">
      <alignment horizontal="center" vertical="top" wrapText="1"/>
    </xf>
    <xf numFmtId="0" fontId="5" fillId="2" borderId="66" xfId="0" applyFont="1" applyFill="1" applyBorder="1" applyAlignment="1">
      <alignment horizontal="center" vertical="top" wrapText="1"/>
    </xf>
    <xf numFmtId="0" fontId="5" fillId="20" borderId="25" xfId="0" applyFont="1" applyFill="1" applyBorder="1" applyAlignment="1">
      <alignment horizontal="left" vertical="top" wrapText="1"/>
    </xf>
    <xf numFmtId="0" fontId="5" fillId="2" borderId="78" xfId="0" applyFont="1" applyFill="1" applyBorder="1" applyAlignment="1">
      <alignment horizontal="center" vertical="top" wrapText="1"/>
    </xf>
    <xf numFmtId="0" fontId="5" fillId="2" borderId="15" xfId="0" applyFont="1" applyFill="1" applyBorder="1" applyAlignment="1">
      <alignment horizontal="center" vertical="top" wrapText="1"/>
    </xf>
    <xf numFmtId="2" fontId="5" fillId="6" borderId="51" xfId="0" applyNumberFormat="1" applyFont="1" applyFill="1" applyBorder="1" applyAlignment="1">
      <alignment horizontal="center" vertical="top" wrapText="1"/>
    </xf>
    <xf numFmtId="0" fontId="5" fillId="10" borderId="12" xfId="0" applyFont="1" applyFill="1" applyBorder="1" applyAlignment="1">
      <alignment horizontal="center" vertical="top" wrapText="1"/>
    </xf>
    <xf numFmtId="2" fontId="5" fillId="43" borderId="5" xfId="0" applyNumberFormat="1" applyFont="1" applyFill="1" applyBorder="1" applyAlignment="1">
      <alignment horizontal="center" vertical="top" wrapText="1"/>
    </xf>
    <xf numFmtId="2" fontId="5" fillId="2" borderId="4" xfId="0" applyNumberFormat="1" applyFont="1" applyFill="1" applyBorder="1" applyAlignment="1">
      <alignment horizontal="center" vertical="top" wrapText="1"/>
    </xf>
    <xf numFmtId="2" fontId="5" fillId="2" borderId="1" xfId="0" applyNumberFormat="1" applyFont="1" applyFill="1" applyBorder="1" applyAlignment="1">
      <alignment horizontal="center" vertical="top" wrapText="1"/>
    </xf>
    <xf numFmtId="49" fontId="5" fillId="0" borderId="41" xfId="0" applyNumberFormat="1" applyFont="1" applyBorder="1" applyAlignment="1">
      <alignment horizontal="left" vertical="top" wrapText="1"/>
    </xf>
    <xf numFmtId="2" fontId="5" fillId="2" borderId="26" xfId="0" applyNumberFormat="1" applyFont="1" applyFill="1" applyBorder="1" applyAlignment="1">
      <alignment horizontal="center" vertical="top" wrapText="1"/>
    </xf>
    <xf numFmtId="1" fontId="5" fillId="0" borderId="29" xfId="0" applyNumberFormat="1" applyFont="1" applyBorder="1" applyAlignment="1">
      <alignment horizontal="left" vertical="top" wrapText="1"/>
    </xf>
    <xf numFmtId="1" fontId="5" fillId="10" borderId="48" xfId="0" applyNumberFormat="1" applyFont="1" applyFill="1" applyBorder="1" applyAlignment="1">
      <alignment horizontal="center" vertical="top" wrapText="1"/>
    </xf>
    <xf numFmtId="2" fontId="5" fillId="43" borderId="51" xfId="0" applyNumberFormat="1" applyFont="1" applyFill="1" applyBorder="1" applyAlignment="1">
      <alignment horizontal="center" vertical="top" wrapText="1"/>
    </xf>
    <xf numFmtId="1" fontId="5" fillId="0" borderId="55" xfId="0" applyNumberFormat="1" applyFont="1" applyBorder="1" applyAlignment="1">
      <alignment horizontal="left" vertical="top" wrapText="1"/>
    </xf>
    <xf numFmtId="1" fontId="5" fillId="0" borderId="20" xfId="0" applyNumberFormat="1" applyFont="1" applyBorder="1" applyAlignment="1">
      <alignment horizontal="left" vertical="top" wrapText="1"/>
    </xf>
    <xf numFmtId="1" fontId="5" fillId="0" borderId="21" xfId="0" applyNumberFormat="1" applyFont="1" applyBorder="1" applyAlignment="1">
      <alignment horizontal="left" vertical="top" wrapText="1"/>
    </xf>
    <xf numFmtId="0" fontId="5" fillId="42" borderId="5" xfId="0" applyFont="1" applyFill="1" applyBorder="1" applyAlignment="1">
      <alignment vertical="top" wrapText="1"/>
    </xf>
    <xf numFmtId="2" fontId="5" fillId="42" borderId="5" xfId="0" applyNumberFormat="1" applyFont="1" applyFill="1" applyBorder="1" applyAlignment="1">
      <alignment horizontal="center" vertical="top" wrapText="1"/>
    </xf>
    <xf numFmtId="2" fontId="5" fillId="5" borderId="19" xfId="0" applyNumberFormat="1" applyFont="1" applyFill="1" applyBorder="1" applyAlignment="1" applyProtection="1">
      <alignment horizontal="center" vertical="center" wrapText="1"/>
      <protection hidden="1"/>
    </xf>
    <xf numFmtId="2" fontId="5" fillId="5" borderId="1" xfId="0" applyNumberFormat="1" applyFont="1" applyFill="1" applyBorder="1" applyAlignment="1" applyProtection="1">
      <alignment horizontal="center" vertical="center" wrapText="1"/>
      <protection hidden="1"/>
    </xf>
    <xf numFmtId="2" fontId="5" fillId="5" borderId="3" xfId="0" applyNumberFormat="1" applyFont="1" applyFill="1" applyBorder="1" applyAlignment="1" applyProtection="1">
      <alignment horizontal="center" vertical="center" wrapText="1"/>
      <protection hidden="1"/>
    </xf>
    <xf numFmtId="2" fontId="5" fillId="17" borderId="26" xfId="0" applyNumberFormat="1" applyFont="1" applyFill="1" applyBorder="1" applyAlignment="1" applyProtection="1">
      <alignment horizontal="center" vertical="center" wrapText="1"/>
      <protection hidden="1"/>
    </xf>
    <xf numFmtId="2" fontId="5" fillId="3" borderId="5" xfId="0" applyNumberFormat="1" applyFont="1" applyFill="1" applyBorder="1" applyAlignment="1" applyProtection="1">
      <alignment horizontal="center" vertical="center" wrapText="1"/>
      <protection hidden="1"/>
    </xf>
    <xf numFmtId="1" fontId="5" fillId="2" borderId="54" xfId="0" applyNumberFormat="1" applyFont="1" applyFill="1" applyBorder="1" applyAlignment="1">
      <alignment horizontal="center" vertical="top" wrapText="1"/>
    </xf>
    <xf numFmtId="2" fontId="5" fillId="13" borderId="31" xfId="0" applyNumberFormat="1" applyFont="1" applyFill="1" applyBorder="1" applyAlignment="1">
      <alignment horizontal="center" vertical="top" wrapText="1"/>
    </xf>
    <xf numFmtId="2" fontId="5" fillId="13" borderId="38" xfId="0" applyNumberFormat="1" applyFont="1" applyFill="1" applyBorder="1" applyAlignment="1">
      <alignment horizontal="center" vertical="top" wrapText="1"/>
    </xf>
    <xf numFmtId="0" fontId="5" fillId="0" borderId="0" xfId="0" applyFont="1" applyAlignment="1">
      <alignment horizontal="left" vertical="top" wrapText="1" indent="1"/>
    </xf>
    <xf numFmtId="0" fontId="5" fillId="0" borderId="50" xfId="0" applyFont="1" applyBorder="1" applyAlignment="1">
      <alignment horizontal="left" vertical="top" wrapText="1" indent="1"/>
    </xf>
    <xf numFmtId="0" fontId="5" fillId="2" borderId="6" xfId="0" applyFont="1" applyFill="1" applyBorder="1" applyAlignment="1">
      <alignment horizontal="center" vertical="center" wrapText="1"/>
    </xf>
    <xf numFmtId="0" fontId="5" fillId="2" borderId="74" xfId="0" applyFont="1" applyFill="1" applyBorder="1" applyAlignment="1">
      <alignment horizontal="center" vertical="center" wrapText="1"/>
    </xf>
    <xf numFmtId="2" fontId="5" fillId="13" borderId="72" xfId="0" applyNumberFormat="1" applyFont="1" applyFill="1" applyBorder="1" applyAlignment="1">
      <alignment horizontal="center" vertical="top" wrapText="1"/>
    </xf>
    <xf numFmtId="0" fontId="5" fillId="19" borderId="62" xfId="0" applyFont="1" applyFill="1" applyBorder="1" applyAlignment="1">
      <alignment vertical="top" wrapText="1"/>
    </xf>
    <xf numFmtId="0" fontId="5" fillId="0" borderId="10" xfId="0" applyFont="1" applyBorder="1" applyAlignment="1">
      <alignment vertical="top" wrapText="1"/>
    </xf>
    <xf numFmtId="0" fontId="5" fillId="19" borderId="25" xfId="0" applyFont="1" applyFill="1" applyBorder="1" applyAlignment="1">
      <alignment vertical="top" wrapText="1"/>
    </xf>
    <xf numFmtId="49" fontId="5" fillId="0" borderId="20" xfId="0" applyNumberFormat="1" applyFont="1" applyBorder="1" applyAlignment="1">
      <alignment horizontal="left" vertical="top" wrapText="1"/>
    </xf>
    <xf numFmtId="49" fontId="5" fillId="0" borderId="1" xfId="0" applyNumberFormat="1" applyFont="1" applyBorder="1" applyAlignment="1">
      <alignment horizontal="center" vertical="top" wrapText="1"/>
    </xf>
    <xf numFmtId="49" fontId="5" fillId="0" borderId="21" xfId="0" applyNumberFormat="1" applyFont="1" applyBorder="1" applyAlignment="1">
      <alignment horizontal="left" vertical="top" wrapText="1"/>
    </xf>
    <xf numFmtId="49" fontId="5" fillId="0" borderId="50" xfId="0" applyNumberFormat="1" applyFont="1" applyBorder="1" applyAlignment="1">
      <alignment horizontal="left" vertical="top" wrapText="1"/>
    </xf>
    <xf numFmtId="49" fontId="5" fillId="0" borderId="3" xfId="0" applyNumberFormat="1" applyFont="1" applyBorder="1" applyAlignment="1">
      <alignment horizontal="center" vertical="top" wrapText="1"/>
    </xf>
    <xf numFmtId="2" fontId="5" fillId="33" borderId="25" xfId="0" applyNumberFormat="1" applyFont="1" applyFill="1" applyBorder="1" applyAlignment="1">
      <alignment horizontal="left" vertical="top" wrapText="1"/>
    </xf>
    <xf numFmtId="1" fontId="5" fillId="0" borderId="13" xfId="0" applyNumberFormat="1" applyFont="1" applyBorder="1" applyAlignment="1">
      <alignment horizontal="right" vertical="top" wrapText="1"/>
    </xf>
    <xf numFmtId="0" fontId="51" fillId="14" borderId="55" xfId="0" applyFont="1" applyFill="1" applyBorder="1" applyAlignment="1">
      <alignment horizontal="center" vertical="center" wrapText="1"/>
    </xf>
    <xf numFmtId="0" fontId="51" fillId="14" borderId="25" xfId="0" applyFont="1" applyFill="1" applyBorder="1" applyAlignment="1">
      <alignment horizontal="center" vertical="center" wrapText="1"/>
    </xf>
    <xf numFmtId="0" fontId="51" fillId="14" borderId="40" xfId="0" applyFont="1" applyFill="1" applyBorder="1" applyAlignment="1">
      <alignment horizontal="center" vertical="center" wrapText="1"/>
    </xf>
    <xf numFmtId="0" fontId="5" fillId="13" borderId="67" xfId="0" applyFont="1" applyFill="1" applyBorder="1" applyAlignment="1">
      <alignment horizontal="right" vertical="top" wrapText="1"/>
    </xf>
    <xf numFmtId="1" fontId="5" fillId="10" borderId="19" xfId="0" applyNumberFormat="1" applyFont="1" applyFill="1" applyBorder="1" applyAlignment="1">
      <alignment horizontal="center" vertical="top" wrapText="1"/>
    </xf>
    <xf numFmtId="2" fontId="5" fillId="10" borderId="10" xfId="0" applyNumberFormat="1" applyFont="1" applyFill="1" applyBorder="1" applyAlignment="1">
      <alignment horizontal="center" vertical="top" wrapText="1"/>
    </xf>
    <xf numFmtId="2" fontId="5" fillId="10" borderId="2" xfId="0" applyNumberFormat="1" applyFont="1" applyFill="1" applyBorder="1" applyAlignment="1">
      <alignment horizontal="center" vertical="top" wrapText="1"/>
    </xf>
    <xf numFmtId="1" fontId="5" fillId="10" borderId="26" xfId="0" applyNumberFormat="1" applyFont="1" applyFill="1" applyBorder="1" applyAlignment="1">
      <alignment horizontal="center" vertical="top" wrapText="1"/>
    </xf>
    <xf numFmtId="2" fontId="5" fillId="10" borderId="9" xfId="0" applyNumberFormat="1" applyFont="1" applyFill="1" applyBorder="1" applyAlignment="1">
      <alignment horizontal="center" vertical="top" wrapText="1"/>
    </xf>
    <xf numFmtId="1" fontId="5" fillId="10" borderId="4" xfId="0" applyNumberFormat="1" applyFont="1" applyFill="1" applyBorder="1" applyAlignment="1">
      <alignment horizontal="center" vertical="top" wrapText="1"/>
    </xf>
    <xf numFmtId="0" fontId="51" fillId="6" borderId="40" xfId="0" applyFont="1" applyFill="1" applyBorder="1" applyAlignment="1">
      <alignment horizontal="center" vertical="center" wrapText="1"/>
    </xf>
    <xf numFmtId="1" fontId="5" fillId="0" borderId="25" xfId="0" applyNumberFormat="1" applyFont="1" applyBorder="1" applyAlignment="1">
      <alignment horizontal="left" vertical="top" wrapText="1"/>
    </xf>
    <xf numFmtId="1" fontId="5" fillId="0" borderId="41" xfId="0" applyNumberFormat="1" applyFont="1" applyBorder="1" applyAlignment="1">
      <alignment horizontal="left" vertical="top" wrapText="1"/>
    </xf>
    <xf numFmtId="0" fontId="5" fillId="0" borderId="46" xfId="0" applyFont="1" applyBorder="1" applyAlignment="1">
      <alignment horizontal="left" vertical="center" wrapText="1"/>
    </xf>
    <xf numFmtId="0" fontId="5" fillId="0" borderId="33" xfId="0" applyFont="1" applyBorder="1" applyAlignment="1">
      <alignment horizontal="left" vertical="center" wrapText="1"/>
    </xf>
    <xf numFmtId="2" fontId="5" fillId="0" borderId="5" xfId="0" applyNumberFormat="1" applyFont="1" applyBorder="1" applyAlignment="1">
      <alignment horizontal="left" vertical="center" wrapText="1"/>
    </xf>
    <xf numFmtId="2" fontId="5" fillId="17" borderId="3" xfId="0" applyNumberFormat="1" applyFont="1" applyFill="1" applyBorder="1" applyAlignment="1" applyProtection="1">
      <alignment horizontal="center" vertical="center" wrapText="1"/>
      <protection hidden="1"/>
    </xf>
    <xf numFmtId="2" fontId="5" fillId="7" borderId="5" xfId="0" applyNumberFormat="1" applyFont="1" applyFill="1" applyBorder="1" applyAlignment="1" applyProtection="1">
      <alignment horizontal="center" vertical="center" wrapText="1"/>
      <protection hidden="1"/>
    </xf>
    <xf numFmtId="0" fontId="5" fillId="0" borderId="40" xfId="0" applyFont="1" applyBorder="1" applyAlignment="1">
      <alignment horizontal="left" vertical="top" wrapText="1"/>
    </xf>
    <xf numFmtId="0" fontId="5" fillId="0" borderId="62" xfId="0" applyFont="1" applyBorder="1" applyAlignment="1">
      <alignment horizontal="left" vertical="top" wrapText="1"/>
    </xf>
    <xf numFmtId="0" fontId="5" fillId="0" borderId="14" xfId="0" applyFont="1" applyBorder="1" applyAlignment="1">
      <alignment vertical="top" wrapText="1"/>
    </xf>
    <xf numFmtId="0" fontId="5" fillId="19" borderId="22" xfId="0" applyFont="1" applyFill="1" applyBorder="1" applyAlignment="1">
      <alignment horizontal="left" vertical="top" wrapText="1"/>
    </xf>
    <xf numFmtId="0" fontId="5" fillId="0" borderId="14" xfId="0" applyFont="1" applyBorder="1" applyAlignment="1">
      <alignment horizontal="left" vertical="top" wrapText="1"/>
    </xf>
    <xf numFmtId="0" fontId="5" fillId="19" borderId="51" xfId="0" applyFont="1" applyFill="1" applyBorder="1" applyAlignment="1">
      <alignment vertical="top" wrapText="1"/>
    </xf>
    <xf numFmtId="0" fontId="5" fillId="14" borderId="55" xfId="0" applyFont="1" applyFill="1" applyBorder="1" applyAlignment="1">
      <alignment horizontal="left" vertical="top" wrapText="1"/>
    </xf>
    <xf numFmtId="1" fontId="41" fillId="0" borderId="5" xfId="0" applyNumberFormat="1" applyFont="1" applyBorder="1" applyAlignment="1">
      <alignment horizontal="center" vertical="top"/>
    </xf>
    <xf numFmtId="0" fontId="51" fillId="19" borderId="25" xfId="0" applyFont="1" applyFill="1" applyBorder="1" applyAlignment="1">
      <alignment horizontal="center" vertical="center" wrapText="1"/>
    </xf>
    <xf numFmtId="2" fontId="5" fillId="28" borderId="51" xfId="0" applyNumberFormat="1" applyFont="1" applyFill="1" applyBorder="1" applyAlignment="1">
      <alignment horizontal="center" vertical="top"/>
    </xf>
    <xf numFmtId="2" fontId="5" fillId="28" borderId="25" xfId="0" applyNumberFormat="1" applyFont="1" applyFill="1" applyBorder="1" applyAlignment="1">
      <alignment horizontal="center" vertical="top"/>
    </xf>
    <xf numFmtId="0" fontId="5" fillId="28" borderId="25" xfId="0" applyFont="1" applyFill="1" applyBorder="1" applyAlignment="1">
      <alignment horizontal="left" vertical="top" wrapText="1"/>
    </xf>
    <xf numFmtId="1" fontId="5" fillId="2" borderId="58" xfId="0" applyNumberFormat="1" applyFont="1" applyFill="1" applyBorder="1" applyAlignment="1">
      <alignment horizontal="center" vertical="top" wrapText="1"/>
    </xf>
    <xf numFmtId="2" fontId="5" fillId="28" borderId="62" xfId="0" applyNumberFormat="1" applyFont="1" applyFill="1" applyBorder="1" applyAlignment="1">
      <alignment horizontal="center" vertical="top" wrapText="1"/>
    </xf>
    <xf numFmtId="1" fontId="5" fillId="2" borderId="6" xfId="0" applyNumberFormat="1" applyFont="1" applyFill="1" applyBorder="1" applyAlignment="1">
      <alignment horizontal="center" vertical="top"/>
    </xf>
    <xf numFmtId="0" fontId="5" fillId="13" borderId="66" xfId="0" applyFont="1" applyFill="1" applyBorder="1" applyAlignment="1">
      <alignment horizontal="center" vertical="top" wrapText="1"/>
    </xf>
    <xf numFmtId="2" fontId="5" fillId="3" borderId="51" xfId="0" applyNumberFormat="1" applyFont="1" applyFill="1" applyBorder="1" applyAlignment="1">
      <alignment horizontal="center" vertical="top"/>
    </xf>
    <xf numFmtId="1" fontId="5" fillId="2" borderId="66" xfId="0" applyNumberFormat="1" applyFont="1" applyFill="1" applyBorder="1" applyAlignment="1">
      <alignment horizontal="center" vertical="top"/>
    </xf>
    <xf numFmtId="2" fontId="5" fillId="2" borderId="10" xfId="0" applyNumberFormat="1" applyFont="1" applyFill="1" applyBorder="1" applyAlignment="1">
      <alignment horizontal="center" vertical="top"/>
    </xf>
    <xf numFmtId="2" fontId="5" fillId="2" borderId="2" xfId="0" applyNumberFormat="1" applyFont="1" applyFill="1" applyBorder="1" applyAlignment="1">
      <alignment horizontal="center" vertical="top"/>
    </xf>
    <xf numFmtId="2" fontId="5" fillId="2" borderId="72" xfId="0" applyNumberFormat="1" applyFont="1" applyFill="1" applyBorder="1" applyAlignment="1">
      <alignment horizontal="center" vertical="top"/>
    </xf>
    <xf numFmtId="2" fontId="5" fillId="2" borderId="9" xfId="0" applyNumberFormat="1" applyFont="1" applyFill="1" applyBorder="1" applyAlignment="1">
      <alignment horizontal="center" vertical="top"/>
    </xf>
    <xf numFmtId="1" fontId="5" fillId="0" borderId="13" xfId="0" applyNumberFormat="1" applyFont="1" applyBorder="1" applyAlignment="1">
      <alignment horizontal="left" vertical="top" wrapText="1"/>
    </xf>
    <xf numFmtId="2" fontId="5" fillId="2" borderId="21" xfId="0" applyNumberFormat="1" applyFont="1" applyFill="1" applyBorder="1" applyAlignment="1">
      <alignment horizontal="center" vertical="top" wrapText="1"/>
    </xf>
    <xf numFmtId="2" fontId="5" fillId="2" borderId="50" xfId="0" applyNumberFormat="1" applyFont="1" applyFill="1" applyBorder="1" applyAlignment="1">
      <alignment horizontal="center" vertical="top" wrapText="1"/>
    </xf>
    <xf numFmtId="1" fontId="5" fillId="2" borderId="10" xfId="0" applyNumberFormat="1" applyFont="1" applyFill="1" applyBorder="1" applyAlignment="1">
      <alignment horizontal="center" vertical="top"/>
    </xf>
    <xf numFmtId="1" fontId="5" fillId="33" borderId="55" xfId="0" applyNumberFormat="1" applyFont="1" applyFill="1" applyBorder="1" applyAlignment="1">
      <alignment horizontal="left" vertical="top" wrapText="1"/>
    </xf>
    <xf numFmtId="1" fontId="5" fillId="0" borderId="0" xfId="0" applyNumberFormat="1" applyFont="1" applyAlignment="1">
      <alignment horizontal="right" vertical="top" wrapText="1"/>
    </xf>
    <xf numFmtId="2" fontId="5" fillId="33" borderId="55" xfId="0" applyNumberFormat="1" applyFont="1" applyFill="1" applyBorder="1" applyAlignment="1">
      <alignment horizontal="center" vertical="top" wrapText="1"/>
    </xf>
    <xf numFmtId="1" fontId="5" fillId="33" borderId="5" xfId="0" applyNumberFormat="1" applyFont="1" applyFill="1" applyBorder="1" applyAlignment="1">
      <alignment horizontal="left" vertical="top" wrapText="1"/>
    </xf>
    <xf numFmtId="1" fontId="5" fillId="0" borderId="25" xfId="0" applyNumberFormat="1" applyFont="1" applyBorder="1" applyAlignment="1">
      <alignment horizontal="right" vertical="top" wrapText="1"/>
    </xf>
    <xf numFmtId="1" fontId="5" fillId="33" borderId="22" xfId="0" applyNumberFormat="1" applyFont="1" applyFill="1" applyBorder="1" applyAlignment="1">
      <alignment horizontal="left" vertical="top" wrapText="1"/>
    </xf>
    <xf numFmtId="0" fontId="51" fillId="29" borderId="51" xfId="0" applyFont="1" applyFill="1" applyBorder="1" applyAlignment="1">
      <alignment horizontal="center" vertical="center" wrapText="1"/>
    </xf>
    <xf numFmtId="0" fontId="51" fillId="6" borderId="80" xfId="0" applyFont="1" applyFill="1" applyBorder="1" applyAlignment="1">
      <alignment horizontal="center" vertical="center" wrapText="1"/>
    </xf>
    <xf numFmtId="1" fontId="5" fillId="2" borderId="42" xfId="0" applyNumberFormat="1" applyFont="1" applyFill="1" applyBorder="1" applyAlignment="1">
      <alignment horizontal="center" vertical="top" wrapText="1"/>
    </xf>
    <xf numFmtId="2" fontId="5" fillId="2" borderId="73" xfId="0" applyNumberFormat="1" applyFont="1" applyFill="1" applyBorder="1" applyAlignment="1">
      <alignment horizontal="center" vertical="top" wrapText="1"/>
    </xf>
    <xf numFmtId="0" fontId="5" fillId="26" borderId="5" xfId="0" applyFont="1" applyFill="1" applyBorder="1" applyAlignment="1">
      <alignment vertical="top" wrapText="1"/>
    </xf>
    <xf numFmtId="2" fontId="5" fillId="26" borderId="24" xfId="0" applyNumberFormat="1" applyFont="1" applyFill="1" applyBorder="1" applyAlignment="1">
      <alignment horizontal="center" vertical="top" wrapText="1"/>
    </xf>
    <xf numFmtId="2" fontId="5" fillId="2" borderId="69" xfId="0" applyNumberFormat="1" applyFont="1" applyFill="1" applyBorder="1" applyAlignment="1">
      <alignment horizontal="center" vertical="top" wrapText="1"/>
    </xf>
    <xf numFmtId="0" fontId="5" fillId="29" borderId="5" xfId="0" applyFont="1" applyFill="1" applyBorder="1" applyAlignment="1">
      <alignment horizontal="left" vertical="top" wrapText="1"/>
    </xf>
    <xf numFmtId="2" fontId="5" fillId="0" borderId="13" xfId="0" applyNumberFormat="1" applyFont="1" applyBorder="1">
      <alignment vertical="top"/>
    </xf>
    <xf numFmtId="2" fontId="5" fillId="6" borderId="15" xfId="0" applyNumberFormat="1" applyFont="1" applyFill="1" applyBorder="1" applyAlignment="1">
      <alignment horizontal="center" vertical="top" wrapText="1"/>
    </xf>
    <xf numFmtId="1" fontId="5" fillId="0" borderId="13" xfId="0" applyNumberFormat="1" applyFont="1" applyBorder="1" applyAlignment="1">
      <alignment horizontal="center" vertical="top" wrapText="1"/>
    </xf>
    <xf numFmtId="0" fontId="5" fillId="0" borderId="46" xfId="0" applyFont="1" applyBorder="1" applyAlignment="1">
      <alignment vertical="center" wrapText="1"/>
    </xf>
    <xf numFmtId="0" fontId="5" fillId="0" borderId="53" xfId="0" applyFont="1" applyBorder="1" applyAlignment="1">
      <alignment vertical="center" wrapText="1"/>
    </xf>
    <xf numFmtId="1" fontId="11" fillId="0" borderId="5" xfId="0" applyNumberFormat="1" applyFont="1" applyBorder="1" applyAlignment="1">
      <alignment horizontal="center" vertical="center"/>
    </xf>
    <xf numFmtId="0" fontId="5" fillId="0" borderId="14" xfId="0" applyFont="1" applyBorder="1" applyAlignment="1">
      <alignment horizontal="left" vertical="center" wrapText="1"/>
    </xf>
    <xf numFmtId="0" fontId="5" fillId="0" borderId="0" xfId="0" applyFont="1" applyAlignment="1">
      <alignment horizontal="right" vertical="center"/>
    </xf>
    <xf numFmtId="2" fontId="5" fillId="5" borderId="19" xfId="0" applyNumberFormat="1" applyFont="1" applyFill="1" applyBorder="1" applyAlignment="1" applyProtection="1">
      <alignment horizontal="center" vertical="center"/>
      <protection hidden="1"/>
    </xf>
    <xf numFmtId="2" fontId="5" fillId="5" borderId="1" xfId="0" applyNumberFormat="1" applyFont="1" applyFill="1" applyBorder="1" applyAlignment="1" applyProtection="1">
      <alignment horizontal="center" vertical="center"/>
      <protection hidden="1"/>
    </xf>
    <xf numFmtId="2" fontId="5" fillId="5" borderId="3" xfId="0" applyNumberFormat="1" applyFont="1" applyFill="1" applyBorder="1" applyAlignment="1" applyProtection="1">
      <alignment horizontal="center" vertical="center"/>
      <protection hidden="1"/>
    </xf>
    <xf numFmtId="2" fontId="5" fillId="6" borderId="5" xfId="0" applyNumberFormat="1" applyFont="1" applyFill="1" applyBorder="1" applyAlignment="1" applyProtection="1">
      <alignment horizontal="center" vertical="center"/>
      <protection hidden="1"/>
    </xf>
    <xf numFmtId="0" fontId="28" fillId="25" borderId="40" xfId="0" applyFont="1" applyFill="1" applyBorder="1" applyAlignment="1">
      <alignment vertical="top" wrapText="1"/>
    </xf>
    <xf numFmtId="0" fontId="5" fillId="13" borderId="70" xfId="0" applyFont="1" applyFill="1" applyBorder="1" applyAlignment="1">
      <alignment horizontal="center" vertical="top" wrapText="1"/>
    </xf>
    <xf numFmtId="0" fontId="5" fillId="2" borderId="79" xfId="0" applyFont="1" applyFill="1" applyBorder="1" applyAlignment="1">
      <alignment horizontal="center" vertical="top" wrapText="1"/>
    </xf>
    <xf numFmtId="0" fontId="5" fillId="0" borderId="4" xfId="0" applyFont="1" applyBorder="1" applyAlignment="1">
      <alignment horizontal="center" vertical="top" wrapText="1"/>
    </xf>
    <xf numFmtId="2" fontId="5" fillId="2" borderId="22" xfId="0" applyNumberFormat="1" applyFont="1" applyFill="1" applyBorder="1" applyAlignment="1">
      <alignment horizontal="center" vertical="top"/>
    </xf>
    <xf numFmtId="2" fontId="5" fillId="3" borderId="62" xfId="0" applyNumberFormat="1" applyFont="1" applyFill="1" applyBorder="1" applyAlignment="1">
      <alignment horizontal="center" vertical="top" wrapText="1"/>
    </xf>
    <xf numFmtId="2" fontId="5" fillId="3" borderId="5" xfId="0" applyNumberFormat="1" applyFont="1" applyFill="1" applyBorder="1" applyAlignment="1">
      <alignment horizontal="center" vertical="top"/>
    </xf>
    <xf numFmtId="2" fontId="5" fillId="2" borderId="43" xfId="0" applyNumberFormat="1" applyFont="1" applyFill="1" applyBorder="1" applyAlignment="1">
      <alignment horizontal="center" vertical="top"/>
    </xf>
    <xf numFmtId="2" fontId="5" fillId="2" borderId="31" xfId="0" applyNumberFormat="1" applyFont="1" applyFill="1" applyBorder="1" applyAlignment="1">
      <alignment horizontal="center" vertical="top"/>
    </xf>
    <xf numFmtId="2" fontId="5" fillId="2" borderId="38" xfId="0" applyNumberFormat="1" applyFont="1" applyFill="1" applyBorder="1" applyAlignment="1">
      <alignment horizontal="center" vertical="top"/>
    </xf>
    <xf numFmtId="0" fontId="5" fillId="0" borderId="37" xfId="0" applyFont="1" applyBorder="1" applyAlignment="1">
      <alignment horizontal="left" vertical="top" wrapText="1"/>
    </xf>
    <xf numFmtId="1" fontId="5" fillId="33" borderId="25" xfId="0" applyNumberFormat="1" applyFont="1" applyFill="1" applyBorder="1" applyAlignment="1">
      <alignment horizontal="left" vertical="top" wrapText="1"/>
    </xf>
    <xf numFmtId="1" fontId="5" fillId="33" borderId="62" xfId="0" applyNumberFormat="1" applyFont="1" applyFill="1" applyBorder="1" applyAlignment="1">
      <alignment horizontal="left" vertical="top" wrapText="1"/>
    </xf>
    <xf numFmtId="0" fontId="51" fillId="29" borderId="25" xfId="0" applyFont="1" applyFill="1" applyBorder="1" applyAlignment="1">
      <alignment horizontal="center" vertical="center" wrapText="1"/>
    </xf>
    <xf numFmtId="0" fontId="51" fillId="20" borderId="13" xfId="0" applyFont="1" applyFill="1" applyBorder="1" applyAlignment="1">
      <alignment horizontal="center" vertical="center" wrapText="1"/>
    </xf>
    <xf numFmtId="0" fontId="51" fillId="6" borderId="4" xfId="0" applyFont="1" applyFill="1" applyBorder="1" applyAlignment="1">
      <alignment horizontal="center" vertical="center" wrapText="1"/>
    </xf>
    <xf numFmtId="1" fontId="51" fillId="6" borderId="28" xfId="0" applyNumberFormat="1" applyFont="1" applyFill="1" applyBorder="1" applyAlignment="1">
      <alignment horizontal="center" vertical="center" wrapText="1"/>
    </xf>
    <xf numFmtId="1" fontId="5" fillId="2" borderId="67" xfId="0" applyNumberFormat="1" applyFont="1" applyFill="1" applyBorder="1" applyAlignment="1">
      <alignment horizontal="center" vertical="top"/>
    </xf>
    <xf numFmtId="1" fontId="5" fillId="2" borderId="74" xfId="0" applyNumberFormat="1" applyFont="1" applyFill="1" applyBorder="1" applyAlignment="1">
      <alignment horizontal="center" vertical="top"/>
    </xf>
    <xf numFmtId="1" fontId="5" fillId="2" borderId="12" xfId="0" applyNumberFormat="1" applyFont="1" applyFill="1" applyBorder="1" applyAlignment="1">
      <alignment horizontal="center" vertical="top"/>
    </xf>
    <xf numFmtId="1" fontId="5" fillId="2" borderId="8" xfId="0" applyNumberFormat="1" applyFont="1" applyFill="1" applyBorder="1" applyAlignment="1">
      <alignment horizontal="center" vertical="top"/>
    </xf>
    <xf numFmtId="1" fontId="5" fillId="2" borderId="78" xfId="0" applyNumberFormat="1" applyFont="1" applyFill="1" applyBorder="1" applyAlignment="1">
      <alignment horizontal="center" vertical="top"/>
    </xf>
    <xf numFmtId="0" fontId="5" fillId="29" borderId="25" xfId="0" applyFont="1" applyFill="1" applyBorder="1" applyAlignment="1">
      <alignment horizontal="left" vertical="top" wrapText="1"/>
    </xf>
    <xf numFmtId="2" fontId="5" fillId="0" borderId="29" xfId="0" applyNumberFormat="1" applyFont="1" applyBorder="1" applyAlignment="1">
      <alignment vertical="top" wrapText="1"/>
    </xf>
    <xf numFmtId="1" fontId="5" fillId="2" borderId="7" xfId="0" applyNumberFormat="1" applyFont="1" applyFill="1" applyBorder="1" applyAlignment="1">
      <alignment horizontal="center" vertical="top"/>
    </xf>
    <xf numFmtId="1" fontId="5" fillId="2" borderId="79" xfId="0" applyNumberFormat="1" applyFont="1" applyFill="1" applyBorder="1" applyAlignment="1">
      <alignment horizontal="center" vertical="top"/>
    </xf>
    <xf numFmtId="0" fontId="32" fillId="0" borderId="0" xfId="0" applyFont="1" applyAlignment="1">
      <alignment vertical="top" wrapText="1"/>
    </xf>
    <xf numFmtId="1" fontId="5" fillId="0" borderId="13" xfId="0" applyNumberFormat="1" applyFont="1" applyBorder="1" applyAlignment="1">
      <alignment horizontal="center" vertical="top"/>
    </xf>
    <xf numFmtId="1" fontId="5" fillId="0" borderId="7" xfId="0" applyNumberFormat="1" applyFont="1" applyBorder="1" applyAlignment="1">
      <alignment horizontal="center" vertical="top" wrapText="1"/>
    </xf>
    <xf numFmtId="2" fontId="5" fillId="0" borderId="7" xfId="0" applyNumberFormat="1" applyFont="1" applyBorder="1" applyAlignment="1">
      <alignment horizontal="center" vertical="top"/>
    </xf>
    <xf numFmtId="0" fontId="5" fillId="0" borderId="45" xfId="0" applyFont="1" applyBorder="1" applyAlignment="1">
      <alignment horizontal="left" vertical="center" wrapText="1"/>
    </xf>
    <xf numFmtId="0" fontId="54" fillId="0" borderId="0" xfId="0" applyFont="1">
      <alignment vertical="top"/>
    </xf>
    <xf numFmtId="0" fontId="8" fillId="0" borderId="5" xfId="0" applyFont="1" applyBorder="1" applyAlignment="1">
      <alignment horizontal="center" vertical="center"/>
    </xf>
    <xf numFmtId="1" fontId="43" fillId="0" borderId="5" xfId="0" applyNumberFormat="1" applyFont="1" applyBorder="1" applyAlignment="1">
      <alignment horizontal="center" vertical="top"/>
    </xf>
    <xf numFmtId="0" fontId="6" fillId="19"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49" fontId="6" fillId="3" borderId="28"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2" fontId="6" fillId="3" borderId="25"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top"/>
    </xf>
    <xf numFmtId="1" fontId="5" fillId="2" borderId="72" xfId="0" applyNumberFormat="1" applyFont="1" applyFill="1" applyBorder="1" applyAlignment="1">
      <alignment horizontal="center" vertical="top"/>
    </xf>
    <xf numFmtId="1" fontId="5" fillId="2" borderId="11" xfId="0" applyNumberFormat="1" applyFont="1" applyFill="1" applyBorder="1" applyAlignment="1">
      <alignment horizontal="center" vertical="top"/>
    </xf>
    <xf numFmtId="0" fontId="5" fillId="0" borderId="20" xfId="0" applyFont="1" applyBorder="1" applyAlignment="1">
      <alignment horizontal="left" vertical="top" wrapText="1" indent="1"/>
    </xf>
    <xf numFmtId="1" fontId="5" fillId="2" borderId="50" xfId="0" applyNumberFormat="1" applyFont="1" applyFill="1" applyBorder="1" applyAlignment="1">
      <alignment horizontal="center" vertical="top" wrapText="1"/>
    </xf>
    <xf numFmtId="0" fontId="5" fillId="0" borderId="21" xfId="0" applyFont="1" applyBorder="1" applyAlignment="1">
      <alignment horizontal="left" vertical="top" wrapText="1" indent="1"/>
    </xf>
    <xf numFmtId="1" fontId="5" fillId="2" borderId="13" xfId="0" applyNumberFormat="1" applyFont="1" applyFill="1" applyBorder="1" applyAlignment="1">
      <alignment horizontal="center" vertical="top" wrapText="1"/>
    </xf>
    <xf numFmtId="2" fontId="5" fillId="2" borderId="66" xfId="0" applyNumberFormat="1" applyFont="1" applyFill="1" applyBorder="1" applyAlignment="1">
      <alignment horizontal="center" vertical="top"/>
    </xf>
    <xf numFmtId="2" fontId="5" fillId="2" borderId="69" xfId="0" applyNumberFormat="1" applyFont="1" applyFill="1" applyBorder="1" applyAlignment="1">
      <alignment horizontal="center" vertical="top"/>
    </xf>
    <xf numFmtId="2" fontId="5" fillId="2" borderId="12" xfId="0" applyNumberFormat="1" applyFont="1" applyFill="1" applyBorder="1" applyAlignment="1">
      <alignment horizontal="center" vertical="top"/>
    </xf>
    <xf numFmtId="1" fontId="5" fillId="0" borderId="50" xfId="0" applyNumberFormat="1" applyFont="1" applyBorder="1" applyAlignment="1">
      <alignment horizontal="left" vertical="top" wrapText="1"/>
    </xf>
    <xf numFmtId="2" fontId="5" fillId="2" borderId="67" xfId="0" applyNumberFormat="1" applyFont="1" applyFill="1" applyBorder="1" applyAlignment="1">
      <alignment horizontal="center" vertical="top"/>
    </xf>
    <xf numFmtId="2" fontId="5" fillId="10" borderId="10" xfId="0" applyNumberFormat="1" applyFont="1" applyFill="1" applyBorder="1" applyAlignment="1">
      <alignment horizontal="center" vertical="top"/>
    </xf>
    <xf numFmtId="2" fontId="5" fillId="10" borderId="2" xfId="0" applyNumberFormat="1" applyFont="1" applyFill="1" applyBorder="1" applyAlignment="1">
      <alignment horizontal="center" vertical="top"/>
    </xf>
    <xf numFmtId="2" fontId="5" fillId="10" borderId="72" xfId="0" applyNumberFormat="1" applyFont="1" applyFill="1" applyBorder="1" applyAlignment="1">
      <alignment horizontal="center" vertical="top"/>
    </xf>
    <xf numFmtId="0" fontId="5" fillId="2" borderId="19" xfId="0" applyFont="1" applyFill="1" applyBorder="1" applyAlignment="1">
      <alignment horizontal="center" vertical="top" wrapText="1"/>
    </xf>
    <xf numFmtId="1" fontId="5" fillId="10" borderId="6" xfId="0" applyNumberFormat="1" applyFont="1" applyFill="1" applyBorder="1" applyAlignment="1">
      <alignment horizontal="center" vertical="top"/>
    </xf>
    <xf numFmtId="1" fontId="5" fillId="10" borderId="74" xfId="0" applyNumberFormat="1" applyFont="1" applyFill="1" applyBorder="1" applyAlignment="1">
      <alignment horizontal="center" vertical="top"/>
    </xf>
    <xf numFmtId="1" fontId="5" fillId="10" borderId="12" xfId="0" applyNumberFormat="1" applyFont="1" applyFill="1" applyBorder="1" applyAlignment="1">
      <alignment horizontal="center" vertical="top"/>
    </xf>
    <xf numFmtId="1" fontId="5" fillId="10" borderId="8" xfId="0" applyNumberFormat="1" applyFont="1" applyFill="1" applyBorder="1" applyAlignment="1">
      <alignment horizontal="center" vertical="top"/>
    </xf>
    <xf numFmtId="0" fontId="6" fillId="14" borderId="5" xfId="0" applyFont="1" applyFill="1" applyBorder="1" applyAlignment="1">
      <alignment horizontal="center" vertical="center" wrapText="1"/>
    </xf>
    <xf numFmtId="49" fontId="6" fillId="14" borderId="28" xfId="0" applyNumberFormat="1" applyFont="1" applyFill="1" applyBorder="1" applyAlignment="1">
      <alignment horizontal="center" vertical="center" wrapText="1"/>
    </xf>
    <xf numFmtId="1" fontId="6" fillId="14" borderId="5" xfId="0" applyNumberFormat="1" applyFont="1" applyFill="1" applyBorder="1" applyAlignment="1">
      <alignment horizontal="center" vertical="center" wrapText="1"/>
    </xf>
    <xf numFmtId="2" fontId="6" fillId="14" borderId="25" xfId="0" applyNumberFormat="1" applyFont="1" applyFill="1" applyBorder="1" applyAlignment="1">
      <alignment horizontal="center" vertical="center" wrapText="1"/>
    </xf>
    <xf numFmtId="1" fontId="5" fillId="10" borderId="67" xfId="0" applyNumberFormat="1" applyFont="1" applyFill="1" applyBorder="1" applyAlignment="1">
      <alignment horizontal="center" vertical="top"/>
    </xf>
    <xf numFmtId="1" fontId="5" fillId="10" borderId="19" xfId="0" applyNumberFormat="1" applyFont="1" applyFill="1" applyBorder="1" applyAlignment="1">
      <alignment horizontal="center" vertical="top"/>
    </xf>
    <xf numFmtId="2" fontId="5" fillId="14" borderId="5" xfId="0" applyNumberFormat="1" applyFont="1" applyFill="1" applyBorder="1" applyAlignment="1">
      <alignment horizontal="center" vertical="top"/>
    </xf>
    <xf numFmtId="1" fontId="5" fillId="10" borderId="4" xfId="0" applyNumberFormat="1" applyFont="1" applyFill="1" applyBorder="1" applyAlignment="1">
      <alignment horizontal="center" vertical="top"/>
    </xf>
    <xf numFmtId="1" fontId="5" fillId="2" borderId="49" xfId="0" applyNumberFormat="1" applyFont="1" applyFill="1" applyBorder="1" applyAlignment="1">
      <alignment horizontal="center" vertical="top" wrapText="1"/>
    </xf>
    <xf numFmtId="1" fontId="5" fillId="2" borderId="43" xfId="0" applyNumberFormat="1" applyFont="1" applyFill="1" applyBorder="1" applyAlignment="1">
      <alignment horizontal="center" vertical="top" wrapText="1"/>
    </xf>
    <xf numFmtId="1" fontId="5" fillId="10" borderId="64" xfId="0" applyNumberFormat="1" applyFont="1" applyFill="1" applyBorder="1" applyAlignment="1">
      <alignment horizontal="center" vertical="top"/>
    </xf>
    <xf numFmtId="1" fontId="5" fillId="2" borderId="44" xfId="0" applyNumberFormat="1" applyFont="1" applyFill="1" applyBorder="1" applyAlignment="1">
      <alignment horizontal="center" vertical="top" wrapText="1"/>
    </xf>
    <xf numFmtId="1" fontId="5" fillId="14" borderId="0" xfId="0" applyNumberFormat="1" applyFont="1" applyFill="1" applyAlignment="1">
      <alignment vertical="top" wrapText="1"/>
    </xf>
    <xf numFmtId="1" fontId="5" fillId="10" borderId="48" xfId="0" applyNumberFormat="1" applyFont="1" applyFill="1" applyBorder="1" applyAlignment="1">
      <alignment horizontal="center" vertical="top"/>
    </xf>
    <xf numFmtId="0" fontId="5" fillId="14" borderId="62" xfId="0" applyFont="1" applyFill="1" applyBorder="1" applyAlignment="1">
      <alignment vertical="top" wrapText="1"/>
    </xf>
    <xf numFmtId="1" fontId="5" fillId="10" borderId="1" xfId="0" applyNumberFormat="1" applyFont="1" applyFill="1" applyBorder="1" applyAlignment="1">
      <alignment horizontal="center" vertical="top"/>
    </xf>
    <xf numFmtId="1" fontId="5" fillId="0" borderId="23" xfId="0" applyNumberFormat="1" applyFont="1" applyBorder="1" applyAlignment="1">
      <alignment vertical="top" wrapText="1"/>
    </xf>
    <xf numFmtId="1" fontId="5" fillId="10" borderId="3" xfId="0" applyNumberFormat="1" applyFont="1" applyFill="1" applyBorder="1" applyAlignment="1">
      <alignment horizontal="center" vertical="top"/>
    </xf>
    <xf numFmtId="2" fontId="5" fillId="2" borderId="75" xfId="0" applyNumberFormat="1" applyFont="1" applyFill="1" applyBorder="1" applyAlignment="1">
      <alignment horizontal="center" vertical="top"/>
    </xf>
    <xf numFmtId="1" fontId="5" fillId="14" borderId="52" xfId="0" applyNumberFormat="1" applyFont="1" applyFill="1" applyBorder="1" applyAlignment="1">
      <alignment vertical="top" wrapText="1"/>
    </xf>
    <xf numFmtId="0" fontId="5" fillId="14" borderId="51" xfId="0" applyFont="1" applyFill="1" applyBorder="1" applyAlignment="1">
      <alignment vertical="top" wrapText="1"/>
    </xf>
    <xf numFmtId="1" fontId="5" fillId="10" borderId="26" xfId="0" applyNumberFormat="1" applyFont="1" applyFill="1" applyBorder="1" applyAlignment="1">
      <alignment horizontal="center" vertical="top"/>
    </xf>
    <xf numFmtId="0" fontId="51" fillId="6" borderId="0" xfId="0" applyFont="1" applyFill="1" applyAlignment="1">
      <alignment horizontal="center" vertical="center" wrapText="1"/>
    </xf>
    <xf numFmtId="2" fontId="51" fillId="6" borderId="5" xfId="0" applyNumberFormat="1" applyFont="1" applyFill="1" applyBorder="1" applyAlignment="1">
      <alignment horizontal="center" vertical="center" wrapText="1"/>
    </xf>
    <xf numFmtId="0" fontId="51" fillId="6" borderId="28" xfId="0" applyFont="1" applyFill="1" applyBorder="1" applyAlignment="1">
      <alignment horizontal="center" vertical="center" wrapText="1"/>
    </xf>
    <xf numFmtId="2" fontId="5" fillId="2" borderId="73" xfId="0" applyNumberFormat="1" applyFont="1" applyFill="1" applyBorder="1" applyAlignment="1">
      <alignment horizontal="center" vertical="top"/>
    </xf>
    <xf numFmtId="44" fontId="5" fillId="0" borderId="25" xfId="1" applyFont="1" applyFill="1" applyBorder="1" applyAlignment="1" applyProtection="1">
      <alignment horizontal="left" vertical="top" wrapText="1"/>
    </xf>
    <xf numFmtId="44" fontId="5" fillId="0" borderId="20" xfId="1" applyFont="1" applyFill="1" applyBorder="1" applyAlignment="1" applyProtection="1">
      <alignment horizontal="left" vertical="top" wrapText="1"/>
    </xf>
    <xf numFmtId="37" fontId="5" fillId="0" borderId="1" xfId="1" applyNumberFormat="1" applyFont="1" applyFill="1" applyBorder="1" applyAlignment="1" applyProtection="1">
      <alignment horizontal="center" vertical="top" wrapText="1"/>
    </xf>
    <xf numFmtId="44" fontId="5" fillId="0" borderId="0" xfId="1" applyFont="1" applyFill="1" applyBorder="1" applyAlignment="1" applyProtection="1">
      <alignment horizontal="left" vertical="top" wrapText="1"/>
    </xf>
    <xf numFmtId="37" fontId="5" fillId="0" borderId="3" xfId="1" applyNumberFormat="1" applyFont="1" applyFill="1" applyBorder="1" applyAlignment="1" applyProtection="1">
      <alignment horizontal="center" vertical="top" wrapText="1"/>
    </xf>
    <xf numFmtId="1" fontId="5" fillId="13" borderId="67" xfId="0" applyNumberFormat="1" applyFont="1" applyFill="1" applyBorder="1" applyAlignment="1">
      <alignment horizontal="center" vertical="top" wrapText="1"/>
    </xf>
    <xf numFmtId="0" fontId="5" fillId="0" borderId="6" xfId="0" applyFont="1" applyBorder="1" applyAlignment="1">
      <alignment horizontal="center" vertical="top" wrapText="1"/>
    </xf>
    <xf numFmtId="1" fontId="5" fillId="2" borderId="69" xfId="0" applyNumberFormat="1" applyFont="1" applyFill="1" applyBorder="1" applyAlignment="1">
      <alignment horizontal="center" vertical="top" wrapText="1"/>
    </xf>
    <xf numFmtId="2" fontId="5" fillId="0" borderId="78" xfId="0" applyNumberFormat="1" applyFont="1" applyBorder="1" applyAlignment="1">
      <alignment horizontal="left" vertical="top" wrapText="1"/>
    </xf>
    <xf numFmtId="0" fontId="5" fillId="13" borderId="63" xfId="0" applyFont="1" applyFill="1" applyBorder="1" applyAlignment="1">
      <alignment horizontal="center" vertical="top" wrapText="1"/>
    </xf>
    <xf numFmtId="1" fontId="5" fillId="13" borderId="63" xfId="0" applyNumberFormat="1" applyFont="1" applyFill="1" applyBorder="1" applyAlignment="1">
      <alignment horizontal="center" vertical="top"/>
    </xf>
    <xf numFmtId="1" fontId="5" fillId="13" borderId="15" xfId="0" applyNumberFormat="1" applyFont="1" applyFill="1" applyBorder="1" applyAlignment="1">
      <alignment horizontal="center" vertical="top" wrapText="1"/>
    </xf>
    <xf numFmtId="2" fontId="5" fillId="6" borderId="25" xfId="0" applyNumberFormat="1" applyFont="1" applyFill="1" applyBorder="1" applyAlignment="1">
      <alignment horizontal="center" vertical="top"/>
    </xf>
    <xf numFmtId="49" fontId="5" fillId="0" borderId="0" xfId="0" applyNumberFormat="1" applyFont="1" applyAlignment="1">
      <alignment horizontal="right" vertical="top" wrapText="1"/>
    </xf>
    <xf numFmtId="1" fontId="5" fillId="0" borderId="22" xfId="0" applyNumberFormat="1" applyFont="1" applyBorder="1" applyAlignment="1">
      <alignment horizontal="center" vertical="top" wrapText="1"/>
    </xf>
    <xf numFmtId="0" fontId="5" fillId="0" borderId="49" xfId="0" applyFont="1" applyBorder="1" applyAlignment="1">
      <alignment vertical="center" wrapText="1"/>
    </xf>
    <xf numFmtId="0" fontId="5" fillId="0" borderId="31" xfId="0" applyFont="1" applyBorder="1" applyAlignment="1">
      <alignment vertical="center" wrapText="1"/>
    </xf>
    <xf numFmtId="0" fontId="5" fillId="0" borderId="38" xfId="0" applyFont="1" applyBorder="1" applyAlignment="1">
      <alignment horizontal="left" vertical="center" wrapText="1"/>
    </xf>
    <xf numFmtId="0" fontId="5" fillId="0" borderId="45" xfId="0" applyFont="1" applyBorder="1" applyAlignment="1">
      <alignment vertical="top" wrapText="1"/>
    </xf>
    <xf numFmtId="2" fontId="5" fillId="5" borderId="26" xfId="0" applyNumberFormat="1" applyFont="1" applyFill="1" applyBorder="1" applyAlignment="1" applyProtection="1">
      <alignment horizontal="center" vertical="center"/>
      <protection hidden="1"/>
    </xf>
    <xf numFmtId="2" fontId="5" fillId="14" borderId="3" xfId="0" applyNumberFormat="1" applyFont="1" applyFill="1" applyBorder="1" applyAlignment="1" applyProtection="1">
      <alignment horizontal="center" vertical="center"/>
      <protection hidden="1"/>
    </xf>
    <xf numFmtId="0" fontId="51" fillId="19" borderId="22" xfId="0" applyFont="1" applyFill="1" applyBorder="1" applyAlignment="1">
      <alignment horizontal="center" vertical="center" wrapText="1"/>
    </xf>
    <xf numFmtId="49" fontId="51" fillId="3" borderId="61" xfId="0" applyNumberFormat="1" applyFont="1" applyFill="1" applyBorder="1" applyAlignment="1">
      <alignment horizontal="center" vertical="center" wrapText="1"/>
    </xf>
    <xf numFmtId="1" fontId="51" fillId="3" borderId="40" xfId="0" applyNumberFormat="1" applyFont="1" applyFill="1" applyBorder="1" applyAlignment="1">
      <alignment horizontal="center" vertical="center" wrapText="1"/>
    </xf>
    <xf numFmtId="2" fontId="51" fillId="3" borderId="52" xfId="0" applyNumberFormat="1" applyFont="1" applyFill="1" applyBorder="1" applyAlignment="1">
      <alignment horizontal="center" vertical="center" wrapText="1"/>
    </xf>
    <xf numFmtId="1" fontId="5" fillId="2" borderId="67" xfId="0"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1" fontId="5" fillId="2" borderId="66" xfId="0" applyNumberFormat="1" applyFont="1" applyFill="1" applyBorder="1" applyAlignment="1">
      <alignment horizontal="center" vertical="center"/>
    </xf>
    <xf numFmtId="1" fontId="5" fillId="0" borderId="1" xfId="0" applyNumberFormat="1" applyFont="1" applyBorder="1" applyAlignment="1">
      <alignment horizontal="center" vertical="center" wrapText="1"/>
    </xf>
    <xf numFmtId="1" fontId="5" fillId="2" borderId="1" xfId="0" applyNumberFormat="1" applyFont="1" applyFill="1" applyBorder="1" applyAlignment="1">
      <alignment horizontal="center" vertical="center" wrapText="1"/>
    </xf>
    <xf numFmtId="0" fontId="5" fillId="0" borderId="50" xfId="0" applyFont="1" applyBorder="1" applyAlignment="1">
      <alignment horizontal="left" vertical="center" wrapText="1"/>
    </xf>
    <xf numFmtId="1" fontId="5" fillId="2" borderId="6" xfId="0" applyNumberFormat="1" applyFont="1" applyFill="1" applyBorder="1" applyAlignment="1">
      <alignment horizontal="center" vertical="center" wrapText="1"/>
    </xf>
    <xf numFmtId="1" fontId="5" fillId="0" borderId="3" xfId="0" applyNumberFormat="1" applyFont="1" applyBorder="1" applyAlignment="1">
      <alignment horizontal="center" vertical="center" wrapText="1"/>
    </xf>
    <xf numFmtId="1" fontId="5" fillId="2" borderId="8"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2" fontId="5" fillId="0" borderId="25" xfId="0" applyNumberFormat="1" applyFont="1" applyBorder="1" applyAlignment="1">
      <alignment vertical="top" wrapText="1"/>
    </xf>
    <xf numFmtId="1" fontId="5" fillId="0" borderId="0" xfId="0" applyNumberFormat="1" applyFont="1" applyAlignment="1">
      <alignment vertical="top" wrapText="1"/>
    </xf>
    <xf numFmtId="2" fontId="5" fillId="0" borderId="51" xfId="0" applyNumberFormat="1" applyFont="1" applyBorder="1" applyAlignment="1">
      <alignment horizontal="left" vertical="top" wrapText="1"/>
    </xf>
    <xf numFmtId="1" fontId="5" fillId="2" borderId="48" xfId="0" applyNumberFormat="1" applyFont="1" applyFill="1" applyBorder="1" applyAlignment="1">
      <alignment horizontal="center" vertical="top"/>
    </xf>
    <xf numFmtId="1" fontId="5" fillId="2" borderId="9" xfId="0" applyNumberFormat="1" applyFont="1" applyFill="1" applyBorder="1" applyAlignment="1">
      <alignment horizontal="center" vertical="top"/>
    </xf>
    <xf numFmtId="2" fontId="5" fillId="0" borderId="25" xfId="0" applyNumberFormat="1" applyFont="1" applyBorder="1" applyAlignment="1">
      <alignment horizontal="left" vertical="top" wrapText="1"/>
    </xf>
    <xf numFmtId="2" fontId="5" fillId="0" borderId="20" xfId="0" applyNumberFormat="1" applyFont="1" applyBorder="1" applyAlignment="1">
      <alignment horizontal="left" vertical="top" wrapText="1"/>
    </xf>
    <xf numFmtId="2" fontId="5" fillId="0" borderId="21" xfId="0" applyNumberFormat="1" applyFont="1" applyBorder="1" applyAlignment="1">
      <alignment horizontal="left" vertical="top" wrapText="1"/>
    </xf>
    <xf numFmtId="2" fontId="5" fillId="0" borderId="41" xfId="0" applyNumberFormat="1" applyFont="1" applyBorder="1" applyAlignment="1">
      <alignment horizontal="left" vertical="top" wrapText="1"/>
    </xf>
    <xf numFmtId="2" fontId="5" fillId="0" borderId="5" xfId="0" applyNumberFormat="1" applyFont="1" applyBorder="1" applyAlignment="1">
      <alignment horizontal="left" vertical="top" wrapText="1"/>
    </xf>
    <xf numFmtId="1" fontId="5" fillId="0" borderId="0" xfId="0" applyNumberFormat="1" applyFont="1" applyAlignment="1">
      <alignment horizontal="left" vertical="top" wrapText="1"/>
    </xf>
    <xf numFmtId="1" fontId="5" fillId="2" borderId="73" xfId="0" applyNumberFormat="1" applyFont="1" applyFill="1" applyBorder="1" applyAlignment="1">
      <alignment horizontal="center" vertical="top"/>
    </xf>
    <xf numFmtId="1" fontId="5" fillId="2" borderId="1" xfId="0" applyNumberFormat="1" applyFont="1" applyFill="1" applyBorder="1" applyAlignment="1">
      <alignment horizontal="center" vertical="top"/>
    </xf>
    <xf numFmtId="1" fontId="5" fillId="0" borderId="24" xfId="0" applyNumberFormat="1" applyFont="1" applyBorder="1" applyAlignment="1">
      <alignment vertical="top" wrapText="1"/>
    </xf>
    <xf numFmtId="1" fontId="5" fillId="2" borderId="26" xfId="0" applyNumberFormat="1" applyFont="1" applyFill="1" applyBorder="1" applyAlignment="1">
      <alignment horizontal="center" vertical="top"/>
    </xf>
    <xf numFmtId="2" fontId="5" fillId="19" borderId="52" xfId="0" applyNumberFormat="1" applyFont="1" applyFill="1" applyBorder="1" applyAlignment="1">
      <alignment vertical="top" wrapText="1"/>
    </xf>
    <xf numFmtId="2" fontId="5" fillId="0" borderId="40" xfId="0" applyNumberFormat="1" applyFont="1" applyBorder="1" applyAlignment="1">
      <alignment vertical="top" wrapText="1"/>
    </xf>
    <xf numFmtId="2" fontId="5" fillId="0" borderId="80" xfId="0" applyNumberFormat="1" applyFont="1" applyBorder="1" applyAlignment="1">
      <alignment vertical="top" wrapText="1"/>
    </xf>
    <xf numFmtId="1" fontId="5" fillId="2" borderId="70" xfId="0" applyNumberFormat="1" applyFont="1" applyFill="1" applyBorder="1" applyAlignment="1">
      <alignment horizontal="center" vertical="top"/>
    </xf>
    <xf numFmtId="2" fontId="5" fillId="3" borderId="52" xfId="0" applyNumberFormat="1" applyFont="1" applyFill="1" applyBorder="1" applyAlignment="1">
      <alignment horizontal="center" vertical="top"/>
    </xf>
    <xf numFmtId="2" fontId="5" fillId="0" borderId="51" xfId="0" applyNumberFormat="1" applyFont="1" applyBorder="1" applyAlignment="1">
      <alignment vertical="top" wrapText="1"/>
    </xf>
    <xf numFmtId="2" fontId="5" fillId="0" borderId="50" xfId="0" applyNumberFormat="1" applyFont="1" applyBorder="1" applyAlignment="1">
      <alignment vertical="top" wrapText="1"/>
    </xf>
    <xf numFmtId="2" fontId="5" fillId="0" borderId="20" xfId="0" applyNumberFormat="1" applyFont="1" applyBorder="1" applyAlignment="1">
      <alignment vertical="top" wrapText="1"/>
    </xf>
    <xf numFmtId="2" fontId="5" fillId="0" borderId="21" xfId="0" applyNumberFormat="1" applyFont="1" applyBorder="1" applyAlignment="1">
      <alignment vertical="top" wrapText="1"/>
    </xf>
    <xf numFmtId="2" fontId="5" fillId="0" borderId="41" xfId="0" applyNumberFormat="1" applyFont="1" applyBorder="1" applyAlignment="1">
      <alignment vertical="top" wrapText="1"/>
    </xf>
    <xf numFmtId="2" fontId="5" fillId="19" borderId="62" xfId="0" applyNumberFormat="1" applyFont="1" applyFill="1" applyBorder="1" applyAlignment="1">
      <alignment vertical="top" wrapText="1"/>
    </xf>
    <xf numFmtId="2" fontId="5" fillId="19" borderId="51" xfId="0" applyNumberFormat="1" applyFont="1" applyFill="1" applyBorder="1" applyAlignment="1">
      <alignment vertical="top" wrapText="1"/>
    </xf>
    <xf numFmtId="2" fontId="5" fillId="0" borderId="5" xfId="0" applyNumberFormat="1" applyFont="1" applyBorder="1" applyAlignment="1">
      <alignment vertical="top" wrapText="1"/>
    </xf>
    <xf numFmtId="1" fontId="5" fillId="2" borderId="69" xfId="0" applyNumberFormat="1" applyFont="1" applyFill="1" applyBorder="1" applyAlignment="1">
      <alignment horizontal="center" vertical="top"/>
    </xf>
    <xf numFmtId="1" fontId="5" fillId="2" borderId="19" xfId="0" applyNumberFormat="1" applyFont="1" applyFill="1" applyBorder="1" applyAlignment="1">
      <alignment horizontal="center" vertical="top"/>
    </xf>
    <xf numFmtId="1" fontId="5" fillId="2" borderId="3" xfId="0" applyNumberFormat="1" applyFont="1" applyFill="1" applyBorder="1" applyAlignment="1">
      <alignment horizontal="center" vertical="top"/>
    </xf>
    <xf numFmtId="1" fontId="5" fillId="2" borderId="22" xfId="0" applyNumberFormat="1" applyFont="1" applyFill="1" applyBorder="1" applyAlignment="1">
      <alignment horizontal="center" vertical="top"/>
    </xf>
    <xf numFmtId="2" fontId="5" fillId="19" borderId="34" xfId="0" applyNumberFormat="1" applyFont="1" applyFill="1" applyBorder="1" applyAlignment="1">
      <alignment vertical="top" wrapText="1"/>
    </xf>
    <xf numFmtId="2" fontId="5" fillId="0" borderId="13" xfId="0" applyNumberFormat="1" applyFont="1" applyBorder="1" applyAlignment="1">
      <alignment horizontal="left" vertical="top" wrapText="1"/>
    </xf>
    <xf numFmtId="1" fontId="5" fillId="0" borderId="42" xfId="0" applyNumberFormat="1" applyFont="1" applyBorder="1" applyAlignment="1">
      <alignment horizontal="center" vertical="top" wrapText="1"/>
    </xf>
    <xf numFmtId="2" fontId="5" fillId="0" borderId="50" xfId="0" applyNumberFormat="1" applyFont="1" applyBorder="1" applyAlignment="1">
      <alignment horizontal="left" vertical="top" wrapText="1"/>
    </xf>
    <xf numFmtId="2" fontId="5" fillId="19" borderId="25" xfId="0" applyNumberFormat="1" applyFont="1" applyFill="1" applyBorder="1" applyAlignment="1">
      <alignment vertical="top" wrapText="1"/>
    </xf>
    <xf numFmtId="2" fontId="5" fillId="0" borderId="0" xfId="0" applyNumberFormat="1" applyFont="1" applyAlignment="1">
      <alignment horizontal="left" vertical="top" wrapText="1"/>
    </xf>
    <xf numFmtId="2" fontId="5" fillId="0" borderId="55" xfId="0" applyNumberFormat="1" applyFont="1" applyBorder="1" applyAlignment="1">
      <alignment vertical="top" wrapText="1"/>
    </xf>
    <xf numFmtId="2" fontId="5" fillId="3" borderId="62" xfId="0" applyNumberFormat="1" applyFont="1" applyFill="1" applyBorder="1" applyAlignment="1">
      <alignment horizontal="center" vertical="top"/>
    </xf>
    <xf numFmtId="0" fontId="51" fillId="20" borderId="5" xfId="0" applyFont="1" applyFill="1" applyBorder="1" applyAlignment="1">
      <alignment horizontal="center" vertical="center" wrapText="1"/>
    </xf>
    <xf numFmtId="1" fontId="51" fillId="6" borderId="52" xfId="0" applyNumberFormat="1" applyFont="1" applyFill="1" applyBorder="1" applyAlignment="1">
      <alignment horizontal="center" vertical="center" wrapText="1"/>
    </xf>
    <xf numFmtId="1" fontId="5" fillId="2" borderId="4" xfId="0" applyNumberFormat="1" applyFont="1" applyFill="1" applyBorder="1" applyAlignment="1">
      <alignment horizontal="center" vertical="top"/>
    </xf>
    <xf numFmtId="0" fontId="5" fillId="26" borderId="40" xfId="0" applyFont="1" applyFill="1" applyBorder="1" applyAlignment="1">
      <alignment vertical="top" wrapText="1"/>
    </xf>
    <xf numFmtId="1" fontId="5" fillId="2" borderId="15" xfId="0" applyNumberFormat="1" applyFont="1" applyFill="1" applyBorder="1" applyAlignment="1">
      <alignment horizontal="center" vertical="top"/>
    </xf>
    <xf numFmtId="2" fontId="5" fillId="2" borderId="0" xfId="0" applyNumberFormat="1" applyFont="1" applyFill="1" applyAlignment="1">
      <alignment horizontal="center" vertical="top"/>
    </xf>
    <xf numFmtId="2" fontId="5" fillId="2" borderId="50" xfId="0" applyNumberFormat="1" applyFont="1" applyFill="1" applyBorder="1" applyAlignment="1">
      <alignment horizontal="center" vertical="top"/>
    </xf>
    <xf numFmtId="2" fontId="5" fillId="2" borderId="41" xfId="0" applyNumberFormat="1" applyFont="1" applyFill="1" applyBorder="1" applyAlignment="1">
      <alignment horizontal="center" vertical="top"/>
    </xf>
    <xf numFmtId="0" fontId="11" fillId="0" borderId="24" xfId="0" applyFont="1" applyBorder="1" applyAlignment="1">
      <alignment horizontal="center" vertical="center"/>
    </xf>
    <xf numFmtId="0" fontId="8" fillId="0" borderId="40" xfId="0" applyFont="1" applyBorder="1" applyAlignment="1">
      <alignment horizontal="center" vertical="center" wrapText="1"/>
    </xf>
    <xf numFmtId="2" fontId="5" fillId="18" borderId="19" xfId="0" applyNumberFormat="1" applyFont="1" applyFill="1" applyBorder="1" applyAlignment="1" applyProtection="1">
      <alignment horizontal="center" vertical="center" wrapText="1"/>
      <protection hidden="1"/>
    </xf>
    <xf numFmtId="2" fontId="5" fillId="18" borderId="1" xfId="0" applyNumberFormat="1" applyFont="1" applyFill="1" applyBorder="1" applyAlignment="1" applyProtection="1">
      <alignment horizontal="center" vertical="center" wrapText="1"/>
      <protection hidden="1"/>
    </xf>
    <xf numFmtId="2" fontId="5" fillId="18" borderId="3" xfId="0" applyNumberFormat="1" applyFont="1" applyFill="1" applyBorder="1" applyAlignment="1" applyProtection="1">
      <alignment horizontal="center" vertical="center" wrapText="1"/>
      <protection hidden="1"/>
    </xf>
    <xf numFmtId="2" fontId="5" fillId="19" borderId="5" xfId="0" applyNumberFormat="1" applyFont="1" applyFill="1" applyBorder="1" applyAlignment="1" applyProtection="1">
      <alignment horizontal="center" vertical="center"/>
      <protection hidden="1"/>
    </xf>
    <xf numFmtId="2" fontId="5" fillId="20" borderId="24" xfId="0" applyNumberFormat="1" applyFont="1" applyFill="1" applyBorder="1" applyAlignment="1" applyProtection="1">
      <alignment horizontal="center" vertical="center"/>
      <protection hidden="1"/>
    </xf>
    <xf numFmtId="1" fontId="43" fillId="0" borderId="5" xfId="0" applyNumberFormat="1" applyFont="1" applyBorder="1" applyAlignment="1">
      <alignment horizontal="center" vertical="top" wrapText="1"/>
    </xf>
    <xf numFmtId="1" fontId="51" fillId="19" borderId="5" xfId="0" applyNumberFormat="1" applyFont="1" applyFill="1" applyBorder="1" applyAlignment="1">
      <alignment horizontal="center" vertical="center" wrapText="1"/>
    </xf>
    <xf numFmtId="1" fontId="5" fillId="2" borderId="2" xfId="0" quotePrefix="1" applyNumberFormat="1" applyFont="1" applyFill="1" applyBorder="1" applyAlignment="1">
      <alignment horizontal="center" vertical="top" wrapText="1"/>
    </xf>
    <xf numFmtId="2" fontId="5" fillId="13" borderId="9" xfId="0" applyNumberFormat="1" applyFont="1" applyFill="1" applyBorder="1" applyAlignment="1">
      <alignment horizontal="center" vertical="top" wrapText="1"/>
    </xf>
    <xf numFmtId="1" fontId="5" fillId="2" borderId="42" xfId="0" applyNumberFormat="1" applyFont="1" applyFill="1" applyBorder="1" applyAlignment="1">
      <alignment horizontal="center" vertical="top"/>
    </xf>
    <xf numFmtId="2" fontId="5" fillId="3" borderId="40" xfId="0" applyNumberFormat="1" applyFont="1" applyFill="1" applyBorder="1" applyAlignment="1">
      <alignment horizontal="center" vertical="top"/>
    </xf>
    <xf numFmtId="2" fontId="5" fillId="0" borderId="35" xfId="0" applyNumberFormat="1" applyFont="1" applyBorder="1" applyAlignment="1">
      <alignment vertical="top" wrapText="1"/>
    </xf>
    <xf numFmtId="1" fontId="5" fillId="2" borderId="31" xfId="0" applyNumberFormat="1" applyFont="1" applyFill="1" applyBorder="1" applyAlignment="1">
      <alignment horizontal="center" vertical="top" wrapText="1"/>
    </xf>
    <xf numFmtId="1" fontId="5" fillId="0" borderId="68" xfId="0" applyNumberFormat="1" applyFont="1" applyBorder="1" applyAlignment="1">
      <alignment vertical="top" wrapText="1"/>
    </xf>
    <xf numFmtId="1" fontId="5" fillId="0" borderId="36" xfId="0" applyNumberFormat="1" applyFont="1" applyBorder="1" applyAlignment="1">
      <alignment vertical="top" wrapText="1"/>
    </xf>
    <xf numFmtId="1" fontId="5" fillId="2" borderId="38" xfId="0" applyNumberFormat="1" applyFont="1" applyFill="1" applyBorder="1" applyAlignment="1">
      <alignment horizontal="center" vertical="top" wrapText="1"/>
    </xf>
    <xf numFmtId="1" fontId="5" fillId="19" borderId="5" xfId="0" applyNumberFormat="1" applyFont="1" applyFill="1" applyBorder="1" applyAlignment="1">
      <alignment vertical="top" wrapText="1"/>
    </xf>
    <xf numFmtId="1" fontId="5" fillId="0" borderId="63" xfId="0" applyNumberFormat="1" applyFont="1" applyBorder="1" applyAlignment="1">
      <alignment horizontal="center" vertical="top" wrapText="1"/>
    </xf>
    <xf numFmtId="0" fontId="33" fillId="19" borderId="55" xfId="0" applyFont="1" applyFill="1" applyBorder="1" applyAlignment="1">
      <alignment vertical="top" wrapText="1"/>
    </xf>
    <xf numFmtId="0" fontId="0" fillId="19" borderId="55" xfId="0" applyFill="1" applyBorder="1" applyAlignment="1">
      <alignment vertical="top" wrapText="1"/>
    </xf>
    <xf numFmtId="0" fontId="0" fillId="19" borderId="24" xfId="0" applyFill="1" applyBorder="1" applyAlignment="1">
      <alignment vertical="top" wrapText="1"/>
    </xf>
    <xf numFmtId="2" fontId="5" fillId="0" borderId="13" xfId="0" applyNumberFormat="1" applyFont="1" applyBorder="1" applyAlignment="1">
      <alignment vertical="top" wrapText="1"/>
    </xf>
    <xf numFmtId="0" fontId="51" fillId="14" borderId="62" xfId="0" applyFont="1" applyFill="1" applyBorder="1" applyAlignment="1">
      <alignment horizontal="center" vertical="center" wrapText="1"/>
    </xf>
    <xf numFmtId="1" fontId="51" fillId="14" borderId="5" xfId="0" applyNumberFormat="1" applyFont="1" applyFill="1" applyBorder="1" applyAlignment="1">
      <alignment horizontal="center" vertical="center" wrapText="1"/>
    </xf>
    <xf numFmtId="0" fontId="5" fillId="0" borderId="50" xfId="0" applyFont="1" applyBorder="1">
      <alignment vertical="top"/>
    </xf>
    <xf numFmtId="17" fontId="5" fillId="0" borderId="20" xfId="0" applyNumberFormat="1" applyFont="1" applyBorder="1" applyAlignment="1">
      <alignment vertical="top" wrapText="1"/>
    </xf>
    <xf numFmtId="17" fontId="5" fillId="0" borderId="21" xfId="0" applyNumberFormat="1" applyFont="1" applyBorder="1" applyAlignment="1">
      <alignment vertical="top" wrapText="1"/>
    </xf>
    <xf numFmtId="0" fontId="51" fillId="29" borderId="5" xfId="0" applyFont="1" applyFill="1" applyBorder="1" applyAlignment="1">
      <alignment horizontal="center" vertical="center" wrapText="1"/>
    </xf>
    <xf numFmtId="0" fontId="51" fillId="29" borderId="13" xfId="0" applyFont="1" applyFill="1" applyBorder="1" applyAlignment="1">
      <alignment horizontal="center" vertical="center" wrapText="1"/>
    </xf>
    <xf numFmtId="1" fontId="51" fillId="29" borderId="52" xfId="0" applyNumberFormat="1" applyFont="1" applyFill="1" applyBorder="1" applyAlignment="1">
      <alignment horizontal="center" vertical="center" wrapText="1"/>
    </xf>
    <xf numFmtId="1" fontId="51" fillId="29" borderId="5" xfId="0" applyNumberFormat="1" applyFont="1" applyFill="1" applyBorder="1" applyAlignment="1">
      <alignment horizontal="center" vertical="center" wrapText="1"/>
    </xf>
    <xf numFmtId="2" fontId="51" fillId="29" borderId="25" xfId="0" applyNumberFormat="1" applyFont="1" applyFill="1" applyBorder="1" applyAlignment="1">
      <alignment horizontal="center" vertical="center" wrapText="1"/>
    </xf>
    <xf numFmtId="0" fontId="51" fillId="29" borderId="24" xfId="0" applyFont="1" applyFill="1" applyBorder="1" applyAlignment="1">
      <alignment horizontal="center" vertical="center" wrapText="1"/>
    </xf>
    <xf numFmtId="2" fontId="5" fillId="29" borderId="25" xfId="0" applyNumberFormat="1" applyFont="1" applyFill="1" applyBorder="1" applyAlignment="1">
      <alignment horizontal="center" vertical="top" wrapText="1"/>
    </xf>
    <xf numFmtId="0" fontId="5" fillId="0" borderId="79" xfId="0" applyFont="1" applyBorder="1" applyAlignment="1">
      <alignment horizontal="left" vertical="top" wrapText="1"/>
    </xf>
    <xf numFmtId="1" fontId="5" fillId="0" borderId="79" xfId="0" applyNumberFormat="1" applyFont="1" applyBorder="1" applyAlignment="1">
      <alignment horizontal="center" vertical="top" wrapText="1"/>
    </xf>
    <xf numFmtId="0" fontId="5" fillId="0" borderId="25" xfId="0" applyFont="1" applyBorder="1" applyAlignment="1">
      <alignment horizontal="left" vertical="center" wrapText="1"/>
    </xf>
    <xf numFmtId="2" fontId="5" fillId="5" borderId="2" xfId="0" applyNumberFormat="1" applyFont="1" applyFill="1" applyBorder="1" applyAlignment="1" applyProtection="1">
      <alignment horizontal="center" vertical="center" wrapText="1"/>
      <protection hidden="1"/>
    </xf>
    <xf numFmtId="2" fontId="5" fillId="5" borderId="38" xfId="0" applyNumberFormat="1" applyFont="1" applyFill="1" applyBorder="1" applyAlignment="1" applyProtection="1">
      <alignment horizontal="center" vertical="center" wrapText="1"/>
      <protection hidden="1"/>
    </xf>
    <xf numFmtId="2" fontId="5" fillId="14" borderId="7" xfId="0" applyNumberFormat="1" applyFont="1" applyFill="1" applyBorder="1" applyAlignment="1" applyProtection="1">
      <alignment horizontal="center" vertical="center" wrapText="1"/>
      <protection hidden="1"/>
    </xf>
    <xf numFmtId="2" fontId="5" fillId="6" borderId="25" xfId="0" applyNumberFormat="1" applyFont="1" applyFill="1" applyBorder="1" applyAlignment="1" applyProtection="1">
      <alignment horizontal="center" vertical="center"/>
      <protection hidden="1"/>
    </xf>
    <xf numFmtId="2" fontId="51" fillId="3" borderId="5" xfId="0" applyNumberFormat="1" applyFont="1" applyFill="1" applyBorder="1" applyAlignment="1">
      <alignment horizontal="center" vertical="center" wrapText="1"/>
    </xf>
    <xf numFmtId="2" fontId="5" fillId="2" borderId="41" xfId="0" applyNumberFormat="1" applyFont="1" applyFill="1" applyBorder="1" applyAlignment="1">
      <alignment horizontal="center" vertical="top" wrapText="1"/>
    </xf>
    <xf numFmtId="1" fontId="5" fillId="19" borderId="62" xfId="0" applyNumberFormat="1" applyFont="1" applyFill="1" applyBorder="1" applyAlignment="1">
      <alignment vertical="top" wrapText="1"/>
    </xf>
    <xf numFmtId="0" fontId="5" fillId="33" borderId="25" xfId="0" applyFont="1" applyFill="1" applyBorder="1" applyAlignment="1">
      <alignment horizontal="left" vertical="top" wrapText="1"/>
    </xf>
    <xf numFmtId="0" fontId="5" fillId="2" borderId="63" xfId="0" applyFont="1" applyFill="1" applyBorder="1" applyAlignment="1">
      <alignment horizontal="center" vertical="top" wrapText="1"/>
    </xf>
    <xf numFmtId="0" fontId="5" fillId="33" borderId="62" xfId="0" applyFont="1" applyFill="1" applyBorder="1" applyAlignment="1">
      <alignment horizontal="left" vertical="top" wrapText="1"/>
    </xf>
    <xf numFmtId="0" fontId="5" fillId="2" borderId="7" xfId="0" applyFont="1" applyFill="1" applyBorder="1" applyAlignment="1">
      <alignment horizontal="center" vertical="top" wrapText="1"/>
    </xf>
    <xf numFmtId="0" fontId="5" fillId="2" borderId="11" xfId="0" applyFont="1" applyFill="1" applyBorder="1" applyAlignment="1">
      <alignment horizontal="center" vertical="top" wrapText="1"/>
    </xf>
    <xf numFmtId="2" fontId="5" fillId="33" borderId="62" xfId="0" applyNumberFormat="1" applyFont="1" applyFill="1" applyBorder="1" applyAlignment="1">
      <alignment horizontal="center" vertical="top" wrapText="1"/>
    </xf>
    <xf numFmtId="49" fontId="5" fillId="0" borderId="13" xfId="0" applyNumberFormat="1" applyFont="1" applyBorder="1" applyAlignment="1">
      <alignment horizontal="right" vertical="top" wrapText="1"/>
    </xf>
    <xf numFmtId="0" fontId="5" fillId="2" borderId="42" xfId="0" applyFont="1" applyFill="1" applyBorder="1" applyAlignment="1">
      <alignment horizontal="center" vertical="top" wrapText="1"/>
    </xf>
    <xf numFmtId="2" fontId="5" fillId="33" borderId="51" xfId="0" applyNumberFormat="1" applyFont="1" applyFill="1" applyBorder="1" applyAlignment="1">
      <alignment horizontal="center" vertical="top" wrapText="1"/>
    </xf>
    <xf numFmtId="0" fontId="51" fillId="14" borderId="52" xfId="0" applyFont="1" applyFill="1" applyBorder="1" applyAlignment="1">
      <alignment horizontal="center" vertical="center" wrapText="1"/>
    </xf>
    <xf numFmtId="0" fontId="5" fillId="4" borderId="20" xfId="0" applyFont="1" applyFill="1" applyBorder="1" applyAlignment="1">
      <alignment horizontal="left" vertical="top" wrapText="1"/>
    </xf>
    <xf numFmtId="0" fontId="5" fillId="4" borderId="1" xfId="0" applyFont="1" applyFill="1" applyBorder="1" applyAlignment="1">
      <alignment horizontal="center" vertical="top" wrapText="1"/>
    </xf>
    <xf numFmtId="0" fontId="5" fillId="12" borderId="16" xfId="0" applyFont="1" applyFill="1" applyBorder="1" applyAlignment="1">
      <alignment horizontal="left" vertical="top" wrapText="1"/>
    </xf>
    <xf numFmtId="0" fontId="5" fillId="12" borderId="21" xfId="0" applyFont="1" applyFill="1" applyBorder="1" applyAlignment="1">
      <alignment horizontal="left" vertical="top" wrapText="1"/>
    </xf>
    <xf numFmtId="0" fontId="5" fillId="12" borderId="1" xfId="0" applyFont="1" applyFill="1" applyBorder="1" applyAlignment="1">
      <alignment horizontal="center" vertical="top" wrapText="1"/>
    </xf>
    <xf numFmtId="0" fontId="5" fillId="4" borderId="50" xfId="0" applyFont="1" applyFill="1" applyBorder="1" applyAlignment="1">
      <alignment horizontal="left" vertical="top" wrapText="1"/>
    </xf>
    <xf numFmtId="0" fontId="5" fillId="4" borderId="3" xfId="0" applyFont="1" applyFill="1" applyBorder="1" applyAlignment="1">
      <alignment horizontal="center" vertical="top" wrapText="1"/>
    </xf>
    <xf numFmtId="1" fontId="5" fillId="4" borderId="25" xfId="0" applyNumberFormat="1" applyFont="1" applyFill="1" applyBorder="1" applyAlignment="1">
      <alignment vertical="top" wrapText="1"/>
    </xf>
    <xf numFmtId="2" fontId="5" fillId="2" borderId="66" xfId="0" applyNumberFormat="1" applyFont="1" applyFill="1" applyBorder="1" applyAlignment="1">
      <alignment horizontal="center" vertical="top" wrapText="1"/>
    </xf>
    <xf numFmtId="1" fontId="5" fillId="4" borderId="29" xfId="0" applyNumberFormat="1" applyFont="1" applyFill="1" applyBorder="1" applyAlignment="1">
      <alignment vertical="top" wrapText="1"/>
    </xf>
    <xf numFmtId="1" fontId="5" fillId="4" borderId="3" xfId="0" applyNumberFormat="1" applyFont="1" applyFill="1" applyBorder="1" applyAlignment="1">
      <alignment horizontal="center" vertical="top" wrapText="1"/>
    </xf>
    <xf numFmtId="0" fontId="5" fillId="4" borderId="51" xfId="0" applyFont="1" applyFill="1" applyBorder="1" applyAlignment="1">
      <alignment horizontal="left" vertical="top" wrapText="1"/>
    </xf>
    <xf numFmtId="0" fontId="5" fillId="27" borderId="55" xfId="0" applyFont="1" applyFill="1" applyBorder="1" applyAlignment="1">
      <alignment horizontal="left" vertical="top" wrapText="1"/>
    </xf>
    <xf numFmtId="0" fontId="5" fillId="4" borderId="0" xfId="0" applyFont="1" applyFill="1" applyAlignment="1">
      <alignment horizontal="left" vertical="top" wrapText="1"/>
    </xf>
    <xf numFmtId="1" fontId="5" fillId="4" borderId="5" xfId="0" applyNumberFormat="1" applyFont="1" applyFill="1" applyBorder="1" applyAlignment="1">
      <alignment vertical="top" wrapText="1"/>
    </xf>
    <xf numFmtId="1" fontId="5" fillId="4" borderId="20" xfId="0" applyNumberFormat="1" applyFont="1" applyFill="1" applyBorder="1" applyAlignment="1">
      <alignment vertical="top" wrapText="1"/>
    </xf>
    <xf numFmtId="1" fontId="5" fillId="4" borderId="1" xfId="0" applyNumberFormat="1" applyFont="1" applyFill="1" applyBorder="1" applyAlignment="1">
      <alignment horizontal="center" vertical="top" wrapText="1"/>
    </xf>
    <xf numFmtId="1" fontId="5" fillId="4" borderId="79" xfId="0" applyNumberFormat="1" applyFont="1" applyFill="1" applyBorder="1" applyAlignment="1">
      <alignment vertical="top" wrapText="1"/>
    </xf>
    <xf numFmtId="1" fontId="5" fillId="4" borderId="79" xfId="0" applyNumberFormat="1" applyFont="1" applyFill="1" applyBorder="1" applyAlignment="1">
      <alignment horizontal="center" vertical="top" wrapText="1"/>
    </xf>
    <xf numFmtId="0" fontId="5" fillId="2" borderId="64" xfId="0" applyFont="1" applyFill="1" applyBorder="1" applyAlignment="1">
      <alignment horizontal="center" vertical="top" wrapText="1"/>
    </xf>
    <xf numFmtId="49" fontId="5" fillId="0" borderId="12" xfId="0" applyNumberFormat="1" applyFont="1" applyBorder="1" applyAlignment="1">
      <alignment vertical="top" wrapText="1"/>
    </xf>
    <xf numFmtId="49" fontId="5" fillId="0" borderId="6" xfId="0" applyNumberFormat="1" applyFont="1" applyBorder="1" applyAlignment="1">
      <alignment vertical="top" wrapText="1"/>
    </xf>
    <xf numFmtId="2" fontId="5" fillId="0" borderId="6" xfId="0" applyNumberFormat="1" applyFont="1" applyBorder="1" applyAlignment="1">
      <alignment vertical="top" wrapText="1"/>
    </xf>
    <xf numFmtId="49" fontId="5" fillId="0" borderId="74" xfId="0" applyNumberFormat="1" applyFont="1" applyBorder="1" applyAlignment="1">
      <alignment vertical="top" wrapText="1"/>
    </xf>
    <xf numFmtId="1" fontId="5" fillId="0" borderId="22" xfId="0" applyNumberFormat="1" applyFont="1" applyBorder="1" applyAlignment="1">
      <alignment horizontal="center" vertical="top"/>
    </xf>
    <xf numFmtId="0" fontId="5" fillId="0" borderId="1" xfId="0" applyFont="1" applyBorder="1" applyAlignment="1">
      <alignment vertical="center" wrapText="1"/>
    </xf>
    <xf numFmtId="0" fontId="5" fillId="0" borderId="75" xfId="0" applyFont="1" applyBorder="1" applyAlignment="1">
      <alignment vertical="center" wrapText="1"/>
    </xf>
    <xf numFmtId="0" fontId="5" fillId="0" borderId="58" xfId="0" applyFont="1" applyBorder="1" applyAlignment="1">
      <alignment vertical="center" wrapText="1"/>
    </xf>
    <xf numFmtId="2" fontId="5" fillId="5" borderId="4" xfId="0" applyNumberFormat="1" applyFont="1" applyFill="1" applyBorder="1" applyAlignment="1" applyProtection="1">
      <alignment horizontal="center" vertical="center" wrapText="1"/>
      <protection hidden="1"/>
    </xf>
    <xf numFmtId="2" fontId="5" fillId="5" borderId="26" xfId="0" applyNumberFormat="1" applyFont="1" applyFill="1" applyBorder="1" applyAlignment="1" applyProtection="1">
      <alignment horizontal="center" vertical="center" wrapText="1"/>
      <protection hidden="1"/>
    </xf>
    <xf numFmtId="2" fontId="5" fillId="3" borderId="28" xfId="0" applyNumberFormat="1" applyFont="1" applyFill="1" applyBorder="1" applyAlignment="1" applyProtection="1">
      <alignment horizontal="center" vertical="center"/>
      <protection hidden="1"/>
    </xf>
    <xf numFmtId="2" fontId="5" fillId="6" borderId="14" xfId="0" applyNumberFormat="1" applyFont="1" applyFill="1" applyBorder="1" applyAlignment="1" applyProtection="1">
      <alignment horizontal="center" vertical="center"/>
      <protection hidden="1"/>
    </xf>
    <xf numFmtId="0" fontId="43" fillId="0" borderId="5" xfId="0" applyFont="1" applyBorder="1" applyAlignment="1">
      <alignment horizontal="center" vertical="top"/>
    </xf>
    <xf numFmtId="2" fontId="5" fillId="2" borderId="12" xfId="0" applyNumberFormat="1" applyFont="1" applyFill="1" applyBorder="1" applyAlignment="1">
      <alignment vertical="top" wrapText="1"/>
    </xf>
    <xf numFmtId="2" fontId="5" fillId="2" borderId="10" xfId="0" applyNumberFormat="1" applyFont="1" applyFill="1" applyBorder="1" applyAlignment="1">
      <alignment vertical="top" wrapText="1"/>
    </xf>
    <xf numFmtId="2" fontId="5" fillId="2" borderId="48" xfId="0" applyNumberFormat="1" applyFont="1" applyFill="1" applyBorder="1" applyAlignment="1">
      <alignment vertical="top" wrapText="1"/>
    </xf>
    <xf numFmtId="2" fontId="5" fillId="2" borderId="67" xfId="0" applyNumberFormat="1" applyFont="1" applyFill="1" applyBorder="1" applyAlignment="1">
      <alignment vertical="top" wrapText="1"/>
    </xf>
    <xf numFmtId="2" fontId="5" fillId="2" borderId="20" xfId="0" applyNumberFormat="1" applyFont="1" applyFill="1" applyBorder="1" applyAlignment="1">
      <alignment horizontal="center" vertical="top" wrapText="1"/>
    </xf>
    <xf numFmtId="2" fontId="5" fillId="2" borderId="0" xfId="0" applyNumberFormat="1" applyFont="1" applyFill="1" applyAlignment="1">
      <alignment horizontal="center" vertical="top" wrapText="1"/>
    </xf>
    <xf numFmtId="0" fontId="5" fillId="12" borderId="25" xfId="0" applyFont="1" applyFill="1" applyBorder="1" applyAlignment="1">
      <alignment vertical="top" wrapText="1"/>
    </xf>
    <xf numFmtId="0" fontId="5" fillId="12" borderId="0" xfId="0" applyFont="1" applyFill="1" applyAlignment="1">
      <alignment vertical="top" wrapText="1"/>
    </xf>
    <xf numFmtId="0" fontId="5" fillId="12" borderId="50" xfId="0" applyFont="1" applyFill="1" applyBorder="1" applyAlignment="1">
      <alignment vertical="top" wrapText="1"/>
    </xf>
    <xf numFmtId="0" fontId="5" fillId="12" borderId="41" xfId="0" applyFont="1" applyFill="1" applyBorder="1" applyAlignment="1">
      <alignment vertical="top" wrapText="1"/>
    </xf>
    <xf numFmtId="0" fontId="5" fillId="12" borderId="3" xfId="0" applyFont="1" applyFill="1" applyBorder="1" applyAlignment="1">
      <alignment horizontal="center" vertical="top" wrapText="1"/>
    </xf>
    <xf numFmtId="0" fontId="5" fillId="2" borderId="22" xfId="0" applyFont="1" applyFill="1" applyBorder="1" applyAlignment="1">
      <alignment horizontal="center" vertical="top" wrapText="1"/>
    </xf>
    <xf numFmtId="1" fontId="5" fillId="42" borderId="25" xfId="0" applyNumberFormat="1" applyFont="1" applyFill="1" applyBorder="1" applyAlignment="1">
      <alignment vertical="top" wrapText="1"/>
    </xf>
    <xf numFmtId="2" fontId="5" fillId="0" borderId="42" xfId="0" applyNumberFormat="1" applyFont="1" applyBorder="1" applyAlignment="1">
      <alignment horizontal="center" vertical="top" wrapText="1"/>
    </xf>
    <xf numFmtId="0" fontId="5" fillId="33" borderId="0" xfId="0" applyFont="1" applyFill="1" applyAlignment="1">
      <alignment vertical="top" wrapText="1"/>
    </xf>
    <xf numFmtId="2" fontId="5" fillId="33" borderId="52" xfId="0" applyNumberFormat="1" applyFont="1" applyFill="1" applyBorder="1" applyAlignment="1">
      <alignment horizontal="center" vertical="top" wrapText="1"/>
    </xf>
    <xf numFmtId="2" fontId="51" fillId="14" borderId="40" xfId="0" applyNumberFormat="1" applyFont="1" applyFill="1" applyBorder="1" applyAlignment="1">
      <alignment horizontal="center" vertical="center" wrapText="1"/>
    </xf>
    <xf numFmtId="1" fontId="5" fillId="33" borderId="25" xfId="0" applyNumberFormat="1" applyFont="1" applyFill="1" applyBorder="1" applyAlignment="1">
      <alignment vertical="top" wrapText="1"/>
    </xf>
    <xf numFmtId="1" fontId="5" fillId="10" borderId="78" xfId="0" applyNumberFormat="1" applyFont="1" applyFill="1" applyBorder="1" applyAlignment="1">
      <alignment horizontal="center" vertical="top"/>
    </xf>
    <xf numFmtId="0" fontId="51" fillId="6" borderId="62" xfId="0" applyFont="1" applyFill="1" applyBorder="1" applyAlignment="1">
      <alignment horizontal="center" vertical="center" wrapText="1"/>
    </xf>
    <xf numFmtId="0" fontId="51" fillId="6" borderId="29" xfId="0" applyFont="1" applyFill="1" applyBorder="1" applyAlignment="1">
      <alignment horizontal="center" vertical="center" wrapText="1"/>
    </xf>
    <xf numFmtId="1" fontId="51" fillId="6" borderId="27" xfId="0" applyNumberFormat="1" applyFont="1" applyFill="1" applyBorder="1" applyAlignment="1">
      <alignment horizontal="center" vertical="center" wrapText="1"/>
    </xf>
    <xf numFmtId="0" fontId="51" fillId="6" borderId="64" xfId="0" applyFont="1" applyFill="1" applyBorder="1" applyAlignment="1">
      <alignment horizontal="center" vertical="center" wrapText="1"/>
    </xf>
    <xf numFmtId="2" fontId="51" fillId="6" borderId="22" xfId="0" applyNumberFormat="1" applyFont="1" applyFill="1" applyBorder="1" applyAlignment="1">
      <alignment horizontal="center" vertical="center" wrapText="1"/>
    </xf>
    <xf numFmtId="2" fontId="5" fillId="2" borderId="11" xfId="0" applyNumberFormat="1" applyFont="1" applyFill="1" applyBorder="1" applyAlignment="1">
      <alignment vertical="top" wrapText="1"/>
    </xf>
    <xf numFmtId="2" fontId="5" fillId="2" borderId="7" xfId="0" applyNumberFormat="1" applyFont="1" applyFill="1" applyBorder="1" applyAlignment="1">
      <alignment vertical="top" wrapText="1"/>
    </xf>
    <xf numFmtId="2" fontId="5" fillId="2" borderId="8" xfId="0" applyNumberFormat="1" applyFont="1" applyFill="1" applyBorder="1" applyAlignment="1">
      <alignment vertical="top" wrapText="1"/>
    </xf>
    <xf numFmtId="2" fontId="5" fillId="2" borderId="3" xfId="0" applyNumberFormat="1" applyFont="1" applyFill="1" applyBorder="1" applyAlignment="1">
      <alignment vertical="top" wrapText="1"/>
    </xf>
    <xf numFmtId="0" fontId="5" fillId="0" borderId="8" xfId="0" applyFont="1" applyBorder="1" applyAlignment="1">
      <alignment vertical="top" wrapText="1"/>
    </xf>
    <xf numFmtId="0" fontId="5" fillId="0" borderId="8" xfId="0" applyFont="1" applyBorder="1" applyAlignment="1">
      <alignment horizontal="center" vertical="top" wrapText="1"/>
    </xf>
    <xf numFmtId="49" fontId="5" fillId="20" borderId="25" xfId="0" applyNumberFormat="1" applyFont="1" applyFill="1" applyBorder="1" applyAlignment="1">
      <alignment vertical="top" wrapText="1"/>
    </xf>
    <xf numFmtId="0" fontId="5" fillId="0" borderId="78" xfId="0" applyFont="1" applyBorder="1" applyAlignment="1">
      <alignment vertical="top" wrapText="1"/>
    </xf>
    <xf numFmtId="0" fontId="5" fillId="0" borderId="78" xfId="0" applyFont="1" applyBorder="1" applyAlignment="1">
      <alignment horizontal="center" vertical="top" wrapText="1"/>
    </xf>
    <xf numFmtId="2" fontId="5" fillId="2" borderId="63" xfId="0" applyNumberFormat="1" applyFont="1" applyFill="1" applyBorder="1" applyAlignment="1">
      <alignment vertical="top" wrapText="1"/>
    </xf>
    <xf numFmtId="2" fontId="5" fillId="2" borderId="15" xfId="0" applyNumberFormat="1" applyFont="1" applyFill="1" applyBorder="1" applyAlignment="1">
      <alignment vertical="top" wrapText="1"/>
    </xf>
    <xf numFmtId="49" fontId="5" fillId="0" borderId="11" xfId="0" applyNumberFormat="1" applyFont="1" applyBorder="1" applyAlignment="1">
      <alignment vertical="top" wrapText="1"/>
    </xf>
    <xf numFmtId="2" fontId="5" fillId="6" borderId="62" xfId="0" applyNumberFormat="1" applyFont="1" applyFill="1" applyBorder="1" applyAlignment="1">
      <alignment horizontal="center" vertical="top" wrapText="1"/>
    </xf>
    <xf numFmtId="0" fontId="5" fillId="2" borderId="38" xfId="0" applyFont="1" applyFill="1" applyBorder="1" applyAlignment="1">
      <alignment horizontal="center" vertical="top" wrapText="1"/>
    </xf>
    <xf numFmtId="0" fontId="5" fillId="0" borderId="75" xfId="0" applyFont="1" applyBorder="1" applyAlignment="1">
      <alignment horizontal="left" vertical="center" wrapText="1"/>
    </xf>
    <xf numFmtId="0" fontId="5" fillId="0" borderId="58" xfId="0" applyFont="1" applyBorder="1" applyAlignment="1">
      <alignment horizontal="left" vertical="center" wrapText="1"/>
    </xf>
    <xf numFmtId="0" fontId="5" fillId="13" borderId="19" xfId="0" applyFont="1" applyFill="1" applyBorder="1" applyAlignment="1">
      <alignment horizontal="center" vertical="top" wrapText="1"/>
    </xf>
    <xf numFmtId="1" fontId="5" fillId="2" borderId="20" xfId="0" applyNumberFormat="1" applyFont="1" applyFill="1" applyBorder="1" applyAlignment="1">
      <alignment horizontal="center" vertical="top" wrapText="1"/>
    </xf>
    <xf numFmtId="1" fontId="5" fillId="2" borderId="21" xfId="0" applyNumberFormat="1" applyFont="1" applyFill="1" applyBorder="1" applyAlignment="1">
      <alignment horizontal="center" vertical="top" wrapText="1"/>
    </xf>
    <xf numFmtId="1" fontId="5" fillId="2" borderId="47" xfId="0" applyNumberFormat="1" applyFont="1" applyFill="1" applyBorder="1" applyAlignment="1">
      <alignment horizontal="center" vertical="top" wrapText="1"/>
    </xf>
    <xf numFmtId="1" fontId="5" fillId="2" borderId="41" xfId="0" applyNumberFormat="1" applyFont="1" applyFill="1" applyBorder="1" applyAlignment="1">
      <alignment horizontal="center" vertical="top" wrapText="1"/>
    </xf>
    <xf numFmtId="0" fontId="5" fillId="2" borderId="21" xfId="0" applyFont="1" applyFill="1" applyBorder="1" applyAlignment="1">
      <alignment horizontal="center" vertical="top" wrapText="1"/>
    </xf>
    <xf numFmtId="0" fontId="5" fillId="2" borderId="50" xfId="0" applyFont="1" applyFill="1" applyBorder="1" applyAlignment="1">
      <alignment horizontal="center" vertical="top" wrapText="1"/>
    </xf>
    <xf numFmtId="0" fontId="5" fillId="2" borderId="47" xfId="0" applyFont="1" applyFill="1" applyBorder="1" applyAlignment="1">
      <alignment horizontal="center" vertical="top" wrapText="1"/>
    </xf>
    <xf numFmtId="1" fontId="5" fillId="2" borderId="0" xfId="0" applyNumberFormat="1" applyFont="1" applyFill="1" applyAlignment="1">
      <alignment horizontal="center" vertical="top" wrapText="1"/>
    </xf>
    <xf numFmtId="1" fontId="5" fillId="2" borderId="80" xfId="0" applyNumberFormat="1" applyFont="1" applyFill="1" applyBorder="1" applyAlignment="1">
      <alignment horizontal="center" vertical="top" wrapText="1"/>
    </xf>
    <xf numFmtId="0" fontId="5" fillId="0" borderId="80" xfId="0" applyFont="1" applyBorder="1" applyAlignment="1">
      <alignment vertical="top" wrapText="1"/>
    </xf>
    <xf numFmtId="2" fontId="5" fillId="20" borderId="25" xfId="0" applyNumberFormat="1" applyFont="1" applyFill="1" applyBorder="1" applyAlignment="1">
      <alignment horizontal="center" vertical="center" wrapText="1"/>
    </xf>
    <xf numFmtId="0" fontId="5" fillId="13" borderId="26" xfId="0" applyFont="1" applyFill="1" applyBorder="1" applyAlignment="1">
      <alignment horizontal="center" vertical="top" wrapText="1"/>
    </xf>
    <xf numFmtId="0" fontId="5" fillId="0" borderId="77" xfId="0" applyFont="1" applyBorder="1" applyAlignment="1">
      <alignment vertical="center" wrapText="1"/>
    </xf>
    <xf numFmtId="2" fontId="32" fillId="0" borderId="0" xfId="0" applyNumberFormat="1" applyFont="1" applyAlignment="1">
      <alignment vertical="top" wrapText="1"/>
    </xf>
    <xf numFmtId="2" fontId="5" fillId="5" borderId="47" xfId="0" applyNumberFormat="1" applyFont="1" applyFill="1" applyBorder="1" applyAlignment="1" applyProtection="1">
      <alignment horizontal="center" vertical="center" wrapText="1"/>
      <protection hidden="1"/>
    </xf>
    <xf numFmtId="2" fontId="5" fillId="2" borderId="6" xfId="0" applyNumberFormat="1" applyFont="1" applyFill="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0" fontId="5" fillId="0" borderId="8" xfId="0" applyFont="1" applyBorder="1" applyAlignment="1">
      <alignment horizontal="left" vertical="top" wrapText="1"/>
    </xf>
    <xf numFmtId="0" fontId="5" fillId="0" borderId="74" xfId="0" applyFont="1" applyBorder="1" applyAlignment="1">
      <alignment horizontal="left" vertical="top" wrapText="1"/>
    </xf>
    <xf numFmtId="2" fontId="5" fillId="2" borderId="19" xfId="0" applyNumberFormat="1" applyFont="1" applyFill="1" applyBorder="1" applyAlignment="1">
      <alignment horizontal="center" vertical="top" wrapText="1"/>
    </xf>
    <xf numFmtId="0" fontId="5" fillId="0" borderId="12" xfId="0" applyFont="1" applyBorder="1" applyAlignment="1">
      <alignment horizontal="left" vertical="top" wrapText="1"/>
    </xf>
    <xf numFmtId="0" fontId="5" fillId="0" borderId="6" xfId="0" applyFont="1" applyBorder="1" applyAlignment="1">
      <alignment horizontal="left" vertical="top" wrapText="1"/>
    </xf>
    <xf numFmtId="2" fontId="5" fillId="2" borderId="3" xfId="0" applyNumberFormat="1" applyFont="1" applyFill="1" applyBorder="1" applyAlignment="1">
      <alignment horizontal="center" vertical="top" wrapText="1"/>
    </xf>
    <xf numFmtId="0" fontId="5" fillId="0" borderId="28" xfId="0" applyFont="1" applyBorder="1" applyAlignment="1">
      <alignment horizontal="left" vertical="top" wrapText="1"/>
    </xf>
    <xf numFmtId="1" fontId="5" fillId="0" borderId="24" xfId="0" applyNumberFormat="1" applyFont="1" applyBorder="1" applyAlignment="1">
      <alignment horizontal="left" vertical="top" wrapText="1"/>
    </xf>
    <xf numFmtId="1" fontId="5" fillId="0" borderId="11" xfId="0" applyNumberFormat="1" applyFont="1" applyBorder="1" applyAlignment="1">
      <alignment horizontal="left" vertical="top" wrapText="1"/>
    </xf>
    <xf numFmtId="1" fontId="5" fillId="0" borderId="11" xfId="0" applyNumberFormat="1" applyFont="1" applyBorder="1" applyAlignment="1">
      <alignment horizontal="center" vertical="top" wrapText="1"/>
    </xf>
    <xf numFmtId="1" fontId="5" fillId="0" borderId="8" xfId="0" applyNumberFormat="1" applyFont="1" applyBorder="1" applyAlignment="1">
      <alignment horizontal="left" vertical="top" wrapText="1"/>
    </xf>
    <xf numFmtId="1" fontId="5" fillId="0" borderId="8" xfId="0" applyNumberFormat="1" applyFont="1" applyBorder="1" applyAlignment="1">
      <alignment horizontal="center" vertical="top" wrapText="1"/>
    </xf>
    <xf numFmtId="1" fontId="5" fillId="0" borderId="74" xfId="0" applyNumberFormat="1" applyFont="1" applyBorder="1" applyAlignment="1">
      <alignment horizontal="left" vertical="top" wrapText="1"/>
    </xf>
    <xf numFmtId="1" fontId="5" fillId="0" borderId="74" xfId="0" applyNumberFormat="1" applyFont="1" applyBorder="1" applyAlignment="1">
      <alignment horizontal="center" vertical="top" wrapText="1"/>
    </xf>
    <xf numFmtId="0" fontId="5" fillId="0" borderId="79" xfId="0" applyFont="1" applyBorder="1" applyAlignment="1">
      <alignment horizontal="center" vertical="top" wrapText="1"/>
    </xf>
    <xf numFmtId="1" fontId="5" fillId="2" borderId="64" xfId="0" applyNumberFormat="1" applyFont="1" applyFill="1" applyBorder="1" applyAlignment="1">
      <alignment horizontal="center" vertical="top" wrapText="1"/>
    </xf>
    <xf numFmtId="0" fontId="5" fillId="0" borderId="35" xfId="0" applyFont="1" applyBorder="1" applyAlignment="1">
      <alignment horizontal="center" vertical="top" wrapText="1"/>
    </xf>
    <xf numFmtId="0" fontId="5" fillId="0" borderId="34" xfId="0" applyFont="1" applyBorder="1" applyAlignment="1">
      <alignment horizontal="center" vertical="top" wrapText="1"/>
    </xf>
    <xf numFmtId="0" fontId="5" fillId="0" borderId="68" xfId="0" applyFont="1" applyBorder="1" applyAlignment="1">
      <alignment vertical="top" wrapText="1"/>
    </xf>
    <xf numFmtId="0" fontId="5" fillId="0" borderId="68" xfId="0" applyFont="1" applyBorder="1" applyAlignment="1">
      <alignment horizontal="center" vertical="top" wrapText="1"/>
    </xf>
    <xf numFmtId="0" fontId="51" fillId="14" borderId="61" xfId="0" applyFont="1" applyFill="1" applyBorder="1" applyAlignment="1">
      <alignment horizontal="center" vertical="center" wrapText="1"/>
    </xf>
    <xf numFmtId="2" fontId="5" fillId="14" borderId="55" xfId="0" applyNumberFormat="1" applyFont="1" applyFill="1" applyBorder="1" applyAlignment="1">
      <alignment horizontal="left" vertical="top" wrapText="1"/>
    </xf>
    <xf numFmtId="0" fontId="5" fillId="0" borderId="70" xfId="0" applyFont="1" applyBorder="1" applyAlignment="1">
      <alignment horizontal="left" vertical="top" wrapText="1"/>
    </xf>
    <xf numFmtId="2" fontId="5" fillId="14" borderId="40" xfId="0" applyNumberFormat="1" applyFont="1" applyFill="1" applyBorder="1" applyAlignment="1">
      <alignment horizontal="center" vertical="top" wrapText="1"/>
    </xf>
    <xf numFmtId="2" fontId="5" fillId="14" borderId="27" xfId="0" applyNumberFormat="1" applyFont="1" applyFill="1" applyBorder="1" applyAlignment="1">
      <alignment horizontal="left" vertical="top" wrapText="1"/>
    </xf>
    <xf numFmtId="0" fontId="5" fillId="0" borderId="15" xfId="0" applyFont="1" applyBorder="1" applyAlignment="1">
      <alignment horizontal="left" vertical="top" wrapText="1"/>
    </xf>
    <xf numFmtId="0" fontId="51" fillId="6" borderId="79" xfId="0" applyFont="1" applyFill="1" applyBorder="1" applyAlignment="1">
      <alignment horizontal="center" vertical="center" wrapText="1"/>
    </xf>
    <xf numFmtId="1" fontId="51" fillId="6" borderId="64" xfId="0" applyNumberFormat="1" applyFont="1" applyFill="1" applyBorder="1" applyAlignment="1">
      <alignment horizontal="center" vertical="center" wrapText="1"/>
    </xf>
    <xf numFmtId="2" fontId="51" fillId="6" borderId="69" xfId="0" applyNumberFormat="1" applyFont="1" applyFill="1" applyBorder="1" applyAlignment="1">
      <alignment horizontal="center" vertical="center" wrapText="1"/>
    </xf>
    <xf numFmtId="2" fontId="5" fillId="26" borderId="25" xfId="0" applyNumberFormat="1" applyFont="1" applyFill="1" applyBorder="1" applyAlignment="1">
      <alignment horizontal="center" vertical="top"/>
    </xf>
    <xf numFmtId="2" fontId="5" fillId="26" borderId="51" xfId="0" applyNumberFormat="1" applyFont="1" applyFill="1" applyBorder="1" applyAlignment="1">
      <alignment horizontal="center" vertical="top"/>
    </xf>
    <xf numFmtId="2" fontId="5" fillId="0" borderId="0" xfId="0" applyNumberFormat="1" applyFont="1" applyAlignment="1">
      <alignment horizontal="center" wrapText="1"/>
    </xf>
    <xf numFmtId="0" fontId="5" fillId="0" borderId="28" xfId="0" applyFont="1" applyBorder="1" applyAlignment="1">
      <alignment vertical="center" wrapText="1"/>
    </xf>
    <xf numFmtId="0" fontId="5" fillId="0" borderId="28" xfId="0" applyFont="1" applyBorder="1" applyAlignment="1">
      <alignment horizontal="left" vertical="center" wrapText="1"/>
    </xf>
    <xf numFmtId="2" fontId="5" fillId="14" borderId="63" xfId="0" applyNumberFormat="1" applyFont="1" applyFill="1" applyBorder="1" applyAlignment="1" applyProtection="1">
      <alignment horizontal="center" vertical="center" wrapText="1"/>
      <protection hidden="1"/>
    </xf>
    <xf numFmtId="2" fontId="5" fillId="6" borderId="24" xfId="0" applyNumberFormat="1" applyFont="1" applyFill="1" applyBorder="1" applyAlignment="1" applyProtection="1">
      <alignment horizontal="center" vertical="center"/>
      <protection hidden="1"/>
    </xf>
    <xf numFmtId="49" fontId="6" fillId="19" borderId="28" xfId="0" applyNumberFormat="1" applyFont="1" applyFill="1" applyBorder="1" applyAlignment="1">
      <alignment horizontal="center" vertical="center" wrapText="1"/>
    </xf>
    <xf numFmtId="1" fontId="5" fillId="2" borderId="31" xfId="0" applyNumberFormat="1" applyFont="1" applyFill="1" applyBorder="1" applyAlignment="1">
      <alignment horizontal="center" vertical="top"/>
    </xf>
    <xf numFmtId="1" fontId="5" fillId="2" borderId="38" xfId="0" applyNumberFormat="1" applyFont="1" applyFill="1" applyBorder="1" applyAlignment="1">
      <alignment horizontal="center" vertical="top"/>
    </xf>
    <xf numFmtId="0" fontId="51" fillId="20" borderId="28" xfId="0" applyFont="1" applyFill="1" applyBorder="1" applyAlignment="1">
      <alignment horizontal="center" vertical="center" wrapText="1"/>
    </xf>
    <xf numFmtId="0" fontId="5" fillId="26" borderId="55" xfId="0" applyFont="1" applyFill="1" applyBorder="1" applyAlignment="1">
      <alignment vertical="top" wrapText="1"/>
    </xf>
    <xf numFmtId="1" fontId="5" fillId="2" borderId="50" xfId="0" applyNumberFormat="1" applyFont="1" applyFill="1" applyBorder="1" applyAlignment="1">
      <alignment horizontal="center" vertical="top"/>
    </xf>
    <xf numFmtId="2" fontId="5" fillId="26" borderId="40" xfId="0" applyNumberFormat="1" applyFont="1" applyFill="1" applyBorder="1" applyAlignment="1">
      <alignment horizontal="center" vertical="top"/>
    </xf>
    <xf numFmtId="1" fontId="5" fillId="2" borderId="13" xfId="0" applyNumberFormat="1" applyFont="1" applyFill="1" applyBorder="1" applyAlignment="1">
      <alignment horizontal="center" vertical="top"/>
    </xf>
    <xf numFmtId="2" fontId="5" fillId="26" borderId="5" xfId="0" applyNumberFormat="1" applyFont="1" applyFill="1" applyBorder="1" applyAlignment="1">
      <alignment horizontal="center" vertical="top"/>
    </xf>
    <xf numFmtId="0" fontId="5" fillId="0" borderId="12"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74" xfId="0" applyFont="1" applyBorder="1" applyAlignment="1">
      <alignment horizontal="left" vertical="top" wrapText="1" indent="1"/>
    </xf>
    <xf numFmtId="2" fontId="5" fillId="6" borderId="51" xfId="0" applyNumberFormat="1" applyFont="1" applyFill="1" applyBorder="1" applyAlignment="1">
      <alignment horizontal="center" vertical="top"/>
    </xf>
    <xf numFmtId="1" fontId="5" fillId="0" borderId="12" xfId="0" applyNumberFormat="1" applyFont="1" applyBorder="1" applyAlignment="1">
      <alignment vertical="top" wrapText="1"/>
    </xf>
    <xf numFmtId="1" fontId="5" fillId="0" borderId="12" xfId="0" applyNumberFormat="1" applyFont="1" applyBorder="1" applyAlignment="1">
      <alignment horizontal="center" vertical="top" wrapText="1"/>
    </xf>
    <xf numFmtId="1" fontId="5" fillId="0" borderId="6" xfId="0" applyNumberFormat="1" applyFont="1" applyBorder="1" applyAlignment="1">
      <alignment vertical="top" wrapText="1"/>
    </xf>
    <xf numFmtId="1" fontId="5" fillId="0" borderId="6" xfId="0" applyNumberFormat="1" applyFont="1" applyBorder="1" applyAlignment="1">
      <alignment horizontal="center" vertical="top" wrapText="1"/>
    </xf>
    <xf numFmtId="1" fontId="5" fillId="0" borderId="8" xfId="0" applyNumberFormat="1" applyFont="1" applyBorder="1" applyAlignment="1">
      <alignment vertical="top" wrapText="1"/>
    </xf>
    <xf numFmtId="1" fontId="5" fillId="0" borderId="28" xfId="0" applyNumberFormat="1" applyFont="1" applyBorder="1" applyAlignment="1">
      <alignment horizontal="left" vertical="top" wrapText="1"/>
    </xf>
    <xf numFmtId="1" fontId="5" fillId="0" borderId="12" xfId="0" applyNumberFormat="1" applyFont="1" applyBorder="1" applyAlignment="1">
      <alignment horizontal="left" vertical="top" wrapText="1"/>
    </xf>
    <xf numFmtId="1" fontId="5" fillId="0" borderId="6" xfId="0" applyNumberFormat="1" applyFont="1" applyBorder="1" applyAlignment="1">
      <alignment horizontal="left" vertical="top" wrapText="1"/>
    </xf>
    <xf numFmtId="0" fontId="18" fillId="2" borderId="19" xfId="0" applyFont="1" applyFill="1" applyBorder="1" applyAlignment="1">
      <alignment horizontal="center" vertical="top" wrapText="1"/>
    </xf>
    <xf numFmtId="1" fontId="5" fillId="0" borderId="14" xfId="0" applyNumberFormat="1" applyFont="1" applyBorder="1" applyAlignment="1">
      <alignment horizontal="left" vertical="top" wrapText="1"/>
    </xf>
    <xf numFmtId="0" fontId="5" fillId="0" borderId="26" xfId="0" applyFont="1" applyBorder="1" applyAlignment="1">
      <alignment vertical="top" wrapText="1"/>
    </xf>
    <xf numFmtId="1" fontId="5" fillId="0" borderId="74" xfId="0" applyNumberFormat="1" applyFont="1" applyBorder="1" applyAlignment="1">
      <alignment vertical="top" wrapText="1"/>
    </xf>
    <xf numFmtId="1" fontId="5" fillId="19" borderId="25" xfId="0" applyNumberFormat="1" applyFont="1" applyFill="1" applyBorder="1" applyAlignment="1">
      <alignment horizontal="left" vertical="top" wrapText="1"/>
    </xf>
    <xf numFmtId="49" fontId="5" fillId="0" borderId="12" xfId="0" applyNumberFormat="1" applyFont="1" applyBorder="1" applyAlignment="1">
      <alignment horizontal="center" vertical="top" wrapText="1"/>
    </xf>
    <xf numFmtId="49" fontId="5" fillId="0" borderId="6" xfId="0" applyNumberFormat="1" applyFont="1" applyBorder="1" applyAlignment="1">
      <alignment horizontal="center" vertical="top" wrapText="1"/>
    </xf>
    <xf numFmtId="49" fontId="5" fillId="0" borderId="74" xfId="0" applyNumberFormat="1" applyFont="1" applyBorder="1" applyAlignment="1">
      <alignment horizontal="center" vertical="top" wrapText="1"/>
    </xf>
    <xf numFmtId="2" fontId="5" fillId="2" borderId="67" xfId="0" applyNumberFormat="1" applyFont="1" applyFill="1" applyBorder="1" applyAlignment="1">
      <alignment horizontal="center" vertical="top" wrapText="1"/>
    </xf>
    <xf numFmtId="2" fontId="5" fillId="2" borderId="19" xfId="0" applyNumberFormat="1" applyFont="1" applyFill="1" applyBorder="1" applyAlignment="1">
      <alignment horizontal="right" vertical="top" wrapText="1"/>
    </xf>
    <xf numFmtId="2" fontId="5" fillId="2" borderId="4" xfId="0" applyNumberFormat="1" applyFont="1" applyFill="1" applyBorder="1" applyAlignment="1">
      <alignment horizontal="right" vertical="top" wrapText="1"/>
    </xf>
    <xf numFmtId="2" fontId="5" fillId="0" borderId="46" xfId="0" applyNumberFormat="1" applyFont="1" applyBorder="1" applyAlignment="1">
      <alignment horizontal="left" vertical="center" wrapText="1"/>
    </xf>
    <xf numFmtId="0" fontId="11" fillId="24" borderId="5" xfId="0" applyFont="1" applyFill="1" applyBorder="1" applyAlignment="1">
      <alignment horizontal="center" vertical="center"/>
    </xf>
    <xf numFmtId="0" fontId="5" fillId="24" borderId="5" xfId="0" applyFont="1" applyFill="1" applyBorder="1" applyAlignment="1">
      <alignment horizontal="left" vertical="center" wrapText="1"/>
    </xf>
    <xf numFmtId="2" fontId="5" fillId="3" borderId="24" xfId="0" applyNumberFormat="1" applyFont="1" applyFill="1" applyBorder="1" applyAlignment="1" applyProtection="1">
      <alignment horizontal="center" vertical="center" wrapText="1"/>
      <protection hidden="1"/>
    </xf>
    <xf numFmtId="2" fontId="5" fillId="24" borderId="5" xfId="0" applyNumberFormat="1" applyFont="1" applyFill="1" applyBorder="1" applyAlignment="1" applyProtection="1">
      <alignment horizontal="center" vertical="top" wrapText="1"/>
      <protection hidden="1"/>
    </xf>
    <xf numFmtId="1" fontId="18" fillId="2" borderId="10" xfId="0" applyNumberFormat="1" applyFont="1" applyFill="1" applyBorder="1" applyAlignment="1">
      <alignment horizontal="center" vertical="top" wrapText="1"/>
    </xf>
    <xf numFmtId="0" fontId="5" fillId="0" borderId="78" xfId="0" applyFont="1" applyBorder="1" applyAlignment="1">
      <alignment horizontal="left" vertical="top" wrapText="1"/>
    </xf>
    <xf numFmtId="49" fontId="5" fillId="0" borderId="8" xfId="0" applyNumberFormat="1" applyFont="1" applyBorder="1" applyAlignment="1">
      <alignment vertical="top" wrapText="1"/>
    </xf>
    <xf numFmtId="49" fontId="5" fillId="0" borderId="8" xfId="0" applyNumberFormat="1" applyFont="1" applyBorder="1" applyAlignment="1">
      <alignment horizontal="center" vertical="top" wrapText="1"/>
    </xf>
    <xf numFmtId="0" fontId="5" fillId="0" borderId="78" xfId="0" applyFont="1" applyBorder="1" applyAlignment="1">
      <alignment horizontal="right" vertical="top" wrapText="1"/>
    </xf>
    <xf numFmtId="1" fontId="5" fillId="13" borderId="6" xfId="0" applyNumberFormat="1" applyFont="1" applyFill="1" applyBorder="1" applyAlignment="1">
      <alignment horizontal="center" vertical="top" wrapText="1"/>
    </xf>
    <xf numFmtId="1" fontId="5" fillId="13" borderId="1" xfId="0" applyNumberFormat="1" applyFont="1" applyFill="1" applyBorder="1" applyAlignment="1">
      <alignment horizontal="center" vertical="top" wrapText="1"/>
    </xf>
    <xf numFmtId="1" fontId="5" fillId="13" borderId="2" xfId="0" applyNumberFormat="1" applyFont="1" applyFill="1" applyBorder="1" applyAlignment="1">
      <alignment horizontal="center" vertical="top" wrapText="1"/>
    </xf>
    <xf numFmtId="2" fontId="5" fillId="13" borderId="10" xfId="0" applyNumberFormat="1" applyFont="1" applyFill="1" applyBorder="1" applyAlignment="1">
      <alignment horizontal="center" vertical="top" wrapText="1"/>
    </xf>
    <xf numFmtId="2" fontId="5" fillId="13" borderId="2" xfId="0" applyNumberFormat="1" applyFont="1" applyFill="1" applyBorder="1" applyAlignment="1">
      <alignment horizontal="center" vertical="top" wrapText="1"/>
    </xf>
    <xf numFmtId="1" fontId="5" fillId="13" borderId="3" xfId="0" applyNumberFormat="1" applyFont="1" applyFill="1" applyBorder="1" applyAlignment="1">
      <alignment horizontal="center" vertical="top" wrapText="1"/>
    </xf>
    <xf numFmtId="1" fontId="5" fillId="13" borderId="19" xfId="0" applyNumberFormat="1" applyFont="1" applyFill="1" applyBorder="1" applyAlignment="1">
      <alignment horizontal="center" vertical="top" wrapText="1"/>
    </xf>
    <xf numFmtId="1" fontId="5" fillId="13" borderId="66" xfId="0" applyNumberFormat="1" applyFont="1" applyFill="1" applyBorder="1" applyAlignment="1">
      <alignment horizontal="center" vertical="top" wrapText="1"/>
    </xf>
    <xf numFmtId="1" fontId="5" fillId="0" borderId="64" xfId="0" applyNumberFormat="1" applyFont="1" applyBorder="1" applyAlignment="1">
      <alignment horizontal="center" vertical="top" wrapText="1"/>
    </xf>
    <xf numFmtId="1" fontId="5" fillId="13" borderId="26" xfId="0" applyNumberFormat="1" applyFont="1" applyFill="1" applyBorder="1" applyAlignment="1">
      <alignment horizontal="center" vertical="top" wrapText="1"/>
    </xf>
    <xf numFmtId="1" fontId="5" fillId="13" borderId="12" xfId="0" applyNumberFormat="1" applyFont="1" applyFill="1" applyBorder="1" applyAlignment="1">
      <alignment horizontal="center" vertical="top" wrapText="1"/>
    </xf>
    <xf numFmtId="1" fontId="5" fillId="13" borderId="4" xfId="0" applyNumberFormat="1" applyFont="1" applyFill="1" applyBorder="1" applyAlignment="1">
      <alignment horizontal="center" vertical="top" wrapText="1"/>
    </xf>
    <xf numFmtId="1" fontId="5" fillId="0" borderId="4" xfId="0" applyNumberFormat="1" applyFont="1" applyBorder="1" applyAlignment="1">
      <alignment horizontal="center" vertical="top" wrapText="1"/>
    </xf>
    <xf numFmtId="0" fontId="5" fillId="13" borderId="1" xfId="0" applyFont="1" applyFill="1" applyBorder="1" applyAlignment="1">
      <alignment horizontal="center" vertical="top" wrapText="1"/>
    </xf>
    <xf numFmtId="2" fontId="5" fillId="0" borderId="11" xfId="0" applyNumberFormat="1" applyFont="1" applyBorder="1" applyAlignment="1">
      <alignment horizontal="left" vertical="top" wrapText="1"/>
    </xf>
    <xf numFmtId="0" fontId="6" fillId="0" borderId="33" xfId="0" applyFont="1" applyBorder="1" applyAlignment="1">
      <alignment horizontal="left" vertical="center" wrapText="1"/>
    </xf>
    <xf numFmtId="1" fontId="11" fillId="10" borderId="12" xfId="0" applyNumberFormat="1" applyFont="1" applyFill="1" applyBorder="1" applyAlignment="1">
      <alignment horizontal="center" vertical="center"/>
    </xf>
    <xf numFmtId="0" fontId="5" fillId="10" borderId="5" xfId="0" applyFont="1" applyFill="1" applyBorder="1" applyAlignment="1">
      <alignment horizontal="left" vertical="center" wrapText="1"/>
    </xf>
    <xf numFmtId="2" fontId="5" fillId="8" borderId="10" xfId="0" applyNumberFormat="1" applyFont="1" applyFill="1" applyBorder="1" applyAlignment="1" applyProtection="1">
      <alignment horizontal="center" vertical="top" wrapText="1"/>
      <protection hidden="1"/>
    </xf>
    <xf numFmtId="0" fontId="22" fillId="25" borderId="5" xfId="0" applyFont="1" applyFill="1" applyBorder="1" applyAlignment="1">
      <alignment vertical="top" wrapText="1"/>
    </xf>
    <xf numFmtId="0" fontId="6" fillId="20" borderId="5"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5" xfId="0" applyFont="1" applyFill="1" applyBorder="1" applyAlignment="1">
      <alignment horizontal="center" vertical="center" wrapText="1"/>
    </xf>
    <xf numFmtId="1" fontId="6" fillId="6" borderId="5" xfId="0" applyNumberFormat="1" applyFont="1" applyFill="1" applyBorder="1" applyAlignment="1">
      <alignment horizontal="center" vertical="center" wrapText="1"/>
    </xf>
    <xf numFmtId="2" fontId="6" fillId="6" borderId="25" xfId="0" applyNumberFormat="1" applyFont="1" applyFill="1" applyBorder="1" applyAlignment="1">
      <alignment horizontal="center" vertical="center" wrapText="1"/>
    </xf>
    <xf numFmtId="0" fontId="18" fillId="2" borderId="10" xfId="0" applyFont="1" applyFill="1" applyBorder="1" applyAlignment="1">
      <alignment horizontal="center" vertical="top" wrapText="1"/>
    </xf>
    <xf numFmtId="2" fontId="5" fillId="20" borderId="51" xfId="0" applyNumberFormat="1" applyFont="1" applyFill="1" applyBorder="1" applyAlignment="1">
      <alignment horizontal="center" vertical="top" wrapText="1"/>
    </xf>
    <xf numFmtId="0" fontId="5" fillId="20" borderId="22" xfId="0" applyFont="1" applyFill="1" applyBorder="1" applyAlignment="1">
      <alignment vertical="top" wrapText="1"/>
    </xf>
    <xf numFmtId="0" fontId="5" fillId="20" borderId="25" xfId="0" applyFont="1" applyFill="1" applyBorder="1" applyAlignment="1">
      <alignment vertical="top" wrapText="1"/>
    </xf>
    <xf numFmtId="2" fontId="5" fillId="2" borderId="19" xfId="0" applyNumberFormat="1" applyFont="1" applyFill="1" applyBorder="1" applyAlignment="1">
      <alignment vertical="top" wrapText="1"/>
    </xf>
    <xf numFmtId="0" fontId="5" fillId="14" borderId="5" xfId="0" applyFont="1" applyFill="1" applyBorder="1" applyAlignment="1">
      <alignment horizontal="left" vertical="top" wrapText="1"/>
    </xf>
    <xf numFmtId="2" fontId="5" fillId="15" borderId="5" xfId="0" applyNumberFormat="1" applyFont="1" applyFill="1" applyBorder="1" applyAlignment="1" applyProtection="1">
      <alignment horizontal="center" vertical="center" wrapText="1"/>
      <protection hidden="1"/>
    </xf>
    <xf numFmtId="0" fontId="28" fillId="25" borderId="60" xfId="0" applyFont="1" applyFill="1" applyBorder="1" applyAlignment="1">
      <alignment vertical="top" wrapText="1"/>
    </xf>
    <xf numFmtId="1" fontId="12" fillId="0" borderId="5" xfId="0" applyNumberFormat="1" applyFont="1" applyBorder="1" applyAlignment="1">
      <alignment horizontal="center" vertical="top"/>
    </xf>
    <xf numFmtId="0" fontId="51" fillId="16" borderId="5" xfId="0" applyFont="1" applyFill="1" applyBorder="1" applyAlignment="1">
      <alignment horizontal="center" vertical="center" wrapText="1"/>
    </xf>
    <xf numFmtId="49" fontId="51" fillId="16" borderId="28" xfId="0" applyNumberFormat="1" applyFont="1" applyFill="1" applyBorder="1" applyAlignment="1">
      <alignment horizontal="center" vertical="center" wrapText="1"/>
    </xf>
    <xf numFmtId="1" fontId="51" fillId="16" borderId="5" xfId="0" applyNumberFormat="1" applyFont="1" applyFill="1" applyBorder="1" applyAlignment="1">
      <alignment horizontal="center" vertical="center" wrapText="1"/>
    </xf>
    <xf numFmtId="2" fontId="51" fillId="16" borderId="25" xfId="0" applyNumberFormat="1" applyFont="1" applyFill="1" applyBorder="1" applyAlignment="1">
      <alignment horizontal="center" vertical="center" wrapText="1"/>
    </xf>
    <xf numFmtId="2" fontId="5" fillId="22" borderId="51" xfId="0" applyNumberFormat="1" applyFont="1" applyFill="1" applyBorder="1" applyAlignment="1">
      <alignment horizontal="center" vertical="top"/>
    </xf>
    <xf numFmtId="2" fontId="5" fillId="22" borderId="25" xfId="0" applyNumberFormat="1" applyFont="1" applyFill="1" applyBorder="1" applyAlignment="1">
      <alignment horizontal="center" vertical="top"/>
    </xf>
    <xf numFmtId="2" fontId="5" fillId="22" borderId="5" xfId="0" applyNumberFormat="1" applyFont="1" applyFill="1" applyBorder="1" applyAlignment="1">
      <alignment horizontal="center" vertical="top"/>
    </xf>
    <xf numFmtId="2" fontId="5" fillId="2" borderId="1" xfId="0" applyNumberFormat="1" applyFont="1" applyFill="1" applyBorder="1" applyAlignment="1">
      <alignment horizontal="center" vertical="top"/>
    </xf>
    <xf numFmtId="2" fontId="5" fillId="2" borderId="26" xfId="0" applyNumberFormat="1" applyFont="1" applyFill="1" applyBorder="1" applyAlignment="1">
      <alignment horizontal="center" vertical="top"/>
    </xf>
    <xf numFmtId="2" fontId="5" fillId="16" borderId="25" xfId="0" applyNumberFormat="1" applyFont="1" applyFill="1" applyBorder="1" applyAlignment="1">
      <alignment horizontal="center" vertical="top"/>
    </xf>
    <xf numFmtId="2" fontId="5" fillId="16" borderId="51" xfId="0" applyNumberFormat="1" applyFont="1" applyFill="1" applyBorder="1" applyAlignment="1">
      <alignment horizontal="center" vertical="top"/>
    </xf>
    <xf numFmtId="0" fontId="5" fillId="16" borderId="25" xfId="0" applyFont="1" applyFill="1" applyBorder="1" applyAlignment="1">
      <alignment vertical="top" wrapText="1"/>
    </xf>
    <xf numFmtId="1" fontId="5" fillId="2" borderId="63" xfId="0" applyNumberFormat="1" applyFont="1" applyFill="1" applyBorder="1" applyAlignment="1">
      <alignment horizontal="center" vertical="top"/>
    </xf>
    <xf numFmtId="49" fontId="5" fillId="0" borderId="50" xfId="0" applyNumberFormat="1" applyFont="1" applyBorder="1" applyAlignment="1">
      <alignment vertical="top" wrapText="1"/>
    </xf>
    <xf numFmtId="49" fontId="5" fillId="0" borderId="50" xfId="0" applyNumberFormat="1" applyFont="1" applyBorder="1" applyAlignment="1">
      <alignment horizontal="center" vertical="top" wrapText="1"/>
    </xf>
    <xf numFmtId="0" fontId="51" fillId="15" borderId="25" xfId="0" applyFont="1" applyFill="1" applyBorder="1" applyAlignment="1">
      <alignment horizontal="center" vertical="center" wrapText="1"/>
    </xf>
    <xf numFmtId="0" fontId="51" fillId="15" borderId="5" xfId="0" applyFont="1" applyFill="1" applyBorder="1" applyAlignment="1">
      <alignment horizontal="center" vertical="center" wrapText="1"/>
    </xf>
    <xf numFmtId="49" fontId="51" fillId="15" borderId="28" xfId="0" applyNumberFormat="1" applyFont="1" applyFill="1" applyBorder="1" applyAlignment="1">
      <alignment horizontal="center" vertical="center" wrapText="1"/>
    </xf>
    <xf numFmtId="1" fontId="51" fillId="15" borderId="5" xfId="0" applyNumberFormat="1" applyFont="1" applyFill="1" applyBorder="1" applyAlignment="1">
      <alignment horizontal="center" vertical="center" wrapText="1"/>
    </xf>
    <xf numFmtId="2" fontId="51" fillId="15" borderId="25" xfId="0" applyNumberFormat="1" applyFont="1" applyFill="1" applyBorder="1" applyAlignment="1">
      <alignment horizontal="center" vertical="center" wrapText="1"/>
    </xf>
    <xf numFmtId="2" fontId="5" fillId="15" borderId="25" xfId="0" applyNumberFormat="1" applyFont="1" applyFill="1" applyBorder="1" applyAlignment="1">
      <alignment horizontal="center" vertical="top"/>
    </xf>
    <xf numFmtId="2" fontId="5" fillId="15" borderId="51" xfId="0" applyNumberFormat="1" applyFont="1" applyFill="1" applyBorder="1" applyAlignment="1">
      <alignment horizontal="center" vertical="top"/>
    </xf>
    <xf numFmtId="2" fontId="5" fillId="10" borderId="9" xfId="0" applyNumberFormat="1" applyFont="1" applyFill="1" applyBorder="1" applyAlignment="1">
      <alignment horizontal="center" vertical="top"/>
    </xf>
    <xf numFmtId="0" fontId="5" fillId="41" borderId="5" xfId="0" applyFont="1" applyFill="1" applyBorder="1" applyAlignment="1">
      <alignment vertical="top" wrapText="1"/>
    </xf>
    <xf numFmtId="1" fontId="5" fillId="10" borderId="63" xfId="0" applyNumberFormat="1" applyFont="1" applyFill="1" applyBorder="1" applyAlignment="1">
      <alignment horizontal="center" vertical="top"/>
    </xf>
    <xf numFmtId="49" fontId="11" fillId="16" borderId="28" xfId="0" applyNumberFormat="1" applyFont="1" applyFill="1" applyBorder="1" applyAlignment="1">
      <alignment horizontal="center" vertical="center" wrapText="1"/>
    </xf>
    <xf numFmtId="2" fontId="5" fillId="5" borderId="73" xfId="0" applyNumberFormat="1" applyFont="1" applyFill="1" applyBorder="1" applyAlignment="1" applyProtection="1">
      <alignment horizontal="center" vertical="center"/>
      <protection hidden="1"/>
    </xf>
    <xf numFmtId="2" fontId="5" fillId="5" borderId="9" xfId="0" applyNumberFormat="1" applyFont="1" applyFill="1" applyBorder="1" applyAlignment="1" applyProtection="1">
      <alignment horizontal="center" vertical="center"/>
      <protection hidden="1"/>
    </xf>
    <xf numFmtId="2" fontId="5" fillId="5" borderId="38" xfId="0" applyNumberFormat="1" applyFont="1" applyFill="1" applyBorder="1" applyAlignment="1" applyProtection="1">
      <alignment horizontal="center" vertical="center"/>
      <protection hidden="1"/>
    </xf>
    <xf numFmtId="2" fontId="5" fillId="41" borderId="22" xfId="0" applyNumberFormat="1" applyFont="1" applyFill="1" applyBorder="1" applyAlignment="1" applyProtection="1">
      <alignment horizontal="center" vertical="center" wrapText="1"/>
      <protection hidden="1"/>
    </xf>
    <xf numFmtId="2" fontId="5" fillId="16" borderId="28" xfId="0" applyNumberFormat="1" applyFont="1" applyFill="1" applyBorder="1" applyAlignment="1" applyProtection="1">
      <alignment horizontal="center" vertical="center" wrapText="1"/>
      <protection hidden="1"/>
    </xf>
    <xf numFmtId="0" fontId="51" fillId="30" borderId="5" xfId="0" applyFont="1" applyFill="1" applyBorder="1" applyAlignment="1">
      <alignment horizontal="center" vertical="center" wrapText="1"/>
    </xf>
    <xf numFmtId="49" fontId="51" fillId="30" borderId="28" xfId="0" applyNumberFormat="1" applyFont="1" applyFill="1" applyBorder="1" applyAlignment="1">
      <alignment horizontal="center" vertical="center" wrapText="1"/>
    </xf>
    <xf numFmtId="1" fontId="51" fillId="30" borderId="5" xfId="0" applyNumberFormat="1" applyFont="1" applyFill="1" applyBorder="1" applyAlignment="1">
      <alignment horizontal="center" vertical="center" wrapText="1"/>
    </xf>
    <xf numFmtId="2" fontId="51" fillId="30" borderId="5" xfId="0" applyNumberFormat="1" applyFont="1" applyFill="1" applyBorder="1" applyAlignment="1">
      <alignment horizontal="center" vertical="center" wrapText="1"/>
    </xf>
    <xf numFmtId="2" fontId="5" fillId="30" borderId="51" xfId="0" applyNumberFormat="1" applyFont="1" applyFill="1" applyBorder="1" applyAlignment="1">
      <alignment horizontal="center" vertical="top" wrapText="1"/>
    </xf>
    <xf numFmtId="0" fontId="5" fillId="30" borderId="25" xfId="0" applyFont="1" applyFill="1" applyBorder="1" applyAlignment="1">
      <alignment horizontal="left" vertical="top" wrapText="1"/>
    </xf>
    <xf numFmtId="2" fontId="5" fillId="30" borderId="25" xfId="0" applyNumberFormat="1" applyFont="1" applyFill="1" applyBorder="1" applyAlignment="1">
      <alignment horizontal="center" vertical="top" wrapText="1"/>
    </xf>
    <xf numFmtId="2" fontId="5" fillId="30" borderId="24" xfId="0" applyNumberFormat="1" applyFont="1" applyFill="1" applyBorder="1" applyAlignment="1">
      <alignment horizontal="center" vertical="top" wrapText="1"/>
    </xf>
    <xf numFmtId="2" fontId="5" fillId="2" borderId="10" xfId="0" applyNumberFormat="1" applyFont="1" applyFill="1" applyBorder="1" applyAlignment="1">
      <alignment horizontal="right" vertical="top" wrapText="1"/>
    </xf>
    <xf numFmtId="2" fontId="5" fillId="14" borderId="24" xfId="0" applyNumberFormat="1" applyFont="1" applyFill="1" applyBorder="1" applyAlignment="1">
      <alignment horizontal="center" vertical="center" wrapText="1"/>
    </xf>
    <xf numFmtId="2" fontId="5" fillId="2" borderId="47" xfId="0" applyNumberFormat="1" applyFont="1" applyFill="1" applyBorder="1" applyAlignment="1">
      <alignment horizontal="center" vertical="top" wrapText="1"/>
    </xf>
    <xf numFmtId="2" fontId="5" fillId="2" borderId="66" xfId="0" applyNumberFormat="1" applyFont="1" applyFill="1" applyBorder="1" applyAlignment="1">
      <alignment horizontal="right" vertical="top" wrapText="1"/>
    </xf>
    <xf numFmtId="2" fontId="5" fillId="14" borderId="5" xfId="0" applyNumberFormat="1" applyFont="1" applyFill="1" applyBorder="1" applyAlignment="1">
      <alignment horizontal="center" vertical="center" wrapText="1"/>
    </xf>
    <xf numFmtId="2" fontId="11" fillId="30" borderId="5" xfId="0" applyNumberFormat="1" applyFont="1" applyFill="1" applyBorder="1" applyAlignment="1">
      <alignment horizontal="center" vertical="center" wrapText="1"/>
    </xf>
    <xf numFmtId="2" fontId="5" fillId="30" borderId="5" xfId="0" applyNumberFormat="1" applyFont="1" applyFill="1" applyBorder="1" applyAlignment="1" applyProtection="1">
      <alignment horizontal="center" vertical="center" wrapText="1"/>
      <protection hidden="1"/>
    </xf>
    <xf numFmtId="0" fontId="51" fillId="50" borderId="52" xfId="0" applyFont="1" applyFill="1" applyBorder="1" applyAlignment="1">
      <alignment horizontal="center" vertical="center" wrapText="1"/>
    </xf>
    <xf numFmtId="0" fontId="51" fillId="50" borderId="40" xfId="0" applyFont="1" applyFill="1" applyBorder="1" applyAlignment="1">
      <alignment horizontal="center" vertical="center" wrapText="1"/>
    </xf>
    <xf numFmtId="49" fontId="51" fillId="50" borderId="60" xfId="0" applyNumberFormat="1" applyFont="1" applyFill="1" applyBorder="1" applyAlignment="1">
      <alignment horizontal="center" vertical="center" wrapText="1"/>
    </xf>
    <xf numFmtId="1" fontId="51" fillId="50" borderId="40" xfId="0" applyNumberFormat="1" applyFont="1" applyFill="1" applyBorder="1" applyAlignment="1">
      <alignment horizontal="center" vertical="center" wrapText="1"/>
    </xf>
    <xf numFmtId="2" fontId="51" fillId="50" borderId="52" xfId="0" applyNumberFormat="1" applyFont="1" applyFill="1" applyBorder="1" applyAlignment="1">
      <alignment horizontal="center" vertical="center" wrapText="1"/>
    </xf>
    <xf numFmtId="2" fontId="5" fillId="49" borderId="25" xfId="0" applyNumberFormat="1" applyFont="1" applyFill="1" applyBorder="1" applyAlignment="1">
      <alignment horizontal="center" vertical="top" wrapText="1"/>
    </xf>
    <xf numFmtId="2" fontId="5" fillId="49" borderId="51" xfId="0" applyNumberFormat="1" applyFont="1" applyFill="1" applyBorder="1" applyAlignment="1">
      <alignment horizontal="center" vertical="top" wrapText="1"/>
    </xf>
    <xf numFmtId="0" fontId="5" fillId="13" borderId="4" xfId="0" applyFont="1" applyFill="1" applyBorder="1" applyAlignment="1">
      <alignment horizontal="center" vertical="top" wrapText="1"/>
    </xf>
    <xf numFmtId="0" fontId="5" fillId="2" borderId="4" xfId="0" applyFont="1" applyFill="1" applyBorder="1" applyAlignment="1">
      <alignment vertical="top" wrapText="1"/>
    </xf>
    <xf numFmtId="0" fontId="5" fillId="13" borderId="3" xfId="0" applyFont="1" applyFill="1" applyBorder="1" applyAlignment="1">
      <alignment horizontal="center" vertical="top" wrapText="1"/>
    </xf>
    <xf numFmtId="0" fontId="5" fillId="2" borderId="19" xfId="0" applyFont="1" applyFill="1" applyBorder="1" applyAlignment="1">
      <alignment vertical="top" wrapText="1"/>
    </xf>
    <xf numFmtId="0" fontId="5" fillId="2" borderId="3" xfId="0" applyFont="1" applyFill="1" applyBorder="1" applyAlignment="1">
      <alignment vertical="top" wrapText="1"/>
    </xf>
    <xf numFmtId="2" fontId="5" fillId="50" borderId="51" xfId="0" applyNumberFormat="1" applyFont="1" applyFill="1" applyBorder="1" applyAlignment="1">
      <alignment horizontal="center" vertical="top" wrapText="1"/>
    </xf>
    <xf numFmtId="2" fontId="5" fillId="50" borderId="25" xfId="0" applyNumberFormat="1" applyFont="1" applyFill="1" applyBorder="1" applyAlignment="1">
      <alignment horizontal="center" vertical="top" wrapText="1"/>
    </xf>
    <xf numFmtId="0" fontId="5" fillId="2" borderId="10" xfId="0" applyFont="1" applyFill="1" applyBorder="1" applyAlignment="1">
      <alignment vertical="top" wrapText="1"/>
    </xf>
    <xf numFmtId="0" fontId="5" fillId="2" borderId="2" xfId="0" applyFont="1" applyFill="1" applyBorder="1" applyAlignment="1">
      <alignment vertical="top" wrapText="1"/>
    </xf>
    <xf numFmtId="0" fontId="5" fillId="0" borderId="64" xfId="0" applyFont="1" applyBorder="1" applyAlignment="1">
      <alignment horizontal="center" vertical="top" wrapText="1"/>
    </xf>
    <xf numFmtId="0" fontId="5" fillId="2" borderId="72" xfId="0" applyFont="1" applyFill="1" applyBorder="1" applyAlignment="1">
      <alignment vertical="top" wrapText="1"/>
    </xf>
    <xf numFmtId="1" fontId="5" fillId="50" borderId="22" xfId="0" applyNumberFormat="1" applyFont="1" applyFill="1" applyBorder="1" applyAlignment="1">
      <alignment horizontal="left" vertical="top" wrapText="1"/>
    </xf>
    <xf numFmtId="1" fontId="5" fillId="0" borderId="11" xfId="0" applyNumberFormat="1" applyFont="1" applyBorder="1" applyAlignment="1">
      <alignment horizontal="right" vertical="top" wrapText="1"/>
    </xf>
    <xf numFmtId="2" fontId="5" fillId="50" borderId="62" xfId="0" applyNumberFormat="1" applyFont="1" applyFill="1" applyBorder="1" applyAlignment="1">
      <alignment horizontal="center" vertical="top" wrapText="1"/>
    </xf>
    <xf numFmtId="1" fontId="5" fillId="50" borderId="25" xfId="0" applyNumberFormat="1" applyFont="1" applyFill="1" applyBorder="1" applyAlignment="1">
      <alignment horizontal="left" vertical="top" wrapText="1"/>
    </xf>
    <xf numFmtId="1" fontId="5" fillId="0" borderId="78" xfId="0" applyNumberFormat="1" applyFont="1" applyBorder="1" applyAlignment="1">
      <alignment horizontal="right" vertical="top" wrapText="1"/>
    </xf>
    <xf numFmtId="1" fontId="5" fillId="50" borderId="55" xfId="0" applyNumberFormat="1" applyFont="1" applyFill="1" applyBorder="1" applyAlignment="1">
      <alignment horizontal="left" vertical="top" wrapText="1"/>
    </xf>
    <xf numFmtId="1" fontId="5" fillId="0" borderId="61" xfId="0" applyNumberFormat="1" applyFont="1" applyBorder="1" applyAlignment="1">
      <alignment horizontal="left" vertical="top" wrapText="1"/>
    </xf>
    <xf numFmtId="1" fontId="5" fillId="50" borderId="51" xfId="0" applyNumberFormat="1" applyFont="1" applyFill="1" applyBorder="1" applyAlignment="1">
      <alignment horizontal="left" vertical="top" wrapText="1"/>
    </xf>
    <xf numFmtId="1" fontId="5" fillId="0" borderId="79" xfId="0" applyNumberFormat="1" applyFont="1" applyBorder="1" applyAlignment="1">
      <alignment horizontal="right" vertical="top" wrapText="1"/>
    </xf>
    <xf numFmtId="2" fontId="5" fillId="0" borderId="64" xfId="0" applyNumberFormat="1" applyFont="1" applyBorder="1" applyAlignment="1">
      <alignment horizontal="center" vertical="top" wrapText="1"/>
    </xf>
    <xf numFmtId="2" fontId="11" fillId="50" borderId="5" xfId="0" applyNumberFormat="1" applyFont="1" applyFill="1" applyBorder="1" applyAlignment="1">
      <alignment horizontal="center" vertical="center" wrapText="1"/>
    </xf>
    <xf numFmtId="2" fontId="5" fillId="50" borderId="19" xfId="0" applyNumberFormat="1" applyFont="1" applyFill="1" applyBorder="1" applyAlignment="1" applyProtection="1">
      <alignment horizontal="center" vertical="center" wrapText="1"/>
      <protection hidden="1"/>
    </xf>
    <xf numFmtId="2" fontId="5" fillId="50" borderId="1" xfId="0" applyNumberFormat="1" applyFont="1" applyFill="1" applyBorder="1" applyAlignment="1" applyProtection="1">
      <alignment horizontal="center" vertical="center" wrapText="1"/>
      <protection hidden="1"/>
    </xf>
    <xf numFmtId="2" fontId="5" fillId="50" borderId="2" xfId="0" applyNumberFormat="1" applyFont="1" applyFill="1" applyBorder="1" applyAlignment="1" applyProtection="1">
      <alignment horizontal="center" vertical="center" wrapText="1"/>
      <protection hidden="1"/>
    </xf>
    <xf numFmtId="2" fontId="5" fillId="50" borderId="26" xfId="0" applyNumberFormat="1" applyFont="1" applyFill="1" applyBorder="1" applyAlignment="1" applyProtection="1">
      <alignment horizontal="center" vertical="center" wrapText="1"/>
      <protection hidden="1"/>
    </xf>
    <xf numFmtId="2" fontId="5" fillId="50" borderId="5" xfId="0" applyNumberFormat="1" applyFont="1" applyFill="1" applyBorder="1" applyAlignment="1" applyProtection="1">
      <alignment horizontal="center" vertical="center" wrapText="1"/>
      <protection hidden="1"/>
    </xf>
    <xf numFmtId="0" fontId="26" fillId="0" borderId="68" xfId="0" applyFont="1" applyBorder="1" applyAlignment="1">
      <alignment vertical="top" wrapText="1"/>
    </xf>
    <xf numFmtId="0" fontId="26" fillId="0" borderId="62" xfId="0" applyFont="1" applyBorder="1" applyAlignment="1">
      <alignment vertical="top" wrapText="1"/>
    </xf>
    <xf numFmtId="0" fontId="39" fillId="38" borderId="25" xfId="0" applyFont="1" applyFill="1" applyBorder="1" applyAlignment="1">
      <alignment horizontal="center" vertical="center" wrapText="1"/>
    </xf>
    <xf numFmtId="0" fontId="0" fillId="0" borderId="28" xfId="0" applyBorder="1">
      <alignment vertical="top"/>
    </xf>
    <xf numFmtId="0" fontId="5" fillId="0" borderId="77" xfId="0" applyFont="1" applyBorder="1" applyAlignment="1" applyProtection="1">
      <alignment horizontal="center" vertical="top" wrapText="1"/>
      <protection locked="0"/>
    </xf>
    <xf numFmtId="0" fontId="5" fillId="0" borderId="55" xfId="0" applyFont="1" applyBorder="1" applyAlignment="1" applyProtection="1">
      <alignment horizontal="center" vertical="top" wrapText="1"/>
      <protection locked="0"/>
    </xf>
    <xf numFmtId="0" fontId="5" fillId="0" borderId="76" xfId="0" applyFont="1" applyBorder="1" applyAlignment="1" applyProtection="1">
      <alignment horizontal="center" vertical="top" wrapText="1"/>
      <protection locked="0"/>
    </xf>
    <xf numFmtId="0" fontId="5" fillId="38" borderId="25" xfId="0" applyFont="1" applyFill="1" applyBorder="1" applyAlignment="1">
      <alignment horizontal="left" vertical="top" wrapText="1"/>
    </xf>
    <xf numFmtId="0" fontId="0" fillId="0" borderId="13" xfId="0" applyBorder="1" applyAlignment="1">
      <alignment horizontal="left" vertical="top" wrapText="1"/>
    </xf>
    <xf numFmtId="0" fontId="0" fillId="0" borderId="28" xfId="0" applyBorder="1" applyAlignment="1">
      <alignment horizontal="left" vertical="top" wrapText="1"/>
    </xf>
    <xf numFmtId="0" fontId="11" fillId="38" borderId="25" xfId="0" applyFont="1" applyFill="1" applyBorder="1" applyAlignment="1">
      <alignment horizontal="left" vertical="top" wrapText="1"/>
    </xf>
    <xf numFmtId="0" fontId="59" fillId="0" borderId="13" xfId="0" applyFont="1" applyBorder="1" applyAlignment="1">
      <alignment horizontal="left" vertical="top" wrapText="1"/>
    </xf>
    <xf numFmtId="0" fontId="5" fillId="0" borderId="62" xfId="0" applyFont="1" applyBorder="1" applyAlignment="1">
      <alignment horizontal="left" vertical="top" wrapText="1"/>
    </xf>
    <xf numFmtId="0" fontId="6" fillId="0" borderId="62" xfId="0" applyFont="1" applyBorder="1" applyAlignment="1">
      <alignment horizontal="left" vertical="top" wrapText="1"/>
    </xf>
    <xf numFmtId="0" fontId="6" fillId="0" borderId="51" xfId="0" applyFont="1" applyBorder="1" applyAlignment="1">
      <alignment horizontal="left" vertical="top" wrapText="1"/>
    </xf>
    <xf numFmtId="0" fontId="5" fillId="0" borderId="52" xfId="0" applyFont="1" applyBorder="1" applyAlignment="1">
      <alignment vertical="top" wrapText="1"/>
    </xf>
    <xf numFmtId="0" fontId="5" fillId="0" borderId="62" xfId="0" applyFont="1" applyBorder="1" applyAlignment="1">
      <alignment vertical="top" wrapText="1"/>
    </xf>
    <xf numFmtId="0" fontId="5" fillId="0" borderId="51" xfId="0" applyFont="1" applyBorder="1" applyAlignment="1">
      <alignment vertical="top" wrapText="1"/>
    </xf>
    <xf numFmtId="0" fontId="5" fillId="21" borderId="40" xfId="0" applyFont="1" applyFill="1" applyBorder="1" applyAlignment="1">
      <alignment horizontal="left" vertical="top" wrapText="1"/>
    </xf>
    <xf numFmtId="0" fontId="5" fillId="21" borderId="55" xfId="0" applyFont="1" applyFill="1" applyBorder="1" applyAlignment="1">
      <alignment horizontal="left" vertical="top" wrapText="1"/>
    </xf>
    <xf numFmtId="0" fontId="5" fillId="21" borderId="24" xfId="0" applyFont="1" applyFill="1" applyBorder="1" applyAlignment="1">
      <alignment horizontal="left" vertical="top" wrapText="1"/>
    </xf>
    <xf numFmtId="0" fontId="5" fillId="38" borderId="55" xfId="0" applyFont="1" applyFill="1" applyBorder="1" applyAlignment="1">
      <alignment horizontal="left" vertical="top" wrapText="1"/>
    </xf>
    <xf numFmtId="0" fontId="5" fillId="0" borderId="55" xfId="0" applyFont="1" applyBorder="1" applyAlignment="1">
      <alignment horizontal="left" vertical="top" wrapText="1"/>
    </xf>
    <xf numFmtId="0" fontId="5" fillId="0" borderId="40" xfId="0" applyFont="1" applyBorder="1" applyAlignment="1">
      <alignment horizontal="left" vertical="top" wrapText="1"/>
    </xf>
    <xf numFmtId="0" fontId="5" fillId="0" borderId="24" xfId="0" applyFont="1" applyBorder="1" applyAlignment="1">
      <alignment horizontal="left" vertical="top" wrapText="1"/>
    </xf>
    <xf numFmtId="0" fontId="5" fillId="0" borderId="52" xfId="0" applyFont="1" applyBorder="1" applyAlignment="1">
      <alignment horizontal="left" vertical="top" wrapText="1"/>
    </xf>
    <xf numFmtId="0" fontId="5" fillId="0" borderId="51" xfId="0" applyFont="1" applyBorder="1" applyAlignment="1">
      <alignment horizontal="left" vertical="top" wrapText="1"/>
    </xf>
    <xf numFmtId="0" fontId="6" fillId="0" borderId="52" xfId="0" applyFont="1" applyBorder="1" applyAlignment="1">
      <alignment vertical="top" wrapText="1"/>
    </xf>
    <xf numFmtId="1" fontId="5" fillId="0" borderId="62" xfId="0" applyNumberFormat="1" applyFont="1" applyBorder="1" applyAlignment="1">
      <alignment vertical="top" wrapText="1"/>
    </xf>
    <xf numFmtId="0" fontId="5" fillId="38" borderId="40" xfId="0" applyFont="1" applyFill="1" applyBorder="1" applyAlignment="1">
      <alignment horizontal="left" vertical="top" wrapText="1"/>
    </xf>
    <xf numFmtId="0" fontId="5" fillId="38" borderId="24" xfId="0" applyFont="1" applyFill="1" applyBorder="1" applyAlignment="1">
      <alignment horizontal="left" vertical="top" wrapText="1"/>
    </xf>
    <xf numFmtId="0" fontId="5" fillId="51" borderId="40" xfId="0" applyFont="1" applyFill="1" applyBorder="1" applyAlignment="1">
      <alignment horizontal="left" vertical="top" wrapText="1"/>
    </xf>
    <xf numFmtId="0" fontId="5" fillId="51" borderId="55" xfId="0" applyFont="1" applyFill="1" applyBorder="1" applyAlignment="1">
      <alignment horizontal="left" vertical="top" wrapText="1"/>
    </xf>
    <xf numFmtId="0" fontId="5" fillId="51" borderId="24" xfId="0" applyFont="1" applyFill="1" applyBorder="1" applyAlignment="1">
      <alignment horizontal="left" vertical="top" wrapText="1"/>
    </xf>
    <xf numFmtId="0" fontId="5" fillId="39" borderId="40" xfId="0" applyFont="1" applyFill="1" applyBorder="1" applyAlignment="1">
      <alignment horizontal="left" vertical="top" wrapText="1"/>
    </xf>
    <xf numFmtId="0" fontId="5" fillId="39" borderId="55" xfId="0" applyFont="1" applyFill="1" applyBorder="1" applyAlignment="1">
      <alignment horizontal="left" vertical="top" wrapText="1"/>
    </xf>
    <xf numFmtId="0" fontId="5" fillId="39" borderId="24" xfId="0" applyFont="1" applyFill="1" applyBorder="1" applyAlignment="1">
      <alignment horizontal="left" vertical="top" wrapText="1"/>
    </xf>
    <xf numFmtId="0" fontId="5" fillId="40" borderId="40" xfId="0" applyFont="1" applyFill="1" applyBorder="1" applyAlignment="1">
      <alignment horizontal="left" vertical="top" wrapText="1"/>
    </xf>
    <xf numFmtId="0" fontId="5" fillId="40" borderId="55" xfId="0" applyFont="1" applyFill="1" applyBorder="1" applyAlignment="1">
      <alignment horizontal="left" vertical="top" wrapText="1"/>
    </xf>
    <xf numFmtId="0" fontId="5" fillId="40" borderId="24" xfId="0" applyFont="1" applyFill="1" applyBorder="1" applyAlignment="1">
      <alignment horizontal="left" vertical="top" wrapText="1"/>
    </xf>
    <xf numFmtId="0" fontId="5" fillId="0" borderId="40" xfId="0" applyFont="1" applyBorder="1" applyAlignment="1">
      <alignment horizontal="left" vertical="top"/>
    </xf>
    <xf numFmtId="0" fontId="5" fillId="0" borderId="55" xfId="0" applyFont="1" applyBorder="1" applyAlignment="1">
      <alignment horizontal="left" vertical="top"/>
    </xf>
    <xf numFmtId="0" fontId="5" fillId="0" borderId="24" xfId="0" applyFont="1" applyBorder="1" applyAlignment="1">
      <alignment horizontal="left" vertical="top"/>
    </xf>
    <xf numFmtId="0" fontId="5" fillId="37" borderId="40" xfId="0" applyFont="1" applyFill="1" applyBorder="1" applyAlignment="1">
      <alignment horizontal="left" vertical="top" wrapText="1"/>
    </xf>
    <xf numFmtId="0" fontId="5" fillId="37" borderId="55" xfId="0" applyFont="1" applyFill="1" applyBorder="1" applyAlignment="1">
      <alignment horizontal="left" vertical="top" wrapText="1"/>
    </xf>
    <xf numFmtId="0" fontId="5" fillId="37" borderId="24" xfId="0" applyFont="1" applyFill="1" applyBorder="1" applyAlignment="1">
      <alignment horizontal="left" vertical="top" wrapText="1"/>
    </xf>
    <xf numFmtId="0" fontId="5" fillId="0" borderId="62" xfId="0" applyFont="1" applyBorder="1" applyAlignment="1">
      <alignment horizontal="left" vertical="top"/>
    </xf>
    <xf numFmtId="0" fontId="5" fillId="0" borderId="51" xfId="0" applyFont="1" applyBorder="1" applyAlignment="1">
      <alignment horizontal="left" vertical="top"/>
    </xf>
    <xf numFmtId="0" fontId="5" fillId="0" borderId="18"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39" xfId="0" applyFont="1" applyBorder="1" applyAlignment="1">
      <alignment vertical="top" wrapText="1"/>
    </xf>
    <xf numFmtId="0" fontId="5" fillId="0" borderId="21" xfId="0" applyFont="1" applyBorder="1" applyAlignment="1">
      <alignment vertical="top" wrapText="1"/>
    </xf>
    <xf numFmtId="0" fontId="5" fillId="0" borderId="34" xfId="0" applyFont="1" applyBorder="1" applyAlignment="1">
      <alignment vertical="top" wrapText="1"/>
    </xf>
    <xf numFmtId="0" fontId="5" fillId="0" borderId="36" xfId="0" applyFont="1" applyBorder="1" applyAlignment="1">
      <alignment vertical="top" wrapText="1"/>
    </xf>
    <xf numFmtId="0" fontId="37" fillId="0" borderId="25" xfId="0" applyFont="1" applyBorder="1" applyAlignment="1" applyProtection="1">
      <alignment horizontal="left" vertical="top"/>
      <protection locked="0"/>
    </xf>
    <xf numFmtId="0" fontId="37" fillId="0" borderId="28"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5" fillId="0" borderId="55" xfId="0" applyFont="1" applyBorder="1" applyAlignment="1" applyProtection="1">
      <alignment horizontal="left" vertical="top" wrapText="1"/>
      <protection locked="0"/>
    </xf>
    <xf numFmtId="0" fontId="6" fillId="0" borderId="55"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5" fillId="0" borderId="40"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40"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1" fontId="5" fillId="0" borderId="55" xfId="0" applyNumberFormat="1" applyFont="1" applyBorder="1" applyAlignment="1" applyProtection="1">
      <alignment vertical="top" wrapText="1"/>
      <protection locked="0"/>
    </xf>
    <xf numFmtId="0" fontId="6" fillId="0" borderId="40"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40" xfId="0" applyFont="1" applyBorder="1" applyAlignment="1" applyProtection="1">
      <alignment horizontal="left" vertical="top"/>
      <protection locked="0"/>
    </xf>
    <xf numFmtId="0" fontId="5" fillId="0" borderId="55" xfId="0" applyFont="1" applyBorder="1" applyAlignment="1" applyProtection="1">
      <alignment horizontal="left" vertical="top"/>
      <protection locked="0"/>
    </xf>
    <xf numFmtId="0" fontId="5" fillId="0" borderId="24" xfId="0" applyFont="1" applyBorder="1" applyAlignment="1" applyProtection="1">
      <alignment horizontal="left" vertical="top"/>
      <protection locked="0"/>
    </xf>
    <xf numFmtId="0" fontId="18" fillId="53" borderId="27" xfId="0" applyFont="1" applyFill="1" applyBorder="1" applyAlignment="1">
      <alignment horizontal="left" vertical="top" wrapText="1"/>
    </xf>
    <xf numFmtId="0" fontId="67" fillId="53" borderId="63" xfId="0" applyFont="1" applyFill="1" applyBorder="1" applyAlignment="1">
      <alignment horizontal="left" vertical="top" wrapText="1"/>
    </xf>
    <xf numFmtId="0" fontId="5" fillId="0" borderId="76" xfId="0" applyFont="1" applyBorder="1" applyAlignment="1">
      <alignment horizontal="left" vertical="top" wrapText="1"/>
    </xf>
    <xf numFmtId="0" fontId="11" fillId="57" borderId="25" xfId="0" applyFont="1" applyFill="1" applyBorder="1" applyAlignment="1">
      <alignment horizontal="left" vertical="top" wrapText="1"/>
    </xf>
    <xf numFmtId="0" fontId="59" fillId="57" borderId="13" xfId="0" applyFont="1" applyFill="1" applyBorder="1" applyAlignment="1">
      <alignment horizontal="left" vertical="top" wrapText="1"/>
    </xf>
    <xf numFmtId="0" fontId="5" fillId="0" borderId="25" xfId="0" applyFont="1" applyBorder="1" applyAlignment="1">
      <alignment horizontal="left" vertical="top" wrapText="1"/>
    </xf>
    <xf numFmtId="0" fontId="6" fillId="0" borderId="62" xfId="0" applyFont="1" applyBorder="1" applyAlignment="1">
      <alignment vertical="top" wrapText="1"/>
    </xf>
    <xf numFmtId="0" fontId="6" fillId="0" borderId="51" xfId="0" applyFont="1" applyBorder="1" applyAlignment="1">
      <alignment vertical="top" wrapText="1"/>
    </xf>
    <xf numFmtId="0" fontId="5" fillId="0" borderId="55" xfId="0" applyFont="1" applyBorder="1" applyAlignment="1">
      <alignment vertical="top" wrapText="1"/>
    </xf>
    <xf numFmtId="0" fontId="10" fillId="0" borderId="55" xfId="0" applyFont="1" applyBorder="1">
      <alignment vertical="top"/>
    </xf>
    <xf numFmtId="0" fontId="10" fillId="0" borderId="24" xfId="0" applyFont="1" applyBorder="1">
      <alignment vertical="top"/>
    </xf>
    <xf numFmtId="0" fontId="5" fillId="34" borderId="40" xfId="0" applyFont="1" applyFill="1" applyBorder="1" applyAlignment="1">
      <alignment vertical="top" wrapText="1"/>
    </xf>
    <xf numFmtId="0" fontId="5" fillId="34" borderId="55" xfId="0" applyFont="1" applyFill="1" applyBorder="1" applyAlignment="1">
      <alignment vertical="top" wrapText="1"/>
    </xf>
    <xf numFmtId="0" fontId="5" fillId="34" borderId="24" xfId="0" applyFont="1" applyFill="1" applyBorder="1" applyAlignment="1">
      <alignment vertical="top" wrapText="1"/>
    </xf>
    <xf numFmtId="0" fontId="5" fillId="26" borderId="18" xfId="0" applyFont="1" applyFill="1" applyBorder="1" applyAlignment="1">
      <alignment vertical="top" wrapText="1"/>
    </xf>
    <xf numFmtId="0" fontId="5" fillId="26" borderId="16" xfId="0" applyFont="1" applyFill="1" applyBorder="1" applyAlignment="1">
      <alignment vertical="top" wrapText="1"/>
    </xf>
    <xf numFmtId="0" fontId="5" fillId="26" borderId="17" xfId="0" applyFont="1" applyFill="1" applyBorder="1" applyAlignment="1">
      <alignment vertical="top" wrapText="1"/>
    </xf>
    <xf numFmtId="0" fontId="5" fillId="26" borderId="40" xfId="0" applyFont="1" applyFill="1" applyBorder="1" applyAlignment="1">
      <alignment vertical="top" wrapText="1"/>
    </xf>
    <xf numFmtId="0" fontId="5" fillId="26" borderId="55" xfId="0" applyFont="1" applyFill="1" applyBorder="1" applyAlignment="1">
      <alignment vertical="top" wrapText="1"/>
    </xf>
    <xf numFmtId="0" fontId="5" fillId="26" borderId="24" xfId="0" applyFont="1" applyFill="1" applyBorder="1" applyAlignment="1">
      <alignment vertical="top" wrapText="1"/>
    </xf>
    <xf numFmtId="0" fontId="5" fillId="26" borderId="18" xfId="0" applyFont="1" applyFill="1" applyBorder="1" applyAlignment="1">
      <alignment horizontal="left" vertical="top" wrapText="1"/>
    </xf>
    <xf numFmtId="0" fontId="5" fillId="26" borderId="16" xfId="0" applyFont="1" applyFill="1" applyBorder="1" applyAlignment="1">
      <alignment horizontal="left" vertical="top" wrapText="1"/>
    </xf>
    <xf numFmtId="0" fontId="5" fillId="26" borderId="17" xfId="0" applyFont="1" applyFill="1" applyBorder="1" applyAlignment="1">
      <alignment horizontal="left" vertical="top" wrapText="1"/>
    </xf>
    <xf numFmtId="0" fontId="5" fillId="26" borderId="40" xfId="0" applyFont="1" applyFill="1" applyBorder="1" applyAlignment="1">
      <alignment horizontal="left" vertical="top" wrapText="1"/>
    </xf>
    <xf numFmtId="0" fontId="5" fillId="26" borderId="55" xfId="0" applyFont="1" applyFill="1" applyBorder="1" applyAlignment="1">
      <alignment horizontal="left" vertical="top" wrapText="1"/>
    </xf>
    <xf numFmtId="0" fontId="5" fillId="0" borderId="40" xfId="0" applyFont="1" applyBorder="1" applyAlignment="1">
      <alignment vertical="top" wrapText="1"/>
    </xf>
    <xf numFmtId="0" fontId="5" fillId="0" borderId="24" xfId="0" applyFont="1" applyBorder="1" applyAlignment="1">
      <alignment vertical="top" wrapText="1"/>
    </xf>
    <xf numFmtId="0" fontId="5" fillId="0" borderId="39" xfId="0" applyFont="1" applyBorder="1" applyAlignment="1">
      <alignment horizontal="left" vertical="top" wrapText="1"/>
    </xf>
    <xf numFmtId="0" fontId="5" fillId="0" borderId="34" xfId="0" applyFont="1" applyBorder="1" applyAlignment="1">
      <alignment horizontal="left" vertical="top" wrapText="1"/>
    </xf>
    <xf numFmtId="0" fontId="5" fillId="0" borderId="36" xfId="0" applyFont="1" applyBorder="1" applyAlignment="1">
      <alignment horizontal="left" vertical="top" wrapText="1"/>
    </xf>
    <xf numFmtId="0" fontId="5" fillId="0" borderId="80" xfId="0" applyFont="1" applyBorder="1" applyAlignment="1">
      <alignment horizontal="left" vertical="top" wrapText="1"/>
    </xf>
    <xf numFmtId="0" fontId="5" fillId="0" borderId="0" xfId="0" applyFont="1" applyAlignment="1">
      <alignment horizontal="left" vertical="top" wrapText="1"/>
    </xf>
    <xf numFmtId="0" fontId="5" fillId="0" borderId="29" xfId="0" applyFont="1" applyBorder="1" applyAlignment="1">
      <alignment horizontal="left" vertical="top" wrapText="1"/>
    </xf>
    <xf numFmtId="0" fontId="5" fillId="35" borderId="40" xfId="0" applyFont="1" applyFill="1" applyBorder="1" applyAlignment="1">
      <alignment vertical="top" wrapText="1"/>
    </xf>
    <xf numFmtId="0" fontId="5" fillId="35" borderId="55" xfId="0" applyFont="1" applyFill="1" applyBorder="1" applyAlignment="1">
      <alignment vertical="top" wrapText="1"/>
    </xf>
    <xf numFmtId="0" fontId="5" fillId="35" borderId="24" xfId="0" applyFont="1" applyFill="1" applyBorder="1" applyAlignment="1">
      <alignment vertical="top" wrapText="1"/>
    </xf>
    <xf numFmtId="0" fontId="5" fillId="35" borderId="40" xfId="0" applyFont="1" applyFill="1" applyBorder="1" applyAlignment="1">
      <alignment horizontal="left" vertical="top" wrapText="1"/>
    </xf>
    <xf numFmtId="0" fontId="5" fillId="35" borderId="55" xfId="0" applyFont="1" applyFill="1" applyBorder="1" applyAlignment="1">
      <alignment horizontal="left" vertical="top" wrapText="1"/>
    </xf>
    <xf numFmtId="0" fontId="5" fillId="35" borderId="24" xfId="0" applyFont="1" applyFill="1" applyBorder="1" applyAlignment="1">
      <alignment horizontal="left" vertical="top" wrapText="1"/>
    </xf>
    <xf numFmtId="0" fontId="5" fillId="35" borderId="18" xfId="0" applyFont="1" applyFill="1" applyBorder="1" applyAlignment="1">
      <alignment vertical="top" wrapText="1"/>
    </xf>
    <xf numFmtId="0" fontId="5" fillId="35" borderId="16" xfId="0" applyFont="1" applyFill="1" applyBorder="1" applyAlignment="1">
      <alignment vertical="top" wrapText="1"/>
    </xf>
    <xf numFmtId="0" fontId="5" fillId="35" borderId="17" xfId="0" applyFont="1" applyFill="1" applyBorder="1" applyAlignment="1">
      <alignment vertical="top" wrapText="1"/>
    </xf>
    <xf numFmtId="0" fontId="5" fillId="35" borderId="18" xfId="0" applyFont="1" applyFill="1" applyBorder="1" applyAlignment="1">
      <alignment horizontal="left" vertical="top" wrapText="1"/>
    </xf>
    <xf numFmtId="0" fontId="5" fillId="35" borderId="16" xfId="0" applyFont="1" applyFill="1" applyBorder="1" applyAlignment="1">
      <alignment horizontal="left" vertical="top" wrapText="1"/>
    </xf>
    <xf numFmtId="0" fontId="5" fillId="35" borderId="17" xfId="0" applyFont="1" applyFill="1" applyBorder="1" applyAlignment="1">
      <alignment horizontal="left" vertical="top" wrapText="1"/>
    </xf>
    <xf numFmtId="0" fontId="5" fillId="23" borderId="40" xfId="0" applyFont="1" applyFill="1" applyBorder="1" applyAlignment="1">
      <alignment vertical="top" wrapText="1"/>
    </xf>
    <xf numFmtId="0" fontId="5" fillId="23" borderId="55" xfId="0" applyFont="1" applyFill="1" applyBorder="1" applyAlignment="1">
      <alignment vertical="top" wrapText="1"/>
    </xf>
    <xf numFmtId="0" fontId="5" fillId="23" borderId="24" xfId="0" applyFont="1" applyFill="1" applyBorder="1" applyAlignment="1">
      <alignment vertical="top" wrapText="1"/>
    </xf>
    <xf numFmtId="0" fontId="5" fillId="0" borderId="18"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61" xfId="0" applyFont="1" applyBorder="1" applyAlignment="1">
      <alignment vertical="top" wrapText="1"/>
    </xf>
    <xf numFmtId="0" fontId="5" fillId="0" borderId="14" xfId="0" applyFont="1" applyBorder="1" applyAlignment="1">
      <alignment vertical="top" wrapText="1"/>
    </xf>
    <xf numFmtId="0" fontId="5" fillId="26" borderId="24" xfId="0" applyFont="1" applyFill="1" applyBorder="1" applyAlignment="1">
      <alignment horizontal="left" vertical="top" wrapText="1"/>
    </xf>
    <xf numFmtId="0" fontId="5" fillId="34" borderId="40" xfId="0" applyFont="1" applyFill="1" applyBorder="1" applyAlignment="1">
      <alignment horizontal="left" vertical="top" wrapText="1"/>
    </xf>
    <xf numFmtId="0" fontId="5" fillId="34" borderId="55" xfId="0" applyFont="1" applyFill="1" applyBorder="1" applyAlignment="1">
      <alignment horizontal="left" vertical="top" wrapText="1"/>
    </xf>
    <xf numFmtId="0" fontId="5" fillId="34" borderId="24" xfId="0" applyFont="1" applyFill="1" applyBorder="1" applyAlignment="1">
      <alignment horizontal="left" vertical="top" wrapText="1"/>
    </xf>
    <xf numFmtId="0" fontId="5" fillId="35" borderId="62" xfId="0" applyFont="1" applyFill="1" applyBorder="1" applyAlignment="1">
      <alignment horizontal="left" vertical="top" wrapText="1"/>
    </xf>
    <xf numFmtId="0" fontId="5" fillId="36" borderId="18" xfId="0" applyFont="1" applyFill="1" applyBorder="1" applyAlignment="1">
      <alignment vertical="top" wrapText="1"/>
    </xf>
    <xf numFmtId="0" fontId="5" fillId="36" borderId="16" xfId="0" applyFont="1" applyFill="1" applyBorder="1" applyAlignment="1">
      <alignment vertical="top" wrapText="1"/>
    </xf>
    <xf numFmtId="0" fontId="5" fillId="36" borderId="17" xfId="0" applyFont="1" applyFill="1" applyBorder="1" applyAlignment="1">
      <alignment vertical="top" wrapText="1"/>
    </xf>
    <xf numFmtId="0" fontId="5" fillId="36" borderId="40" xfId="0" applyFont="1" applyFill="1" applyBorder="1" applyAlignment="1">
      <alignment vertical="top" wrapText="1"/>
    </xf>
    <xf numFmtId="0" fontId="5" fillId="36" borderId="55" xfId="0" applyFont="1" applyFill="1" applyBorder="1" applyAlignment="1">
      <alignment vertical="top" wrapText="1"/>
    </xf>
    <xf numFmtId="0" fontId="5" fillId="36" borderId="24" xfId="0" applyFont="1" applyFill="1" applyBorder="1" applyAlignment="1">
      <alignment vertical="top" wrapText="1"/>
    </xf>
    <xf numFmtId="0" fontId="5" fillId="36" borderId="40" xfId="0" applyFont="1" applyFill="1" applyBorder="1" applyAlignment="1">
      <alignment horizontal="left" vertical="top" wrapText="1"/>
    </xf>
    <xf numFmtId="0" fontId="5" fillId="36" borderId="55" xfId="0" applyFont="1" applyFill="1" applyBorder="1" applyAlignment="1">
      <alignment horizontal="left" vertical="top" wrapText="1"/>
    </xf>
    <xf numFmtId="0" fontId="5" fillId="36" borderId="24" xfId="0" applyFont="1" applyFill="1" applyBorder="1" applyAlignment="1">
      <alignment horizontal="left" vertical="top" wrapText="1"/>
    </xf>
    <xf numFmtId="0" fontId="5" fillId="37" borderId="40" xfId="0" applyFont="1" applyFill="1" applyBorder="1" applyAlignment="1">
      <alignment vertical="top" wrapText="1"/>
    </xf>
    <xf numFmtId="0" fontId="5" fillId="37" borderId="55" xfId="0" applyFont="1" applyFill="1" applyBorder="1" applyAlignment="1">
      <alignment vertical="top" wrapText="1"/>
    </xf>
    <xf numFmtId="0" fontId="5" fillId="37" borderId="24" xfId="0" applyFont="1" applyFill="1" applyBorder="1" applyAlignment="1">
      <alignment vertical="top" wrapText="1"/>
    </xf>
    <xf numFmtId="0" fontId="5" fillId="53" borderId="25" xfId="0" applyFont="1" applyFill="1" applyBorder="1" applyAlignment="1">
      <alignment horizontal="left" vertical="top" wrapText="1"/>
    </xf>
    <xf numFmtId="0" fontId="5" fillId="53" borderId="13" xfId="0" applyFont="1" applyFill="1" applyBorder="1" applyAlignment="1">
      <alignment horizontal="left" vertical="top" wrapText="1"/>
    </xf>
    <xf numFmtId="0" fontId="5" fillId="53" borderId="78" xfId="0" applyFont="1" applyFill="1" applyBorder="1" applyAlignment="1">
      <alignment horizontal="left" vertical="top" wrapText="1"/>
    </xf>
    <xf numFmtId="0" fontId="6" fillId="0" borderId="28" xfId="0" applyFont="1" applyBorder="1" applyAlignment="1" applyProtection="1">
      <alignment horizontal="left" vertical="top"/>
      <protection locked="0"/>
    </xf>
    <xf numFmtId="49" fontId="5" fillId="0" borderId="40" xfId="0" applyNumberFormat="1" applyFont="1" applyBorder="1" applyAlignment="1">
      <alignment vertical="top" wrapText="1"/>
    </xf>
    <xf numFmtId="49" fontId="5" fillId="0" borderId="55" xfId="0" applyNumberFormat="1" applyFont="1" applyBorder="1" applyAlignment="1">
      <alignment vertical="top" wrapText="1"/>
    </xf>
    <xf numFmtId="49" fontId="5" fillId="0" borderId="24" xfId="0" applyNumberFormat="1" applyFont="1" applyBorder="1" applyAlignment="1">
      <alignment vertical="top" wrapText="1"/>
    </xf>
    <xf numFmtId="49" fontId="5" fillId="0" borderId="40" xfId="0" applyNumberFormat="1" applyFont="1" applyBorder="1" applyAlignment="1">
      <alignment horizontal="left" vertical="top" wrapText="1"/>
    </xf>
    <xf numFmtId="49" fontId="5" fillId="0" borderId="55" xfId="0" applyNumberFormat="1" applyFont="1" applyBorder="1" applyAlignment="1">
      <alignment horizontal="left" vertical="top" wrapText="1"/>
    </xf>
    <xf numFmtId="49" fontId="5" fillId="0" borderId="24" xfId="0" applyNumberFormat="1" applyFont="1" applyBorder="1" applyAlignment="1">
      <alignment horizontal="left" vertical="top" wrapText="1"/>
    </xf>
    <xf numFmtId="0" fontId="10" fillId="0" borderId="24" xfId="0" applyFont="1" applyBorder="1" applyAlignment="1">
      <alignment vertical="top" wrapText="1"/>
    </xf>
    <xf numFmtId="0" fontId="10" fillId="0" borderId="24" xfId="0" applyFont="1" applyBorder="1" applyAlignment="1">
      <alignment horizontal="left" vertical="top" wrapText="1"/>
    </xf>
    <xf numFmtId="0" fontId="5" fillId="0" borderId="76" xfId="0" applyFont="1" applyBorder="1" applyAlignment="1" applyProtection="1">
      <alignment horizontal="left" vertical="top" wrapText="1"/>
      <protection locked="0"/>
    </xf>
    <xf numFmtId="0" fontId="6" fillId="0" borderId="55" xfId="0" applyFont="1" applyBorder="1" applyAlignment="1" applyProtection="1">
      <alignment vertical="top" wrapText="1"/>
      <protection locked="0"/>
    </xf>
    <xf numFmtId="0" fontId="6" fillId="0" borderId="24" xfId="0" applyFont="1" applyBorder="1" applyAlignment="1" applyProtection="1">
      <alignment vertical="top" wrapText="1"/>
      <protection locked="0"/>
    </xf>
    <xf numFmtId="0" fontId="5" fillId="0" borderId="18"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32" borderId="40" xfId="0" applyFont="1" applyFill="1" applyBorder="1" applyAlignment="1">
      <alignment horizontal="left" vertical="top" wrapText="1"/>
    </xf>
    <xf numFmtId="0" fontId="5" fillId="32" borderId="55" xfId="0" applyFont="1" applyFill="1" applyBorder="1" applyAlignment="1">
      <alignment horizontal="left" vertical="top" wrapText="1"/>
    </xf>
    <xf numFmtId="0" fontId="5" fillId="32" borderId="24" xfId="0" applyFont="1" applyFill="1" applyBorder="1" applyAlignment="1">
      <alignment horizontal="left" vertical="top" wrapText="1"/>
    </xf>
    <xf numFmtId="0" fontId="10" fillId="0" borderId="55" xfId="0" applyFont="1" applyBorder="1" applyAlignment="1">
      <alignment horizontal="left" vertical="top"/>
    </xf>
    <xf numFmtId="0" fontId="10" fillId="0" borderId="24" xfId="0" applyFont="1" applyBorder="1" applyAlignment="1">
      <alignment horizontal="left" vertical="top"/>
    </xf>
    <xf numFmtId="0" fontId="10" fillId="32" borderId="55" xfId="0" applyFont="1" applyFill="1" applyBorder="1" applyAlignment="1">
      <alignment horizontal="left" vertical="top"/>
    </xf>
    <xf numFmtId="0" fontId="10" fillId="32" borderId="24" xfId="0" applyFont="1" applyFill="1" applyBorder="1" applyAlignment="1">
      <alignment horizontal="left" vertical="top"/>
    </xf>
    <xf numFmtId="1" fontId="5" fillId="0" borderId="40" xfId="0" applyNumberFormat="1" applyFont="1" applyBorder="1" applyAlignment="1">
      <alignment horizontal="left" vertical="top" wrapText="1"/>
    </xf>
    <xf numFmtId="0" fontId="33" fillId="0" borderId="40" xfId="0" applyFont="1" applyBorder="1" applyAlignment="1">
      <alignment horizontal="left" vertical="top" wrapText="1"/>
    </xf>
    <xf numFmtId="0" fontId="5" fillId="54" borderId="25" xfId="0" applyFont="1" applyFill="1" applyBorder="1" applyAlignment="1">
      <alignment horizontal="left" vertical="top" wrapText="1"/>
    </xf>
    <xf numFmtId="0" fontId="5" fillId="54" borderId="13" xfId="0" applyFont="1" applyFill="1" applyBorder="1" applyAlignment="1">
      <alignment horizontal="left" vertical="top" wrapText="1"/>
    </xf>
    <xf numFmtId="0" fontId="5" fillId="54" borderId="78" xfId="0" applyFont="1" applyFill="1" applyBorder="1" applyAlignment="1">
      <alignment horizontal="left" vertical="top" wrapText="1"/>
    </xf>
    <xf numFmtId="0" fontId="33" fillId="0" borderId="55" xfId="0" applyFont="1" applyBorder="1" applyAlignment="1">
      <alignment horizontal="left" vertical="top" wrapText="1"/>
    </xf>
    <xf numFmtId="0" fontId="33" fillId="0" borderId="24" xfId="0" applyFont="1" applyBorder="1" applyAlignment="1">
      <alignment horizontal="left" vertical="top" wrapText="1"/>
    </xf>
    <xf numFmtId="1" fontId="5" fillId="0" borderId="40" xfId="0" applyNumberFormat="1" applyFont="1" applyBorder="1" applyAlignment="1">
      <alignment horizontal="left" vertical="top"/>
    </xf>
    <xf numFmtId="1" fontId="5" fillId="0" borderId="55" xfId="0" applyNumberFormat="1" applyFont="1" applyBorder="1" applyAlignment="1">
      <alignment horizontal="left" vertical="top"/>
    </xf>
    <xf numFmtId="1" fontId="5" fillId="0" borderId="24" xfId="0" applyNumberFormat="1" applyFont="1" applyBorder="1" applyAlignment="1">
      <alignment horizontal="left" vertical="top"/>
    </xf>
    <xf numFmtId="0" fontId="63" fillId="56" borderId="13" xfId="0" applyFont="1" applyFill="1" applyBorder="1" applyAlignment="1">
      <alignment horizontal="left" vertical="top" wrapText="1"/>
    </xf>
    <xf numFmtId="0" fontId="0" fillId="56" borderId="28" xfId="0" applyFill="1" applyBorder="1" applyAlignment="1">
      <alignment horizontal="left" vertical="top" wrapText="1"/>
    </xf>
    <xf numFmtId="0" fontId="8" fillId="56" borderId="25" xfId="0" applyFont="1" applyFill="1" applyBorder="1" applyAlignment="1">
      <alignment horizontal="left" vertical="top" wrapText="1"/>
    </xf>
    <xf numFmtId="0" fontId="0" fillId="56" borderId="13" xfId="0" applyFill="1" applyBorder="1" applyAlignment="1">
      <alignment horizontal="left" vertical="top" wrapText="1"/>
    </xf>
    <xf numFmtId="0" fontId="33" fillId="0" borderId="18" xfId="0" applyFont="1" applyBorder="1" applyAlignment="1">
      <alignment horizontal="left" vertical="top" wrapText="1"/>
    </xf>
    <xf numFmtId="0" fontId="33" fillId="0" borderId="16" xfId="0" applyFont="1" applyBorder="1" applyAlignment="1">
      <alignment horizontal="left" vertical="top" wrapText="1"/>
    </xf>
    <xf numFmtId="0" fontId="33" fillId="0" borderId="17" xfId="0" applyFont="1" applyBorder="1" applyAlignment="1">
      <alignment horizontal="lef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1" fontId="5" fillId="0" borderId="40" xfId="0" applyNumberFormat="1" applyFont="1" applyBorder="1" applyAlignment="1">
      <alignment vertical="top" wrapText="1"/>
    </xf>
    <xf numFmtId="1" fontId="5" fillId="0" borderId="55" xfId="0" applyNumberFormat="1" applyFont="1" applyBorder="1" applyAlignment="1">
      <alignment vertical="top" wrapText="1"/>
    </xf>
    <xf numFmtId="1" fontId="5" fillId="0" borderId="24" xfId="0" applyNumberFormat="1" applyFont="1" applyBorder="1" applyAlignment="1">
      <alignment vertical="top" wrapText="1"/>
    </xf>
    <xf numFmtId="1" fontId="5" fillId="0" borderId="55" xfId="0" applyNumberFormat="1" applyFont="1" applyBorder="1" applyAlignment="1">
      <alignment horizontal="left" vertical="top" wrapText="1"/>
    </xf>
    <xf numFmtId="1" fontId="5" fillId="0" borderId="24" xfId="0" applyNumberFormat="1" applyFont="1" applyBorder="1" applyAlignment="1">
      <alignment horizontal="left" vertical="top" wrapText="1"/>
    </xf>
    <xf numFmtId="0" fontId="6" fillId="0" borderId="16" xfId="0" applyFont="1" applyBorder="1" applyAlignment="1">
      <alignment vertical="top" wrapText="1"/>
    </xf>
    <xf numFmtId="0" fontId="10" fillId="0" borderId="18"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6" xfId="0" applyFont="1" applyBorder="1" applyAlignment="1" applyProtection="1">
      <alignment vertical="top" wrapText="1"/>
      <protection locked="0"/>
    </xf>
    <xf numFmtId="0" fontId="10" fillId="0" borderId="17" xfId="0" applyFont="1" applyBorder="1" applyAlignment="1" applyProtection="1">
      <alignment vertical="top" wrapText="1"/>
      <protection locked="0"/>
    </xf>
    <xf numFmtId="0" fontId="33" fillId="0" borderId="18" xfId="0" applyFont="1" applyBorder="1" applyAlignment="1" applyProtection="1">
      <alignment horizontal="left" vertical="top" wrapText="1"/>
      <protection locked="0"/>
    </xf>
    <xf numFmtId="0" fontId="33" fillId="0" borderId="16" xfId="0" applyFont="1" applyBorder="1" applyAlignment="1" applyProtection="1">
      <alignment horizontal="left" vertical="top" wrapText="1"/>
      <protection locked="0"/>
    </xf>
    <xf numFmtId="0" fontId="33" fillId="0" borderId="17" xfId="0" applyFont="1" applyBorder="1" applyAlignment="1" applyProtection="1">
      <alignment horizontal="left" vertical="top" wrapText="1"/>
      <protection locked="0"/>
    </xf>
    <xf numFmtId="0" fontId="6" fillId="0" borderId="16" xfId="0" applyFont="1" applyBorder="1" applyAlignment="1" applyProtection="1">
      <alignment vertical="top" wrapText="1"/>
      <protection locked="0"/>
    </xf>
    <xf numFmtId="0" fontId="10" fillId="0" borderId="18"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0" fontId="5" fillId="0" borderId="40" xfId="2" applyFont="1" applyBorder="1" applyAlignment="1">
      <alignment horizontal="left" vertical="top" wrapText="1"/>
    </xf>
    <xf numFmtId="0" fontId="5" fillId="0" borderId="55" xfId="2" applyFont="1" applyBorder="1" applyAlignment="1">
      <alignment horizontal="left" vertical="top" wrapText="1"/>
    </xf>
    <xf numFmtId="0" fontId="5" fillId="0" borderId="24" xfId="2" applyFont="1" applyBorder="1" applyAlignment="1">
      <alignment horizontal="left" vertical="top" wrapText="1"/>
    </xf>
    <xf numFmtId="0" fontId="5" fillId="0" borderId="21" xfId="2" applyFont="1" applyBorder="1" applyAlignment="1">
      <alignment vertical="top" wrapText="1"/>
    </xf>
    <xf numFmtId="0" fontId="0" fillId="0" borderId="21" xfId="0" applyBorder="1" applyAlignment="1">
      <alignment vertical="top" wrapText="1"/>
    </xf>
    <xf numFmtId="0" fontId="0" fillId="0" borderId="6" xfId="0" applyBorder="1" applyAlignment="1">
      <alignment vertical="top" wrapText="1"/>
    </xf>
    <xf numFmtId="0" fontId="12" fillId="0" borderId="13" xfId="2" applyFont="1" applyBorder="1" applyAlignment="1">
      <alignment vertical="top" wrapText="1"/>
    </xf>
    <xf numFmtId="0" fontId="12" fillId="0" borderId="28" xfId="2" applyFont="1" applyBorder="1" applyAlignment="1">
      <alignment vertical="top" wrapText="1"/>
    </xf>
    <xf numFmtId="0" fontId="0" fillId="0" borderId="55" xfId="0" applyBorder="1" applyAlignment="1">
      <alignment horizontal="left" vertical="top" wrapText="1"/>
    </xf>
    <xf numFmtId="0" fontId="0" fillId="0" borderId="24" xfId="0" applyBorder="1" applyAlignment="1">
      <alignment horizontal="left" vertical="top" wrapText="1"/>
    </xf>
    <xf numFmtId="0" fontId="25" fillId="49" borderId="13" xfId="2" applyFont="1" applyFill="1" applyBorder="1" applyAlignment="1">
      <alignment vertical="top" wrapText="1"/>
    </xf>
    <xf numFmtId="0" fontId="31" fillId="49" borderId="13" xfId="0" applyFont="1" applyFill="1" applyBorder="1" applyAlignment="1">
      <alignment vertical="top" wrapText="1"/>
    </xf>
    <xf numFmtId="0" fontId="31" fillId="49" borderId="28" xfId="0" applyFont="1" applyFill="1" applyBorder="1" applyAlignment="1">
      <alignment vertical="top" wrapText="1"/>
    </xf>
    <xf numFmtId="49" fontId="2" fillId="0" borderId="29" xfId="2" applyNumberFormat="1" applyFont="1" applyBorder="1" applyAlignment="1">
      <alignment horizontal="right" vertical="top" wrapText="1"/>
    </xf>
    <xf numFmtId="0" fontId="0" fillId="0" borderId="29" xfId="0" applyBorder="1" applyAlignment="1">
      <alignment horizontal="right" vertical="top" wrapText="1"/>
    </xf>
    <xf numFmtId="0" fontId="0" fillId="0" borderId="13" xfId="0" applyBorder="1" applyAlignment="1">
      <alignment vertical="top" wrapText="1"/>
    </xf>
    <xf numFmtId="0" fontId="0" fillId="0" borderId="28" xfId="0" applyBorder="1" applyAlignment="1">
      <alignment vertical="top" wrapText="1"/>
    </xf>
    <xf numFmtId="0" fontId="5" fillId="0" borderId="47" xfId="2" applyFont="1" applyBorder="1" applyAlignment="1">
      <alignment vertical="top" wrapText="1"/>
    </xf>
    <xf numFmtId="0" fontId="0" fillId="0" borderId="47" xfId="0" applyBorder="1" applyAlignment="1">
      <alignment vertical="top" wrapText="1"/>
    </xf>
    <xf numFmtId="0" fontId="0" fillId="0" borderId="67" xfId="0" applyBorder="1" applyAlignment="1">
      <alignment vertical="top" wrapText="1"/>
    </xf>
    <xf numFmtId="0" fontId="5" fillId="0" borderId="0" xfId="2" applyFont="1" applyAlignment="1">
      <alignment vertical="top" wrapText="1"/>
    </xf>
    <xf numFmtId="0" fontId="5" fillId="0" borderId="11" xfId="2"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5" fillId="0" borderId="21" xfId="2" applyFont="1" applyBorder="1" applyAlignment="1">
      <alignment horizontal="left" vertical="top" wrapText="1" indent="2"/>
    </xf>
    <xf numFmtId="0" fontId="5" fillId="0" borderId="6" xfId="2" applyFont="1" applyBorder="1" applyAlignment="1">
      <alignment horizontal="left" vertical="top" wrapText="1" indent="2"/>
    </xf>
    <xf numFmtId="0" fontId="8" fillId="0" borderId="13" xfId="2" applyFont="1" applyBorder="1" applyAlignment="1">
      <alignment vertical="top" wrapText="1"/>
    </xf>
    <xf numFmtId="0" fontId="5" fillId="0" borderId="34" xfId="2" applyFont="1" applyBorder="1" applyAlignment="1">
      <alignment horizontal="left" vertical="top" wrapText="1"/>
    </xf>
    <xf numFmtId="0" fontId="5" fillId="0" borderId="21" xfId="2" applyFont="1" applyBorder="1" applyAlignment="1">
      <alignment horizontal="left" vertical="top" wrapText="1"/>
    </xf>
    <xf numFmtId="0" fontId="5" fillId="0" borderId="6" xfId="2" applyFont="1" applyBorder="1" applyAlignment="1">
      <alignment horizontal="left" vertical="top" wrapText="1"/>
    </xf>
    <xf numFmtId="0" fontId="31" fillId="49" borderId="13" xfId="2" applyFont="1" applyFill="1" applyBorder="1" applyAlignment="1">
      <alignment vertical="top" wrapText="1"/>
    </xf>
    <xf numFmtId="0" fontId="31" fillId="49" borderId="28" xfId="2" applyFont="1" applyFill="1" applyBorder="1" applyAlignment="1">
      <alignment vertical="top" wrapText="1"/>
    </xf>
    <xf numFmtId="0" fontId="8" fillId="0" borderId="29" xfId="2" applyFont="1" applyBorder="1" applyAlignment="1">
      <alignment vertical="top" wrapText="1"/>
    </xf>
    <xf numFmtId="0" fontId="0" fillId="0" borderId="29" xfId="0" applyBorder="1" applyAlignment="1">
      <alignment vertical="top" wrapText="1"/>
    </xf>
    <xf numFmtId="0" fontId="0" fillId="0" borderId="14" xfId="0" applyBorder="1" applyAlignment="1">
      <alignment vertical="top" wrapText="1"/>
    </xf>
    <xf numFmtId="49" fontId="2" fillId="0" borderId="52" xfId="2" applyNumberFormat="1" applyFont="1" applyBorder="1" applyAlignment="1">
      <alignment vertical="top" wrapText="1"/>
    </xf>
    <xf numFmtId="0" fontId="0" fillId="0" borderId="80" xfId="0" applyBorder="1" applyAlignment="1">
      <alignment vertical="top" wrapText="1"/>
    </xf>
    <xf numFmtId="0" fontId="0" fillId="0" borderId="70" xfId="0" applyBorder="1" applyAlignment="1">
      <alignment vertical="top" wrapText="1"/>
    </xf>
    <xf numFmtId="0" fontId="0" fillId="49" borderId="13" xfId="0" applyFill="1" applyBorder="1" applyAlignment="1">
      <alignment vertical="top" wrapText="1"/>
    </xf>
    <xf numFmtId="0" fontId="0" fillId="49" borderId="28" xfId="0" applyFill="1" applyBorder="1" applyAlignment="1">
      <alignment vertical="top" wrapText="1"/>
    </xf>
    <xf numFmtId="0" fontId="10" fillId="0" borderId="47" xfId="0" applyFont="1" applyBorder="1" applyAlignment="1">
      <alignment vertical="top" wrapText="1"/>
    </xf>
    <xf numFmtId="0" fontId="10" fillId="0" borderId="67" xfId="0" applyFont="1" applyBorder="1" applyAlignment="1">
      <alignment vertical="top" wrapText="1"/>
    </xf>
    <xf numFmtId="0" fontId="8" fillId="0" borderId="25" xfId="2" applyFont="1" applyBorder="1" applyAlignment="1">
      <alignment horizontal="left" vertical="top" wrapText="1"/>
    </xf>
    <xf numFmtId="0" fontId="8" fillId="0" borderId="13" xfId="2" applyFont="1" applyBorder="1" applyAlignment="1">
      <alignment horizontal="left" vertical="top" wrapText="1"/>
    </xf>
    <xf numFmtId="0" fontId="8" fillId="0" borderId="28" xfId="2" applyFont="1" applyBorder="1" applyAlignment="1">
      <alignment horizontal="left" vertical="top" wrapText="1"/>
    </xf>
    <xf numFmtId="0" fontId="12" fillId="50" borderId="25" xfId="2" applyFont="1" applyFill="1" applyBorder="1" applyAlignment="1">
      <alignment horizontal="left" vertical="center" wrapText="1"/>
    </xf>
    <xf numFmtId="0" fontId="12" fillId="50" borderId="13" xfId="2" applyFont="1" applyFill="1" applyBorder="1" applyAlignment="1">
      <alignment horizontal="left" vertical="center" wrapText="1"/>
    </xf>
    <xf numFmtId="49" fontId="2" fillId="0" borderId="51" xfId="2" applyNumberFormat="1" applyFont="1" applyBorder="1" applyAlignment="1">
      <alignment horizontal="right" vertical="top" wrapText="1"/>
    </xf>
    <xf numFmtId="0" fontId="6" fillId="0" borderId="51"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5" fillId="0" borderId="40" xfId="2" applyFont="1"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5" fillId="0" borderId="55" xfId="2" applyFont="1" applyBorder="1" applyAlignment="1" applyProtection="1">
      <alignment horizontal="left" vertical="top" wrapText="1"/>
      <protection locked="0"/>
    </xf>
    <xf numFmtId="0" fontId="5" fillId="0" borderId="24" xfId="2" applyFont="1" applyBorder="1" applyAlignment="1" applyProtection="1">
      <alignment horizontal="left" vertical="top" wrapText="1"/>
      <protection locked="0"/>
    </xf>
    <xf numFmtId="0" fontId="57" fillId="0" borderId="47" xfId="0" applyFont="1" applyBorder="1" applyAlignment="1">
      <alignment horizontal="center" vertical="top" wrapText="1"/>
    </xf>
    <xf numFmtId="0" fontId="57" fillId="0" borderId="46" xfId="0" applyFont="1" applyBorder="1" applyAlignment="1">
      <alignment horizontal="center" vertical="top" wrapText="1"/>
    </xf>
    <xf numFmtId="0" fontId="57" fillId="0" borderId="21" xfId="0" applyFont="1" applyBorder="1" applyAlignment="1">
      <alignment horizontal="center" vertical="top" wrapText="1"/>
    </xf>
    <xf numFmtId="0" fontId="57" fillId="0" borderId="33" xfId="0" applyFont="1" applyBorder="1" applyAlignment="1">
      <alignment horizontal="center" vertical="top" wrapText="1"/>
    </xf>
    <xf numFmtId="0" fontId="57" fillId="0" borderId="41" xfId="0" applyFont="1" applyBorder="1" applyAlignment="1">
      <alignment horizontal="center" vertical="top" wrapText="1"/>
    </xf>
    <xf numFmtId="0" fontId="57" fillId="0" borderId="53" xfId="0" applyFont="1" applyBorder="1" applyAlignment="1">
      <alignment horizontal="center" vertical="top" wrapText="1"/>
    </xf>
    <xf numFmtId="0" fontId="5" fillId="0" borderId="25" xfId="0" applyFont="1" applyBorder="1" applyAlignment="1">
      <alignment horizontal="center" vertical="center" wrapText="1"/>
    </xf>
    <xf numFmtId="0" fontId="5" fillId="0" borderId="78" xfId="0" applyFont="1" applyBorder="1" applyAlignment="1">
      <alignment horizontal="center" vertical="center" wrapText="1"/>
    </xf>
    <xf numFmtId="0" fontId="68" fillId="47" borderId="0" xfId="0" applyFont="1" applyFill="1" applyAlignment="1">
      <alignment horizontal="center" vertical="center"/>
    </xf>
    <xf numFmtId="0" fontId="38" fillId="0" borderId="25"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28" xfId="0" applyFont="1" applyBorder="1" applyAlignment="1">
      <alignment horizontal="center" vertical="center" wrapText="1"/>
    </xf>
    <xf numFmtId="2" fontId="68" fillId="47" borderId="0" xfId="0" applyNumberFormat="1" applyFont="1" applyFill="1" applyAlignment="1">
      <alignment horizontal="center"/>
    </xf>
    <xf numFmtId="0" fontId="33" fillId="0" borderId="50" xfId="0" applyFont="1" applyBorder="1" applyAlignment="1">
      <alignment horizontal="left" vertical="top" wrapText="1"/>
    </xf>
    <xf numFmtId="0" fontId="33" fillId="0" borderId="0" xfId="0" applyFont="1" applyAlignment="1">
      <alignment horizontal="left" vertical="top" wrapText="1"/>
    </xf>
    <xf numFmtId="0" fontId="34" fillId="0" borderId="52" xfId="0" applyFont="1" applyBorder="1" applyAlignment="1">
      <alignment horizontal="left" vertical="center" wrapText="1"/>
    </xf>
    <xf numFmtId="0" fontId="34" fillId="0" borderId="13" xfId="0" applyFont="1" applyBorder="1" applyAlignment="1">
      <alignment horizontal="left" vertical="center" wrapText="1"/>
    </xf>
    <xf numFmtId="0" fontId="34" fillId="0" borderId="28" xfId="0" applyFont="1" applyBorder="1" applyAlignment="1">
      <alignment horizontal="left" vertical="center" wrapText="1"/>
    </xf>
    <xf numFmtId="0" fontId="68" fillId="47" borderId="0" xfId="0" applyFont="1" applyFill="1" applyAlignment="1">
      <alignment horizontal="center" wrapText="1"/>
    </xf>
    <xf numFmtId="0" fontId="37" fillId="0" borderId="1" xfId="0" applyFont="1" applyBorder="1" applyAlignment="1">
      <alignment horizontal="center" vertical="center" wrapText="1"/>
    </xf>
    <xf numFmtId="0" fontId="33" fillId="0" borderId="1" xfId="0" applyFont="1" applyBorder="1" applyAlignment="1">
      <alignment horizontal="left" vertical="center" wrapText="1"/>
    </xf>
    <xf numFmtId="2" fontId="58" fillId="0" borderId="39" xfId="0" applyNumberFormat="1" applyFont="1" applyBorder="1" applyAlignment="1">
      <alignment horizontal="left" vertical="center"/>
    </xf>
    <xf numFmtId="2" fontId="58" fillId="0" borderId="67" xfId="0" applyNumberFormat="1" applyFont="1" applyBorder="1" applyAlignment="1">
      <alignment horizontal="left" vertical="center"/>
    </xf>
    <xf numFmtId="2" fontId="58" fillId="0" borderId="34" xfId="0" applyNumberFormat="1" applyFont="1" applyBorder="1" applyAlignment="1">
      <alignment horizontal="left" vertical="center"/>
    </xf>
    <xf numFmtId="2" fontId="58" fillId="0" borderId="6" xfId="0" applyNumberFormat="1" applyFont="1" applyBorder="1" applyAlignment="1">
      <alignment horizontal="left" vertical="center"/>
    </xf>
    <xf numFmtId="2" fontId="58" fillId="0" borderId="36" xfId="0" applyNumberFormat="1" applyFont="1" applyBorder="1" applyAlignment="1">
      <alignment horizontal="left" vertical="center" wrapText="1"/>
    </xf>
    <xf numFmtId="2" fontId="58" fillId="0" borderId="74" xfId="0" applyNumberFormat="1" applyFont="1" applyBorder="1" applyAlignment="1">
      <alignment horizontal="left" vertical="center" wrapText="1"/>
    </xf>
    <xf numFmtId="0" fontId="5" fillId="28" borderId="40" xfId="0" applyFont="1" applyFill="1" applyBorder="1" applyAlignment="1">
      <alignment horizontal="left" vertical="top" wrapText="1"/>
    </xf>
    <xf numFmtId="0" fontId="5" fillId="28" borderId="55" xfId="0" applyFont="1" applyFill="1" applyBorder="1" applyAlignment="1">
      <alignment horizontal="left" vertical="top" wrapText="1"/>
    </xf>
    <xf numFmtId="0" fontId="5" fillId="28" borderId="24" xfId="0" applyFont="1" applyFill="1" applyBorder="1" applyAlignment="1">
      <alignment horizontal="left" vertical="top" wrapText="1"/>
    </xf>
    <xf numFmtId="0" fontId="5" fillId="26" borderId="22" xfId="0" applyFont="1" applyFill="1" applyBorder="1" applyAlignment="1">
      <alignment horizontal="left" vertical="top" wrapText="1"/>
    </xf>
    <xf numFmtId="0" fontId="5" fillId="5" borderId="4" xfId="0" applyFont="1" applyFill="1" applyBorder="1" applyAlignment="1" applyProtection="1">
      <alignment horizontal="left" vertical="center" wrapText="1"/>
      <protection hidden="1"/>
    </xf>
    <xf numFmtId="0" fontId="5" fillId="20" borderId="40" xfId="0" applyFont="1" applyFill="1" applyBorder="1" applyAlignment="1">
      <alignment horizontal="left" vertical="top" wrapText="1"/>
    </xf>
    <xf numFmtId="0" fontId="5" fillId="20" borderId="55" xfId="0" applyFont="1" applyFill="1" applyBorder="1" applyAlignment="1">
      <alignment horizontal="left" vertical="top" wrapText="1"/>
    </xf>
    <xf numFmtId="0" fontId="5" fillId="20" borderId="24" xfId="0" applyFont="1" applyFill="1" applyBorder="1" applyAlignment="1">
      <alignment horizontal="left" vertical="top" wrapText="1"/>
    </xf>
    <xf numFmtId="0" fontId="5" fillId="26" borderId="52" xfId="0" applyFont="1" applyFill="1" applyBorder="1" applyAlignment="1">
      <alignment horizontal="left" vertical="top" wrapText="1"/>
    </xf>
    <xf numFmtId="0" fontId="5" fillId="26" borderId="62" xfId="0" applyFont="1" applyFill="1" applyBorder="1" applyAlignment="1">
      <alignment horizontal="left" vertical="top" wrapText="1"/>
    </xf>
    <xf numFmtId="0" fontId="5" fillId="26" borderId="51" xfId="0" applyFont="1" applyFill="1" applyBorder="1" applyAlignment="1">
      <alignment horizontal="left" vertical="top" wrapText="1"/>
    </xf>
    <xf numFmtId="0" fontId="5" fillId="28" borderId="52" xfId="0" applyFont="1" applyFill="1" applyBorder="1" applyAlignment="1">
      <alignment horizontal="left" vertical="top" wrapText="1"/>
    </xf>
    <xf numFmtId="0" fontId="5" fillId="28" borderId="62" xfId="0" applyFont="1" applyFill="1" applyBorder="1" applyAlignment="1">
      <alignment horizontal="left" vertical="top" wrapText="1"/>
    </xf>
    <xf numFmtId="0" fontId="5" fillId="28" borderId="51" xfId="0" applyFont="1" applyFill="1" applyBorder="1" applyAlignment="1">
      <alignment horizontal="left" vertical="top" wrapText="1"/>
    </xf>
    <xf numFmtId="0" fontId="5" fillId="19" borderId="44" xfId="0" applyFont="1" applyFill="1" applyBorder="1" applyAlignment="1">
      <alignment horizontal="left" vertical="top" wrapText="1"/>
    </xf>
    <xf numFmtId="0" fontId="5" fillId="19" borderId="22" xfId="0" applyFont="1" applyFill="1" applyBorder="1" applyAlignment="1">
      <alignment horizontal="left" vertical="top" wrapText="1"/>
    </xf>
    <xf numFmtId="0" fontId="5" fillId="19" borderId="52" xfId="0" applyFont="1" applyFill="1" applyBorder="1" applyAlignment="1">
      <alignment horizontal="left" vertical="top" wrapText="1"/>
    </xf>
    <xf numFmtId="0" fontId="5" fillId="19" borderId="62" xfId="0" applyFont="1" applyFill="1" applyBorder="1" applyAlignment="1">
      <alignment horizontal="left" vertical="top" wrapText="1"/>
    </xf>
    <xf numFmtId="0" fontId="5" fillId="19" borderId="51" xfId="0" applyFont="1" applyFill="1" applyBorder="1" applyAlignment="1">
      <alignment horizontal="left" vertical="top" wrapText="1"/>
    </xf>
    <xf numFmtId="49" fontId="8" fillId="0" borderId="25" xfId="0" applyNumberFormat="1" applyFont="1" applyBorder="1" applyAlignment="1">
      <alignment horizontal="right" vertical="center" wrapText="1"/>
    </xf>
    <xf numFmtId="49" fontId="8" fillId="0" borderId="13" xfId="0" applyNumberFormat="1" applyFont="1" applyBorder="1" applyAlignment="1">
      <alignment horizontal="right" vertical="center" wrapText="1"/>
    </xf>
    <xf numFmtId="49" fontId="8" fillId="0" borderId="28" xfId="0" applyNumberFormat="1" applyFont="1" applyBorder="1" applyAlignment="1">
      <alignment horizontal="right" vertical="center" wrapText="1"/>
    </xf>
    <xf numFmtId="0" fontId="5" fillId="9" borderId="26" xfId="0" applyFont="1" applyFill="1" applyBorder="1" applyAlignment="1" applyProtection="1">
      <alignment horizontal="left" vertical="center" wrapText="1"/>
      <protection hidden="1"/>
    </xf>
    <xf numFmtId="0" fontId="5" fillId="0" borderId="7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1" xfId="0" applyFont="1" applyBorder="1" applyAlignment="1">
      <alignment horizontal="center" vertical="center" wrapText="1"/>
    </xf>
    <xf numFmtId="0" fontId="5" fillId="5" borderId="1" xfId="0" applyFont="1" applyFill="1" applyBorder="1" applyAlignment="1" applyProtection="1">
      <alignment horizontal="left" vertical="center" wrapText="1"/>
      <protection hidden="1"/>
    </xf>
    <xf numFmtId="0" fontId="5" fillId="5" borderId="3" xfId="0" applyFont="1" applyFill="1" applyBorder="1" applyAlignment="1" applyProtection="1">
      <alignment horizontal="left" vertical="center" wrapText="1"/>
      <protection hidden="1"/>
    </xf>
    <xf numFmtId="0" fontId="5" fillId="0" borderId="77" xfId="0" applyFont="1" applyBorder="1" applyAlignment="1">
      <alignment horizontal="left" vertical="top" wrapText="1"/>
    </xf>
    <xf numFmtId="0" fontId="5" fillId="9" borderId="19" xfId="0" applyFont="1" applyFill="1" applyBorder="1" applyAlignment="1" applyProtection="1">
      <alignment horizontal="left" vertical="center" wrapText="1"/>
      <protection hidden="1"/>
    </xf>
    <xf numFmtId="1" fontId="5" fillId="19" borderId="22" xfId="0" applyNumberFormat="1" applyFont="1" applyFill="1" applyBorder="1" applyAlignment="1">
      <alignment horizontal="left" vertical="top" wrapText="1"/>
    </xf>
    <xf numFmtId="0" fontId="5" fillId="19" borderId="40" xfId="0" applyFont="1" applyFill="1" applyBorder="1" applyAlignment="1">
      <alignment horizontal="left" vertical="top" wrapText="1"/>
    </xf>
    <xf numFmtId="0" fontId="5" fillId="19" borderId="55" xfId="0" applyFont="1" applyFill="1" applyBorder="1" applyAlignment="1">
      <alignment horizontal="left" vertical="top" wrapText="1"/>
    </xf>
    <xf numFmtId="0" fontId="5" fillId="0" borderId="51" xfId="0" applyFont="1" applyBorder="1" applyAlignment="1">
      <alignment horizontal="center" vertical="top" wrapText="1"/>
    </xf>
    <xf numFmtId="0" fontId="5" fillId="0" borderId="29" xfId="0" applyFont="1" applyBorder="1" applyAlignment="1">
      <alignment horizontal="center" vertical="top" wrapText="1"/>
    </xf>
    <xf numFmtId="0" fontId="5" fillId="19" borderId="24" xfId="0" applyFont="1" applyFill="1" applyBorder="1" applyAlignment="1">
      <alignment horizontal="left" vertical="top" wrapText="1"/>
    </xf>
    <xf numFmtId="0" fontId="29" fillId="25" borderId="25" xfId="0" applyFont="1" applyFill="1" applyBorder="1" applyAlignment="1">
      <alignment horizontal="center" vertical="top" wrapText="1"/>
    </xf>
    <xf numFmtId="0" fontId="29" fillId="25" borderId="28" xfId="0" applyFont="1" applyFill="1" applyBorder="1" applyAlignment="1">
      <alignment horizontal="center" vertical="top" wrapText="1"/>
    </xf>
    <xf numFmtId="0" fontId="5" fillId="20" borderId="52" xfId="0" applyFont="1" applyFill="1" applyBorder="1" applyAlignment="1">
      <alignment horizontal="left" vertical="top" wrapText="1"/>
    </xf>
    <xf numFmtId="0" fontId="5" fillId="20" borderId="62" xfId="0" applyFont="1" applyFill="1" applyBorder="1" applyAlignment="1">
      <alignment horizontal="left" vertical="top" wrapText="1"/>
    </xf>
    <xf numFmtId="0" fontId="5" fillId="20" borderId="51" xfId="0" applyFont="1" applyFill="1" applyBorder="1" applyAlignment="1">
      <alignment horizontal="left" vertical="top" wrapText="1"/>
    </xf>
    <xf numFmtId="0" fontId="5" fillId="17" borderId="15" xfId="0" applyFont="1" applyFill="1" applyBorder="1" applyAlignment="1">
      <alignment vertical="center" wrapText="1"/>
    </xf>
    <xf numFmtId="0" fontId="5" fillId="17" borderId="13" xfId="0" applyFont="1" applyFill="1" applyBorder="1" applyAlignment="1">
      <alignment vertical="center" wrapText="1"/>
    </xf>
    <xf numFmtId="0" fontId="5" fillId="17" borderId="28" xfId="0" applyFont="1" applyFill="1" applyBorder="1" applyAlignment="1">
      <alignment vertical="center" wrapText="1"/>
    </xf>
    <xf numFmtId="0" fontId="5" fillId="0" borderId="59" xfId="0" applyFont="1" applyBorder="1" applyAlignment="1">
      <alignment horizontal="center" vertical="center" wrapText="1"/>
    </xf>
    <xf numFmtId="0" fontId="0" fillId="0" borderId="56" xfId="0" applyBorder="1" applyAlignment="1">
      <alignment horizontal="center" vertical="top"/>
    </xf>
    <xf numFmtId="0" fontId="0" fillId="0" borderId="57" xfId="0" applyBorder="1" applyAlignment="1">
      <alignment horizontal="center" vertical="top"/>
    </xf>
    <xf numFmtId="1" fontId="5" fillId="19" borderId="71" xfId="0" applyNumberFormat="1" applyFont="1" applyFill="1" applyBorder="1" applyAlignment="1">
      <alignment horizontal="left" vertical="top" wrapText="1"/>
    </xf>
    <xf numFmtId="1" fontId="5" fillId="19" borderId="44" xfId="0" applyNumberFormat="1" applyFont="1" applyFill="1" applyBorder="1" applyAlignment="1">
      <alignment horizontal="left" vertical="top" wrapText="1"/>
    </xf>
    <xf numFmtId="1" fontId="5" fillId="19" borderId="65" xfId="0" applyNumberFormat="1" applyFont="1" applyFill="1" applyBorder="1" applyAlignment="1">
      <alignment horizontal="left" vertical="top" wrapText="1"/>
    </xf>
    <xf numFmtId="0" fontId="5" fillId="19" borderId="71" xfId="0" applyFont="1" applyFill="1" applyBorder="1" applyAlignment="1">
      <alignment horizontal="left" vertical="top" wrapText="1"/>
    </xf>
    <xf numFmtId="0" fontId="5" fillId="19" borderId="65" xfId="0" applyFont="1" applyFill="1" applyBorder="1" applyAlignment="1">
      <alignment horizontal="left" vertical="top" wrapText="1"/>
    </xf>
    <xf numFmtId="0" fontId="5" fillId="17" borderId="73" xfId="0" applyFont="1" applyFill="1" applyBorder="1" applyAlignment="1">
      <alignment horizontal="left" vertical="top" wrapText="1"/>
    </xf>
    <xf numFmtId="0" fontId="5" fillId="17" borderId="22" xfId="0" applyFont="1" applyFill="1" applyBorder="1" applyAlignment="1">
      <alignment horizontal="left" vertical="top" wrapText="1"/>
    </xf>
    <xf numFmtId="0" fontId="5" fillId="17" borderId="69" xfId="0" applyFont="1" applyFill="1" applyBorder="1" applyAlignment="1">
      <alignment horizontal="left" vertical="top" wrapText="1"/>
    </xf>
    <xf numFmtId="0" fontId="5" fillId="26" borderId="73" xfId="0" applyFont="1" applyFill="1" applyBorder="1" applyAlignment="1">
      <alignment horizontal="left" vertical="top" wrapText="1"/>
    </xf>
    <xf numFmtId="1" fontId="5" fillId="31" borderId="1" xfId="0" applyNumberFormat="1" applyFont="1" applyFill="1" applyBorder="1" applyAlignment="1">
      <alignment horizontal="left" vertical="center" wrapText="1"/>
    </xf>
    <xf numFmtId="1" fontId="5" fillId="31" borderId="19" xfId="0" applyNumberFormat="1" applyFont="1" applyFill="1" applyBorder="1" applyAlignment="1">
      <alignment horizontal="left" vertical="center" wrapText="1"/>
    </xf>
    <xf numFmtId="1" fontId="5" fillId="31" borderId="2" xfId="0" applyNumberFormat="1" applyFont="1" applyFill="1" applyBorder="1" applyAlignment="1">
      <alignment horizontal="left" vertical="center" wrapText="1"/>
    </xf>
    <xf numFmtId="1" fontId="5" fillId="31" borderId="21" xfId="0" applyNumberFormat="1" applyFont="1" applyFill="1" applyBorder="1" applyAlignment="1">
      <alignment horizontal="left" vertical="center" wrapText="1"/>
    </xf>
    <xf numFmtId="1" fontId="5" fillId="31" borderId="6" xfId="0" applyNumberFormat="1" applyFont="1" applyFill="1" applyBorder="1" applyAlignment="1">
      <alignment horizontal="left" vertical="center" wrapText="1"/>
    </xf>
    <xf numFmtId="0" fontId="5" fillId="14" borderId="22" xfId="0" applyFont="1" applyFill="1" applyBorder="1" applyAlignment="1">
      <alignment horizontal="left" vertical="top" wrapText="1"/>
    </xf>
    <xf numFmtId="0" fontId="20" fillId="14" borderId="22" xfId="0" applyFont="1" applyFill="1" applyBorder="1" applyAlignment="1">
      <alignment horizontal="left" vertical="top" wrapText="1"/>
    </xf>
    <xf numFmtId="0" fontId="20" fillId="14" borderId="10" xfId="0" applyFont="1" applyFill="1" applyBorder="1" applyAlignment="1">
      <alignment horizontal="left" vertical="top" wrapText="1"/>
    </xf>
    <xf numFmtId="0" fontId="5" fillId="14" borderId="9" xfId="0" applyFont="1" applyFill="1" applyBorder="1" applyAlignment="1">
      <alignment horizontal="left" vertical="top" wrapText="1"/>
    </xf>
    <xf numFmtId="0" fontId="20" fillId="0" borderId="55" xfId="0" applyFont="1" applyBorder="1" applyAlignment="1">
      <alignment horizontal="left" vertical="top" wrapText="1"/>
    </xf>
    <xf numFmtId="0" fontId="20" fillId="0" borderId="24" xfId="0" applyFont="1" applyBorder="1" applyAlignment="1">
      <alignment horizontal="left" vertical="top" wrapText="1"/>
    </xf>
    <xf numFmtId="1" fontId="20" fillId="0" borderId="55" xfId="0" applyNumberFormat="1" applyFont="1" applyBorder="1" applyAlignment="1">
      <alignment horizontal="left" vertical="top" wrapText="1"/>
    </xf>
    <xf numFmtId="1" fontId="20" fillId="0" borderId="24" xfId="0" applyNumberFormat="1" applyFont="1" applyBorder="1" applyAlignment="1">
      <alignment horizontal="left" vertical="top" wrapText="1"/>
    </xf>
    <xf numFmtId="1" fontId="5" fillId="19" borderId="40" xfId="0" applyNumberFormat="1" applyFont="1" applyFill="1" applyBorder="1" applyAlignment="1">
      <alignment horizontal="left" vertical="top" wrapText="1"/>
    </xf>
    <xf numFmtId="1" fontId="5" fillId="19" borderId="55" xfId="0" applyNumberFormat="1" applyFont="1" applyFill="1" applyBorder="1" applyAlignment="1">
      <alignment horizontal="left" vertical="top" wrapText="1"/>
    </xf>
    <xf numFmtId="1" fontId="5" fillId="19" borderId="24" xfId="0" applyNumberFormat="1" applyFont="1" applyFill="1" applyBorder="1" applyAlignment="1">
      <alignment horizontal="left" vertical="top" wrapText="1"/>
    </xf>
    <xf numFmtId="0" fontId="5" fillId="19" borderId="71" xfId="0" applyFont="1" applyFill="1" applyBorder="1" applyAlignment="1">
      <alignment vertical="top" wrapText="1"/>
    </xf>
    <xf numFmtId="0" fontId="5" fillId="19" borderId="44" xfId="0" applyFont="1" applyFill="1" applyBorder="1" applyAlignment="1">
      <alignment vertical="top" wrapText="1"/>
    </xf>
    <xf numFmtId="0" fontId="5" fillId="19" borderId="52" xfId="0" applyFont="1" applyFill="1" applyBorder="1" applyAlignment="1">
      <alignment vertical="top" wrapText="1"/>
    </xf>
    <xf numFmtId="0" fontId="5" fillId="19" borderId="62" xfId="0" applyFont="1" applyFill="1" applyBorder="1" applyAlignment="1">
      <alignment vertical="top" wrapText="1"/>
    </xf>
    <xf numFmtId="0" fontId="5" fillId="19" borderId="51" xfId="0" applyFont="1" applyFill="1" applyBorder="1" applyAlignment="1">
      <alignment vertical="top" wrapText="1"/>
    </xf>
    <xf numFmtId="1" fontId="5" fillId="19" borderId="52" xfId="0" applyNumberFormat="1" applyFont="1" applyFill="1" applyBorder="1" applyAlignment="1">
      <alignment horizontal="left" vertical="top" wrapText="1"/>
    </xf>
    <xf numFmtId="1" fontId="5" fillId="19" borderId="62" xfId="0" applyNumberFormat="1" applyFont="1" applyFill="1" applyBorder="1" applyAlignment="1">
      <alignment horizontal="left" vertical="top" wrapText="1"/>
    </xf>
    <xf numFmtId="1" fontId="5" fillId="19" borderId="51" xfId="0" applyNumberFormat="1" applyFont="1" applyFill="1" applyBorder="1" applyAlignment="1">
      <alignment horizontal="left" vertical="top" wrapText="1"/>
    </xf>
    <xf numFmtId="0" fontId="5" fillId="26" borderId="69" xfId="0" applyFont="1" applyFill="1" applyBorder="1" applyAlignment="1">
      <alignment horizontal="left" vertical="top" wrapText="1"/>
    </xf>
    <xf numFmtId="49" fontId="8" fillId="0" borderId="51" xfId="0" applyNumberFormat="1" applyFont="1" applyBorder="1" applyAlignment="1">
      <alignment horizontal="right" vertical="center" wrapText="1"/>
    </xf>
    <xf numFmtId="49" fontId="8" fillId="0" borderId="29" xfId="0" applyNumberFormat="1" applyFont="1" applyBorder="1" applyAlignment="1">
      <alignment horizontal="right" vertical="center" wrapText="1"/>
    </xf>
    <xf numFmtId="49" fontId="8" fillId="0" borderId="14" xfId="0" applyNumberFormat="1" applyFont="1" applyBorder="1" applyAlignment="1">
      <alignment horizontal="right" vertical="center" wrapText="1"/>
    </xf>
    <xf numFmtId="2" fontId="5" fillId="0" borderId="29" xfId="0" applyNumberFormat="1" applyFont="1" applyBorder="1" applyAlignment="1">
      <alignment horizontal="center" vertical="top" wrapText="1"/>
    </xf>
    <xf numFmtId="0" fontId="5" fillId="20" borderId="22" xfId="0" applyFont="1" applyFill="1" applyBorder="1" applyAlignment="1">
      <alignment horizontal="left" vertical="top" wrapText="1"/>
    </xf>
    <xf numFmtId="0" fontId="5" fillId="20" borderId="69" xfId="0" applyFont="1" applyFill="1" applyBorder="1" applyAlignment="1">
      <alignment horizontal="left" vertical="top" wrapText="1"/>
    </xf>
    <xf numFmtId="1" fontId="5" fillId="14" borderId="52" xfId="0" applyNumberFormat="1" applyFont="1" applyFill="1" applyBorder="1" applyAlignment="1">
      <alignment horizontal="left" vertical="top" wrapText="1"/>
    </xf>
    <xf numFmtId="1" fontId="20" fillId="14" borderId="62" xfId="0" applyNumberFormat="1" applyFont="1" applyFill="1" applyBorder="1" applyAlignment="1">
      <alignment horizontal="left" vertical="top" wrapText="1"/>
    </xf>
    <xf numFmtId="1" fontId="20" fillId="14" borderId="51" xfId="0" applyNumberFormat="1" applyFont="1" applyFill="1" applyBorder="1" applyAlignment="1">
      <alignment horizontal="left" vertical="top" wrapText="1"/>
    </xf>
    <xf numFmtId="0" fontId="5" fillId="20" borderId="73" xfId="0" applyFont="1" applyFill="1" applyBorder="1" applyAlignment="1">
      <alignment horizontal="left" vertical="top" wrapText="1"/>
    </xf>
    <xf numFmtId="0" fontId="5" fillId="14" borderId="71" xfId="0" applyFont="1" applyFill="1" applyBorder="1" applyAlignment="1">
      <alignment horizontal="left" vertical="top" wrapText="1"/>
    </xf>
    <xf numFmtId="0" fontId="5" fillId="14" borderId="44" xfId="0" applyFont="1" applyFill="1" applyBorder="1" applyAlignment="1">
      <alignment horizontal="left" vertical="top" wrapText="1"/>
    </xf>
    <xf numFmtId="0" fontId="5" fillId="14" borderId="65" xfId="0" applyFont="1" applyFill="1" applyBorder="1" applyAlignment="1">
      <alignment horizontal="left" vertical="top" wrapText="1"/>
    </xf>
    <xf numFmtId="1" fontId="5" fillId="43" borderId="55" xfId="0" applyNumberFormat="1" applyFont="1" applyFill="1" applyBorder="1" applyAlignment="1">
      <alignment horizontal="left" vertical="top" wrapText="1"/>
    </xf>
    <xf numFmtId="0" fontId="33" fillId="0" borderId="60" xfId="0" applyFont="1" applyBorder="1" applyAlignment="1">
      <alignment horizontal="left" vertical="top" wrapText="1"/>
    </xf>
    <xf numFmtId="0" fontId="10" fillId="0" borderId="44" xfId="0" applyFont="1" applyBorder="1" applyAlignment="1">
      <alignment horizontal="left" vertical="top" wrapText="1"/>
    </xf>
    <xf numFmtId="0" fontId="10" fillId="0" borderId="65" xfId="0" applyFont="1" applyBorder="1" applyAlignment="1">
      <alignment horizontal="left" vertical="top" wrapText="1"/>
    </xf>
    <xf numFmtId="0" fontId="5" fillId="14" borderId="69" xfId="0" applyFont="1" applyFill="1" applyBorder="1" applyAlignment="1">
      <alignment horizontal="left" vertical="top" wrapText="1"/>
    </xf>
    <xf numFmtId="0" fontId="5" fillId="14" borderId="39" xfId="0" applyFont="1" applyFill="1" applyBorder="1" applyAlignment="1">
      <alignment vertical="top" wrapText="1"/>
    </xf>
    <xf numFmtId="0" fontId="5" fillId="14" borderId="34" xfId="0" applyFont="1" applyFill="1" applyBorder="1" applyAlignment="1">
      <alignment vertical="top" wrapText="1"/>
    </xf>
    <xf numFmtId="0" fontId="5" fillId="14" borderId="36" xfId="0" applyFont="1" applyFill="1" applyBorder="1" applyAlignment="1">
      <alignment vertical="top" wrapText="1"/>
    </xf>
    <xf numFmtId="49" fontId="5" fillId="19" borderId="52" xfId="0" applyNumberFormat="1" applyFont="1" applyFill="1" applyBorder="1" applyAlignment="1">
      <alignment horizontal="left" vertical="top" wrapText="1"/>
    </xf>
    <xf numFmtId="0" fontId="5" fillId="31" borderId="19" xfId="0" applyFont="1" applyFill="1" applyBorder="1" applyAlignment="1">
      <alignment horizontal="left" vertical="center" wrapText="1"/>
    </xf>
    <xf numFmtId="0" fontId="0" fillId="0" borderId="55" xfId="0" applyBorder="1">
      <alignment vertical="top"/>
    </xf>
    <xf numFmtId="0" fontId="0" fillId="0" borderId="24" xfId="0" applyBorder="1">
      <alignment vertical="top"/>
    </xf>
    <xf numFmtId="0" fontId="5" fillId="0" borderId="76" xfId="0" applyFont="1" applyBorder="1" applyAlignment="1">
      <alignment vertical="top" wrapText="1"/>
    </xf>
    <xf numFmtId="0" fontId="5" fillId="0" borderId="77" xfId="0" applyFont="1" applyBorder="1" applyAlignment="1">
      <alignment vertical="top" wrapText="1"/>
    </xf>
    <xf numFmtId="0" fontId="0" fillId="0" borderId="56" xfId="0" applyBorder="1" applyAlignment="1">
      <alignment vertical="center"/>
    </xf>
    <xf numFmtId="0" fontId="0" fillId="0" borderId="57" xfId="0" applyBorder="1" applyAlignment="1">
      <alignment vertical="center"/>
    </xf>
    <xf numFmtId="0" fontId="5" fillId="31" borderId="3" xfId="0" applyFont="1" applyFill="1" applyBorder="1" applyAlignment="1">
      <alignment horizontal="left" vertical="center" wrapText="1"/>
    </xf>
    <xf numFmtId="0" fontId="5" fillId="31"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17" borderId="72" xfId="0" applyFont="1" applyFill="1" applyBorder="1" applyAlignment="1">
      <alignment horizontal="left" vertical="center" wrapText="1"/>
    </xf>
    <xf numFmtId="0" fontId="5" fillId="17" borderId="41" xfId="0" applyFont="1" applyFill="1" applyBorder="1" applyAlignment="1">
      <alignment horizontal="left" vertical="center" wrapText="1"/>
    </xf>
    <xf numFmtId="0" fontId="5" fillId="17" borderId="74" xfId="0" applyFont="1" applyFill="1" applyBorder="1" applyAlignment="1">
      <alignment horizontal="left" vertical="center" wrapText="1"/>
    </xf>
    <xf numFmtId="0" fontId="5" fillId="14" borderId="10" xfId="0" applyFont="1" applyFill="1" applyBorder="1" applyAlignment="1">
      <alignment vertical="top" wrapText="1"/>
    </xf>
    <xf numFmtId="0" fontId="5" fillId="14" borderId="2" xfId="0" applyFont="1" applyFill="1" applyBorder="1" applyAlignment="1">
      <alignment vertical="top" wrapText="1"/>
    </xf>
    <xf numFmtId="0" fontId="5" fillId="14" borderId="9" xfId="0" applyFont="1" applyFill="1" applyBorder="1" applyAlignment="1">
      <alignment vertical="top" wrapText="1"/>
    </xf>
    <xf numFmtId="0" fontId="5" fillId="28" borderId="22" xfId="0" applyFont="1" applyFill="1" applyBorder="1" applyAlignment="1">
      <alignment horizontal="left" vertical="top" wrapText="1"/>
    </xf>
    <xf numFmtId="1" fontId="5" fillId="0" borderId="29" xfId="0" applyNumberFormat="1" applyFont="1" applyBorder="1" applyAlignment="1">
      <alignment horizontal="center" vertical="top" wrapText="1"/>
    </xf>
    <xf numFmtId="0" fontId="5" fillId="0" borderId="60" xfId="0" applyFont="1" applyBorder="1" applyAlignment="1">
      <alignment horizontal="left" vertical="top" wrapText="1"/>
    </xf>
    <xf numFmtId="0" fontId="5" fillId="0" borderId="61" xfId="0" applyFont="1" applyBorder="1" applyAlignment="1">
      <alignment horizontal="left" vertical="top" wrapText="1"/>
    </xf>
    <xf numFmtId="0" fontId="5" fillId="0" borderId="14" xfId="0" applyFont="1" applyBorder="1" applyAlignment="1">
      <alignment horizontal="left" vertical="top" wrapText="1"/>
    </xf>
    <xf numFmtId="0" fontId="5" fillId="0" borderId="60" xfId="0" applyFont="1" applyBorder="1" applyAlignment="1">
      <alignment vertical="top" wrapText="1"/>
    </xf>
    <xf numFmtId="0" fontId="0" fillId="0" borderId="61" xfId="0" applyBorder="1">
      <alignment vertical="top"/>
    </xf>
    <xf numFmtId="0" fontId="5" fillId="43" borderId="52" xfId="0" applyFont="1" applyFill="1" applyBorder="1" applyAlignment="1">
      <alignment horizontal="left" vertical="top" wrapText="1"/>
    </xf>
    <xf numFmtId="0" fontId="5" fillId="43" borderId="62" xfId="0" applyFont="1" applyFill="1" applyBorder="1" applyAlignment="1">
      <alignment horizontal="left" vertical="top" wrapText="1"/>
    </xf>
    <xf numFmtId="0" fontId="5" fillId="43" borderId="51" xfId="0" applyFont="1" applyFill="1" applyBorder="1" applyAlignment="1">
      <alignment horizontal="left" vertical="top" wrapText="1"/>
    </xf>
    <xf numFmtId="0" fontId="5" fillId="26" borderId="10" xfId="0" applyFont="1" applyFill="1" applyBorder="1" applyAlignment="1">
      <alignment horizontal="left" vertical="top" wrapText="1"/>
    </xf>
    <xf numFmtId="0" fontId="5" fillId="26" borderId="2" xfId="0" applyFont="1" applyFill="1" applyBorder="1" applyAlignment="1">
      <alignment horizontal="left" vertical="top" wrapText="1"/>
    </xf>
    <xf numFmtId="0" fontId="5" fillId="26" borderId="9" xfId="0" applyFont="1" applyFill="1" applyBorder="1" applyAlignment="1">
      <alignment horizontal="left" vertical="top" wrapText="1"/>
    </xf>
    <xf numFmtId="0" fontId="5" fillId="14" borderId="40" xfId="0" applyFont="1" applyFill="1" applyBorder="1" applyAlignment="1">
      <alignment horizontal="left" vertical="top" wrapText="1"/>
    </xf>
    <xf numFmtId="0" fontId="5" fillId="14" borderId="55" xfId="0" applyFont="1" applyFill="1" applyBorder="1" applyAlignment="1">
      <alignment horizontal="left" vertical="top" wrapText="1"/>
    </xf>
    <xf numFmtId="0" fontId="5" fillId="14" borderId="24" xfId="0" applyFont="1" applyFill="1" applyBorder="1" applyAlignment="1">
      <alignment horizontal="left" vertical="top" wrapText="1"/>
    </xf>
    <xf numFmtId="0" fontId="5" fillId="14" borderId="35" xfId="0" applyFont="1" applyFill="1" applyBorder="1" applyAlignment="1">
      <alignment vertical="top" wrapText="1"/>
    </xf>
    <xf numFmtId="0" fontId="5" fillId="14" borderId="68" xfId="0" applyFont="1" applyFill="1" applyBorder="1" applyAlignment="1">
      <alignment vertical="top" wrapText="1"/>
    </xf>
    <xf numFmtId="0" fontId="5" fillId="19" borderId="60" xfId="0" applyFont="1" applyFill="1" applyBorder="1" applyAlignment="1">
      <alignment horizontal="left" vertical="top" wrapText="1"/>
    </xf>
    <xf numFmtId="0" fontId="5" fillId="19" borderId="61" xfId="0" applyFont="1" applyFill="1" applyBorder="1" applyAlignment="1">
      <alignment horizontal="left" vertical="top" wrapText="1"/>
    </xf>
    <xf numFmtId="0" fontId="5" fillId="19" borderId="14" xfId="0" applyFont="1" applyFill="1" applyBorder="1" applyAlignment="1">
      <alignment horizontal="left" vertical="top" wrapText="1"/>
    </xf>
    <xf numFmtId="49" fontId="5" fillId="19" borderId="40" xfId="0" applyNumberFormat="1" applyFont="1" applyFill="1" applyBorder="1" applyAlignment="1">
      <alignment horizontal="left" vertical="top" wrapText="1"/>
    </xf>
    <xf numFmtId="49" fontId="5" fillId="19" borderId="55" xfId="0" applyNumberFormat="1" applyFont="1" applyFill="1" applyBorder="1" applyAlignment="1">
      <alignment horizontal="left" vertical="top" wrapText="1"/>
    </xf>
    <xf numFmtId="49" fontId="5" fillId="19" borderId="24" xfId="0" applyNumberFormat="1" applyFont="1" applyFill="1" applyBorder="1" applyAlignment="1">
      <alignment horizontal="left" vertical="top" wrapText="1"/>
    </xf>
    <xf numFmtId="0" fontId="0" fillId="26" borderId="62" xfId="0" applyFill="1" applyBorder="1">
      <alignment vertical="top"/>
    </xf>
    <xf numFmtId="0" fontId="5" fillId="20" borderId="62" xfId="0" applyFont="1" applyFill="1" applyBorder="1" applyAlignment="1">
      <alignment vertical="top" wrapText="1"/>
    </xf>
    <xf numFmtId="0" fontId="0" fillId="0" borderId="1" xfId="0" applyBorder="1" applyAlignment="1">
      <alignment horizontal="left" vertical="center" wrapText="1"/>
    </xf>
    <xf numFmtId="0" fontId="5" fillId="17" borderId="3" xfId="0" applyFont="1" applyFill="1" applyBorder="1" applyAlignment="1">
      <alignment horizontal="left" vertical="center" wrapText="1"/>
    </xf>
    <xf numFmtId="0" fontId="0" fillId="0" borderId="56" xfId="0" applyBorder="1" applyAlignment="1">
      <alignment horizontal="center" vertical="center"/>
    </xf>
    <xf numFmtId="0" fontId="0" fillId="0" borderId="62" xfId="0" applyBorder="1" applyAlignment="1">
      <alignment horizontal="center" vertical="center"/>
    </xf>
    <xf numFmtId="0" fontId="0" fillId="0" borderId="19" xfId="0" applyBorder="1" applyAlignment="1">
      <alignment horizontal="left" vertical="center" wrapText="1"/>
    </xf>
    <xf numFmtId="0" fontId="5" fillId="0" borderId="33" xfId="0" applyFont="1" applyBorder="1" applyAlignment="1">
      <alignment horizontal="left" vertical="top" wrapText="1"/>
    </xf>
    <xf numFmtId="0" fontId="5" fillId="17" borderId="40" xfId="0" applyFont="1" applyFill="1" applyBorder="1" applyAlignment="1">
      <alignment horizontal="left" vertical="top" wrapText="1"/>
    </xf>
    <xf numFmtId="0" fontId="5" fillId="17" borderId="55" xfId="0" applyFont="1" applyFill="1" applyBorder="1" applyAlignment="1">
      <alignment horizontal="left" vertical="top" wrapText="1"/>
    </xf>
    <xf numFmtId="0" fontId="5" fillId="17" borderId="24" xfId="0" applyFont="1" applyFill="1" applyBorder="1" applyAlignment="1">
      <alignment horizontal="left" vertical="top" wrapText="1"/>
    </xf>
    <xf numFmtId="1" fontId="5" fillId="0" borderId="51" xfId="0" applyNumberFormat="1" applyFont="1" applyBorder="1" applyAlignment="1">
      <alignment horizontal="center" vertical="top" wrapText="1"/>
    </xf>
    <xf numFmtId="1" fontId="5" fillId="28" borderId="52" xfId="0" applyNumberFormat="1" applyFont="1" applyFill="1" applyBorder="1" applyAlignment="1">
      <alignment horizontal="left" vertical="top" wrapText="1"/>
    </xf>
    <xf numFmtId="1" fontId="5" fillId="28" borderId="62" xfId="0" applyNumberFormat="1" applyFont="1" applyFill="1" applyBorder="1" applyAlignment="1">
      <alignment horizontal="left" vertical="top" wrapText="1"/>
    </xf>
    <xf numFmtId="2" fontId="5" fillId="0" borderId="55" xfId="0" applyNumberFormat="1" applyFont="1" applyBorder="1" applyAlignment="1">
      <alignment horizontal="left" vertical="top" wrapText="1"/>
    </xf>
    <xf numFmtId="1" fontId="5" fillId="5" borderId="19" xfId="0" applyNumberFormat="1" applyFont="1" applyFill="1" applyBorder="1" applyAlignment="1">
      <alignment horizontal="left" vertical="center"/>
    </xf>
    <xf numFmtId="0" fontId="0" fillId="0" borderId="19" xfId="0" applyBorder="1" applyAlignment="1">
      <alignment horizontal="left" vertical="center"/>
    </xf>
    <xf numFmtId="1" fontId="5" fillId="5" borderId="1" xfId="0" applyNumberFormat="1" applyFont="1" applyFill="1" applyBorder="1" applyAlignment="1">
      <alignment horizontal="left" vertical="center"/>
    </xf>
    <xf numFmtId="0" fontId="0" fillId="0" borderId="1" xfId="0" applyBorder="1" applyAlignment="1">
      <alignment horizontal="left" vertical="center"/>
    </xf>
    <xf numFmtId="0" fontId="5" fillId="0" borderId="59" xfId="0" applyFont="1" applyBorder="1" applyAlignment="1">
      <alignment horizontal="center" vertical="center"/>
    </xf>
    <xf numFmtId="0" fontId="5" fillId="0" borderId="56" xfId="0" applyFont="1" applyBorder="1" applyAlignment="1">
      <alignment horizontal="center" vertical="center"/>
    </xf>
    <xf numFmtId="0" fontId="5" fillId="0" borderId="51" xfId="0" applyFont="1" applyBorder="1" applyAlignment="1">
      <alignment horizontal="center" vertical="center"/>
    </xf>
    <xf numFmtId="1" fontId="5" fillId="5" borderId="3" xfId="0" applyNumberFormat="1" applyFont="1" applyFill="1" applyBorder="1" applyAlignment="1">
      <alignment horizontal="left" vertical="center"/>
    </xf>
    <xf numFmtId="0" fontId="0" fillId="0" borderId="41" xfId="0" applyBorder="1">
      <alignment vertical="top"/>
    </xf>
    <xf numFmtId="0" fontId="0" fillId="0" borderId="74" xfId="0" applyBorder="1">
      <alignment vertical="top"/>
    </xf>
    <xf numFmtId="1" fontId="5" fillId="0" borderId="51" xfId="0" applyNumberFormat="1" applyFont="1" applyBorder="1" applyAlignment="1">
      <alignment horizontal="center" vertical="top"/>
    </xf>
    <xf numFmtId="1" fontId="5" fillId="0" borderId="29" xfId="0" applyNumberFormat="1" applyFont="1" applyBorder="1" applyAlignment="1">
      <alignment horizontal="center" vertical="top"/>
    </xf>
    <xf numFmtId="0" fontId="0" fillId="19" borderId="62" xfId="0" applyFill="1" applyBorder="1" applyAlignment="1">
      <alignment horizontal="left" vertical="top" wrapText="1"/>
    </xf>
    <xf numFmtId="0" fontId="0" fillId="19" borderId="51" xfId="0" applyFill="1" applyBorder="1" applyAlignment="1">
      <alignment horizontal="left" vertical="top"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29" fillId="25" borderId="72" xfId="0" applyFont="1" applyFill="1" applyBorder="1" applyAlignment="1">
      <alignment horizontal="center" vertical="top" wrapText="1"/>
    </xf>
    <xf numFmtId="0" fontId="29" fillId="25" borderId="53" xfId="0" applyFont="1" applyFill="1" applyBorder="1" applyAlignment="1">
      <alignment horizontal="center" vertical="top" wrapText="1"/>
    </xf>
    <xf numFmtId="1" fontId="5" fillId="14" borderId="60" xfId="0" applyNumberFormat="1" applyFont="1" applyFill="1" applyBorder="1" applyAlignment="1">
      <alignment horizontal="left" vertical="top" wrapText="1"/>
    </xf>
    <xf numFmtId="1" fontId="5" fillId="14" borderId="61" xfId="0" applyNumberFormat="1" applyFont="1" applyFill="1" applyBorder="1" applyAlignment="1">
      <alignment horizontal="left" vertical="top" wrapText="1"/>
    </xf>
    <xf numFmtId="1" fontId="5" fillId="14" borderId="14" xfId="0" applyNumberFormat="1" applyFont="1" applyFill="1" applyBorder="1" applyAlignment="1">
      <alignment horizontal="left" vertical="top" wrapText="1"/>
    </xf>
    <xf numFmtId="1" fontId="5" fillId="14" borderId="40" xfId="0" applyNumberFormat="1" applyFont="1" applyFill="1" applyBorder="1" applyAlignment="1">
      <alignment horizontal="left" vertical="top" wrapText="1"/>
    </xf>
    <xf numFmtId="1" fontId="5" fillId="14" borderId="55" xfId="0" applyNumberFormat="1" applyFont="1" applyFill="1" applyBorder="1" applyAlignment="1">
      <alignment horizontal="left" vertical="top" wrapText="1"/>
    </xf>
    <xf numFmtId="1" fontId="5" fillId="14" borderId="24" xfId="0" applyNumberFormat="1" applyFont="1" applyFill="1" applyBorder="1" applyAlignment="1">
      <alignment horizontal="left" vertical="top" wrapText="1"/>
    </xf>
    <xf numFmtId="0" fontId="5" fillId="14" borderId="60" xfId="0" applyFont="1" applyFill="1" applyBorder="1" applyAlignment="1">
      <alignment horizontal="left" vertical="top" wrapText="1"/>
    </xf>
    <xf numFmtId="0" fontId="5" fillId="14" borderId="61" xfId="0" applyFont="1" applyFill="1" applyBorder="1" applyAlignment="1">
      <alignment horizontal="left" vertical="top" wrapText="1"/>
    </xf>
    <xf numFmtId="0" fontId="5" fillId="14" borderId="14" xfId="0" applyFont="1" applyFill="1" applyBorder="1" applyAlignment="1">
      <alignment horizontal="left" vertical="top" wrapText="1"/>
    </xf>
    <xf numFmtId="1" fontId="5" fillId="0" borderId="52" xfId="0" applyNumberFormat="1" applyFont="1" applyBorder="1" applyAlignment="1">
      <alignment horizontal="left" vertical="top" wrapText="1"/>
    </xf>
    <xf numFmtId="1" fontId="5" fillId="0" borderId="62" xfId="0" applyNumberFormat="1" applyFont="1" applyBorder="1" applyAlignment="1">
      <alignment horizontal="left" vertical="top" wrapText="1"/>
    </xf>
    <xf numFmtId="1" fontId="5" fillId="0" borderId="51" xfId="0" applyNumberFormat="1" applyFont="1" applyBorder="1" applyAlignment="1">
      <alignment horizontal="left" vertical="top" wrapText="1"/>
    </xf>
    <xf numFmtId="0" fontId="5" fillId="26" borderId="52" xfId="0" applyFont="1" applyFill="1" applyBorder="1" applyAlignment="1">
      <alignment vertical="top" wrapText="1"/>
    </xf>
    <xf numFmtId="0" fontId="5" fillId="26" borderId="62" xfId="0" applyFont="1" applyFill="1" applyBorder="1" applyAlignment="1">
      <alignment vertical="top" wrapText="1"/>
    </xf>
    <xf numFmtId="0" fontId="5" fillId="26" borderId="51" xfId="0" applyFont="1" applyFill="1" applyBorder="1" applyAlignment="1">
      <alignment vertical="top" wrapText="1"/>
    </xf>
    <xf numFmtId="44" fontId="5" fillId="26" borderId="62" xfId="1" applyFont="1" applyFill="1" applyBorder="1" applyAlignment="1" applyProtection="1">
      <alignment vertical="top" wrapText="1"/>
    </xf>
    <xf numFmtId="1" fontId="5" fillId="19" borderId="62" xfId="0" applyNumberFormat="1" applyFont="1" applyFill="1" applyBorder="1" applyAlignment="1">
      <alignment vertical="top" wrapText="1"/>
    </xf>
    <xf numFmtId="0" fontId="0" fillId="19" borderId="62" xfId="0" applyFill="1" applyBorder="1" applyAlignment="1">
      <alignment vertical="top" wrapText="1"/>
    </xf>
    <xf numFmtId="0" fontId="0" fillId="19" borderId="51" xfId="0" applyFill="1" applyBorder="1" applyAlignment="1">
      <alignment vertical="top" wrapText="1"/>
    </xf>
    <xf numFmtId="0" fontId="10" fillId="0" borderId="55" xfId="0" applyFont="1" applyBorder="1" applyAlignment="1">
      <alignment vertical="top" wrapText="1"/>
    </xf>
    <xf numFmtId="44" fontId="5" fillId="0" borderId="55" xfId="1" applyFont="1" applyFill="1" applyBorder="1" applyAlignment="1" applyProtection="1">
      <alignment vertical="top" wrapText="1"/>
    </xf>
    <xf numFmtId="0" fontId="0" fillId="0" borderId="55" xfId="0" applyBorder="1" applyAlignment="1">
      <alignment vertical="top" wrapText="1"/>
    </xf>
    <xf numFmtId="0" fontId="0" fillId="0" borderId="24" xfId="0" applyBorder="1" applyAlignment="1">
      <alignment vertical="top" wrapText="1"/>
    </xf>
    <xf numFmtId="0" fontId="5" fillId="28" borderId="52" xfId="0" applyFont="1" applyFill="1" applyBorder="1" applyAlignment="1">
      <alignment vertical="top" wrapText="1"/>
    </xf>
    <xf numFmtId="0" fontId="5" fillId="28" borderId="62" xfId="0" applyFont="1" applyFill="1" applyBorder="1" applyAlignment="1">
      <alignment vertical="top" wrapText="1"/>
    </xf>
    <xf numFmtId="0" fontId="5" fillId="28" borderId="51" xfId="0" applyFont="1" applyFill="1" applyBorder="1" applyAlignment="1">
      <alignment vertical="top" wrapText="1"/>
    </xf>
    <xf numFmtId="1" fontId="4" fillId="0" borderId="51" xfId="0" applyNumberFormat="1" applyFont="1" applyBorder="1" applyAlignment="1">
      <alignment horizontal="center" vertical="top"/>
    </xf>
    <xf numFmtId="1" fontId="4" fillId="0" borderId="29" xfId="0" applyNumberFormat="1" applyFont="1" applyBorder="1" applyAlignment="1">
      <alignment horizontal="center" vertical="top"/>
    </xf>
    <xf numFmtId="1" fontId="5" fillId="14" borderId="15" xfId="0" applyNumberFormat="1" applyFont="1" applyFill="1" applyBorder="1" applyAlignment="1">
      <alignment horizontal="left" vertical="center" wrapText="1"/>
    </xf>
    <xf numFmtId="1" fontId="5" fillId="14" borderId="13" xfId="0" applyNumberFormat="1" applyFont="1" applyFill="1" applyBorder="1" applyAlignment="1">
      <alignment horizontal="left" vertical="center" wrapText="1"/>
    </xf>
    <xf numFmtId="1" fontId="5" fillId="14" borderId="78" xfId="0" applyNumberFormat="1" applyFont="1" applyFill="1" applyBorder="1" applyAlignment="1">
      <alignment horizontal="left" vertical="center" wrapText="1"/>
    </xf>
    <xf numFmtId="0" fontId="6" fillId="0" borderId="59" xfId="0" applyFont="1" applyBorder="1" applyAlignment="1">
      <alignment horizontal="center" vertical="center" wrapText="1"/>
    </xf>
    <xf numFmtId="0" fontId="6" fillId="0" borderId="56" xfId="0" applyFont="1" applyBorder="1" applyAlignment="1">
      <alignment horizontal="center" vertical="center" wrapText="1"/>
    </xf>
    <xf numFmtId="1" fontId="5" fillId="31" borderId="26" xfId="0" applyNumberFormat="1" applyFont="1" applyFill="1" applyBorder="1" applyAlignment="1">
      <alignment horizontal="left" vertical="center" wrapText="1"/>
    </xf>
    <xf numFmtId="2" fontId="5" fillId="0" borderId="55" xfId="0" applyNumberFormat="1" applyFont="1" applyBorder="1" applyAlignment="1">
      <alignment vertical="top" wrapText="1"/>
    </xf>
    <xf numFmtId="2" fontId="5" fillId="19" borderId="62" xfId="0" applyNumberFormat="1" applyFont="1" applyFill="1" applyBorder="1" applyAlignment="1">
      <alignment vertical="top" wrapText="1"/>
    </xf>
    <xf numFmtId="2" fontId="5" fillId="0" borderId="40" xfId="0" applyNumberFormat="1" applyFont="1" applyBorder="1" applyAlignment="1">
      <alignment vertical="top" wrapText="1"/>
    </xf>
    <xf numFmtId="2" fontId="5" fillId="0" borderId="24" xfId="0" applyNumberFormat="1" applyFont="1" applyBorder="1" applyAlignment="1">
      <alignment vertical="top" wrapText="1"/>
    </xf>
    <xf numFmtId="1" fontId="5" fillId="28" borderId="52" xfId="0" applyNumberFormat="1" applyFont="1" applyFill="1" applyBorder="1" applyAlignment="1">
      <alignment vertical="top" wrapText="1"/>
    </xf>
    <xf numFmtId="1" fontId="5" fillId="28" borderId="62" xfId="0" applyNumberFormat="1" applyFont="1" applyFill="1" applyBorder="1" applyAlignment="1">
      <alignment vertical="top" wrapText="1"/>
    </xf>
    <xf numFmtId="1" fontId="5" fillId="28" borderId="51" xfId="0" applyNumberFormat="1" applyFont="1" applyFill="1" applyBorder="1" applyAlignment="1">
      <alignment vertical="top" wrapText="1"/>
    </xf>
    <xf numFmtId="1" fontId="5" fillId="19" borderId="52" xfId="0" applyNumberFormat="1" applyFont="1" applyFill="1" applyBorder="1" applyAlignment="1">
      <alignment vertical="top" wrapText="1"/>
    </xf>
    <xf numFmtId="1" fontId="5" fillId="19" borderId="51" xfId="0" applyNumberFormat="1" applyFont="1" applyFill="1" applyBorder="1" applyAlignment="1">
      <alignment vertical="top" wrapText="1"/>
    </xf>
    <xf numFmtId="0" fontId="5" fillId="20" borderId="52" xfId="0" applyFont="1" applyFill="1" applyBorder="1" applyAlignment="1">
      <alignment vertical="top" wrapText="1"/>
    </xf>
    <xf numFmtId="0" fontId="5" fillId="20" borderId="51" xfId="0" applyFont="1" applyFill="1" applyBorder="1" applyAlignment="1">
      <alignment vertical="top" wrapText="1"/>
    </xf>
    <xf numFmtId="2" fontId="5" fillId="19" borderId="52" xfId="0" applyNumberFormat="1" applyFont="1" applyFill="1" applyBorder="1" applyAlignment="1">
      <alignment vertical="top" wrapText="1"/>
    </xf>
    <xf numFmtId="2" fontId="5" fillId="19" borderId="51" xfId="0" applyNumberFormat="1" applyFont="1" applyFill="1" applyBorder="1" applyAlignment="1">
      <alignment vertical="top" wrapText="1"/>
    </xf>
    <xf numFmtId="0" fontId="5" fillId="18" borderId="3" xfId="0" applyFont="1" applyFill="1" applyBorder="1" applyAlignment="1">
      <alignment horizontal="left" vertical="center"/>
    </xf>
    <xf numFmtId="0" fontId="5" fillId="18" borderId="1" xfId="0" applyFont="1" applyFill="1" applyBorder="1" applyAlignment="1">
      <alignment horizontal="left" vertical="center"/>
    </xf>
    <xf numFmtId="2" fontId="5" fillId="0" borderId="40" xfId="0" applyNumberFormat="1" applyFont="1" applyBorder="1" applyAlignment="1">
      <alignment horizontal="left" vertical="top" wrapText="1"/>
    </xf>
    <xf numFmtId="2" fontId="5" fillId="0" borderId="24" xfId="0" applyNumberFormat="1" applyFont="1" applyBorder="1" applyAlignment="1">
      <alignment horizontal="left" vertical="top" wrapText="1"/>
    </xf>
    <xf numFmtId="2" fontId="5" fillId="19" borderId="35" xfId="0" applyNumberFormat="1" applyFont="1" applyFill="1" applyBorder="1" applyAlignment="1">
      <alignment vertical="top" wrapText="1"/>
    </xf>
    <xf numFmtId="2" fontId="5" fillId="19" borderId="52" xfId="0" applyNumberFormat="1" applyFont="1" applyFill="1" applyBorder="1" applyAlignment="1">
      <alignment horizontal="left" vertical="top" wrapText="1"/>
    </xf>
    <xf numFmtId="2" fontId="5" fillId="19" borderId="62" xfId="0" applyNumberFormat="1" applyFont="1" applyFill="1" applyBorder="1" applyAlignment="1">
      <alignment horizontal="left" vertical="top" wrapText="1"/>
    </xf>
    <xf numFmtId="2" fontId="5" fillId="19" borderId="51" xfId="0" applyNumberFormat="1" applyFont="1" applyFill="1" applyBorder="1" applyAlignment="1">
      <alignment horizontal="left" vertical="top" wrapText="1"/>
    </xf>
    <xf numFmtId="0" fontId="5" fillId="18" borderId="2" xfId="0" applyFont="1" applyFill="1" applyBorder="1" applyAlignment="1">
      <alignment horizontal="left" vertical="center" wrapText="1"/>
    </xf>
    <xf numFmtId="0" fontId="5" fillId="18" borderId="21" xfId="0" applyFont="1" applyFill="1" applyBorder="1" applyAlignment="1">
      <alignment horizontal="left" vertical="center" wrapText="1"/>
    </xf>
    <xf numFmtId="0" fontId="5" fillId="18" borderId="6" xfId="0" applyFont="1" applyFill="1" applyBorder="1" applyAlignment="1">
      <alignment horizontal="left" vertical="center" wrapText="1"/>
    </xf>
    <xf numFmtId="0" fontId="5" fillId="18" borderId="19" xfId="0" applyFont="1" applyFill="1" applyBorder="1" applyAlignment="1">
      <alignment horizontal="left" vertical="center"/>
    </xf>
    <xf numFmtId="2" fontId="5" fillId="28" borderId="52" xfId="0" applyNumberFormat="1" applyFont="1" applyFill="1" applyBorder="1" applyAlignment="1">
      <alignment vertical="top" wrapText="1"/>
    </xf>
    <xf numFmtId="2" fontId="5" fillId="28" borderId="62" xfId="0" applyNumberFormat="1" applyFont="1" applyFill="1" applyBorder="1" applyAlignment="1">
      <alignment vertical="top" wrapText="1"/>
    </xf>
    <xf numFmtId="2" fontId="5" fillId="28" borderId="51" xfId="0" applyNumberFormat="1" applyFont="1" applyFill="1" applyBorder="1" applyAlignment="1">
      <alignment vertical="top" wrapText="1"/>
    </xf>
    <xf numFmtId="0" fontId="10" fillId="19" borderId="62" xfId="0" applyFont="1" applyFill="1" applyBorder="1" applyAlignment="1">
      <alignment vertical="top" wrapText="1"/>
    </xf>
    <xf numFmtId="0" fontId="10" fillId="19" borderId="51" xfId="0" applyFont="1" applyFill="1" applyBorder="1" applyAlignment="1">
      <alignment vertical="top" wrapText="1"/>
    </xf>
    <xf numFmtId="2" fontId="5" fillId="19" borderId="68" xfId="0" applyNumberFormat="1" applyFont="1" applyFill="1" applyBorder="1" applyAlignment="1">
      <alignment vertical="top" wrapText="1"/>
    </xf>
    <xf numFmtId="2" fontId="5" fillId="19" borderId="40" xfId="0" applyNumberFormat="1" applyFont="1" applyFill="1" applyBorder="1" applyAlignment="1">
      <alignment horizontal="left" vertical="top" wrapText="1"/>
    </xf>
    <xf numFmtId="2" fontId="5" fillId="19" borderId="55" xfId="0" applyNumberFormat="1" applyFont="1" applyFill="1" applyBorder="1" applyAlignment="1">
      <alignment horizontal="left" vertical="top" wrapText="1"/>
    </xf>
    <xf numFmtId="2" fontId="5" fillId="19" borderId="24" xfId="0" applyNumberFormat="1" applyFont="1" applyFill="1" applyBorder="1" applyAlignment="1">
      <alignment horizontal="left" vertical="top" wrapText="1"/>
    </xf>
    <xf numFmtId="0" fontId="5" fillId="14" borderId="22" xfId="0" applyFont="1" applyFill="1" applyBorder="1" applyAlignment="1">
      <alignment horizontal="left" vertical="center" wrapText="1"/>
    </xf>
    <xf numFmtId="0" fontId="5" fillId="14" borderId="0" xfId="0" applyFont="1" applyFill="1" applyAlignment="1">
      <alignment horizontal="left" vertical="center" wrapText="1"/>
    </xf>
    <xf numFmtId="0" fontId="5" fillId="14" borderId="11" xfId="0" applyFont="1" applyFill="1" applyBorder="1" applyAlignment="1">
      <alignment horizontal="left" vertical="center" wrapText="1"/>
    </xf>
    <xf numFmtId="0" fontId="5" fillId="0" borderId="62" xfId="0" applyFont="1" applyBorder="1" applyAlignment="1">
      <alignment horizontal="center" vertical="center" wrapText="1"/>
    </xf>
    <xf numFmtId="1" fontId="5" fillId="5" borderId="2" xfId="0" applyNumberFormat="1" applyFont="1" applyFill="1" applyBorder="1" applyAlignment="1">
      <alignment horizontal="left" vertical="center"/>
    </xf>
    <xf numFmtId="1" fontId="5" fillId="5" borderId="21" xfId="0" applyNumberFormat="1" applyFont="1" applyFill="1" applyBorder="1" applyAlignment="1">
      <alignment horizontal="left" vertical="center"/>
    </xf>
    <xf numFmtId="1" fontId="5" fillId="5" borderId="6" xfId="0" applyNumberFormat="1" applyFont="1" applyFill="1" applyBorder="1" applyAlignment="1">
      <alignment horizontal="left" vertical="center"/>
    </xf>
    <xf numFmtId="2" fontId="5" fillId="0" borderId="18" xfId="0" applyNumberFormat="1" applyFont="1" applyBorder="1" applyAlignment="1">
      <alignment horizontal="left" vertical="top" wrapText="1"/>
    </xf>
    <xf numFmtId="2" fontId="5" fillId="0" borderId="16" xfId="0" applyNumberFormat="1" applyFont="1" applyBorder="1" applyAlignment="1">
      <alignment horizontal="left" vertical="top" wrapText="1"/>
    </xf>
    <xf numFmtId="2" fontId="5" fillId="0" borderId="17" xfId="0" applyNumberFormat="1" applyFont="1" applyBorder="1" applyAlignment="1">
      <alignment horizontal="left" vertical="top" wrapText="1"/>
    </xf>
    <xf numFmtId="2" fontId="5" fillId="0" borderId="76" xfId="0" applyNumberFormat="1" applyFont="1" applyBorder="1" applyAlignment="1">
      <alignment horizontal="left" vertical="top" wrapText="1"/>
    </xf>
    <xf numFmtId="2" fontId="5" fillId="0" borderId="77" xfId="0" applyNumberFormat="1" applyFont="1" applyBorder="1" applyAlignment="1">
      <alignment horizontal="left" vertical="top" wrapText="1"/>
    </xf>
    <xf numFmtId="1" fontId="5" fillId="5" borderId="66" xfId="0" applyNumberFormat="1" applyFont="1" applyFill="1" applyBorder="1" applyAlignment="1">
      <alignment horizontal="left" vertical="center"/>
    </xf>
    <xf numFmtId="1" fontId="5" fillId="5" borderId="47" xfId="0" applyNumberFormat="1" applyFont="1" applyFill="1" applyBorder="1" applyAlignment="1">
      <alignment horizontal="left" vertical="center"/>
    </xf>
    <xf numFmtId="1" fontId="5" fillId="5" borderId="67" xfId="0" applyNumberFormat="1" applyFont="1" applyFill="1" applyBorder="1" applyAlignment="1">
      <alignment horizontal="left" vertical="center"/>
    </xf>
    <xf numFmtId="1" fontId="4" fillId="0" borderId="51" xfId="0" applyNumberFormat="1" applyFont="1" applyBorder="1" applyAlignment="1">
      <alignment horizontal="center" vertical="top" wrapText="1"/>
    </xf>
    <xf numFmtId="1" fontId="4" fillId="0" borderId="29" xfId="0" applyNumberFormat="1" applyFont="1" applyBorder="1" applyAlignment="1">
      <alignment horizontal="center" vertical="top" wrapText="1"/>
    </xf>
    <xf numFmtId="1" fontId="5" fillId="5" borderId="72" xfId="0" applyNumberFormat="1" applyFont="1" applyFill="1" applyBorder="1" applyAlignment="1">
      <alignment horizontal="left" vertical="center"/>
    </xf>
    <xf numFmtId="1" fontId="5" fillId="5" borderId="41" xfId="0" applyNumberFormat="1" applyFont="1" applyFill="1" applyBorder="1" applyAlignment="1">
      <alignment horizontal="left" vertical="center"/>
    </xf>
    <xf numFmtId="1" fontId="5" fillId="5" borderId="74" xfId="0" applyNumberFormat="1" applyFont="1" applyFill="1" applyBorder="1" applyAlignment="1">
      <alignment horizontal="left" vertical="center"/>
    </xf>
    <xf numFmtId="2" fontId="5" fillId="28" borderId="40" xfId="0" applyNumberFormat="1" applyFont="1" applyFill="1" applyBorder="1" applyAlignment="1">
      <alignment vertical="top" wrapText="1"/>
    </xf>
    <xf numFmtId="2" fontId="5" fillId="28" borderId="55" xfId="0" applyNumberFormat="1" applyFont="1" applyFill="1" applyBorder="1" applyAlignment="1">
      <alignment vertical="top" wrapText="1"/>
    </xf>
    <xf numFmtId="2" fontId="5" fillId="28" borderId="24" xfId="0" applyNumberFormat="1" applyFont="1" applyFill="1" applyBorder="1" applyAlignment="1">
      <alignment vertical="top" wrapText="1"/>
    </xf>
    <xf numFmtId="1" fontId="5" fillId="26" borderId="52" xfId="0" applyNumberFormat="1" applyFont="1" applyFill="1" applyBorder="1" applyAlignment="1">
      <alignment horizontal="left" vertical="top" wrapText="1"/>
    </xf>
    <xf numFmtId="1" fontId="5" fillId="26" borderId="51" xfId="0" applyNumberFormat="1" applyFont="1" applyFill="1" applyBorder="1" applyAlignment="1">
      <alignment horizontal="left" vertical="top" wrapText="1"/>
    </xf>
    <xf numFmtId="0" fontId="5" fillId="27" borderId="55" xfId="0" applyFont="1" applyFill="1" applyBorder="1" applyAlignment="1">
      <alignment horizontal="left" vertical="top" wrapText="1"/>
    </xf>
    <xf numFmtId="1" fontId="5" fillId="4" borderId="40" xfId="0" applyNumberFormat="1" applyFont="1" applyFill="1" applyBorder="1" applyAlignment="1">
      <alignment horizontal="left" vertical="top" wrapText="1"/>
    </xf>
    <xf numFmtId="1" fontId="5" fillId="4" borderId="55" xfId="0" applyNumberFormat="1" applyFont="1" applyFill="1" applyBorder="1" applyAlignment="1">
      <alignment horizontal="left" vertical="top" wrapText="1"/>
    </xf>
    <xf numFmtId="1" fontId="5" fillId="4" borderId="24" xfId="0" applyNumberFormat="1" applyFont="1" applyFill="1" applyBorder="1" applyAlignment="1">
      <alignment horizontal="left" vertical="top" wrapText="1"/>
    </xf>
    <xf numFmtId="0" fontId="5" fillId="4" borderId="40" xfId="0" applyFont="1" applyFill="1" applyBorder="1" applyAlignment="1">
      <alignment horizontal="left" vertical="top" wrapText="1"/>
    </xf>
    <xf numFmtId="0" fontId="5" fillId="4" borderId="24" xfId="0" applyFont="1" applyFill="1" applyBorder="1" applyAlignment="1">
      <alignment horizontal="left" vertical="top" wrapText="1"/>
    </xf>
    <xf numFmtId="0" fontId="5" fillId="4" borderId="76" xfId="0" applyFont="1" applyFill="1" applyBorder="1" applyAlignment="1">
      <alignment horizontal="left" vertical="top" wrapText="1"/>
    </xf>
    <xf numFmtId="0" fontId="5" fillId="12" borderId="16" xfId="0" applyFont="1" applyFill="1" applyBorder="1" applyAlignment="1">
      <alignment horizontal="left" vertical="top" wrapText="1"/>
    </xf>
    <xf numFmtId="0" fontId="5" fillId="12" borderId="77" xfId="0" applyFont="1" applyFill="1" applyBorder="1" applyAlignment="1">
      <alignment horizontal="left" vertical="top" wrapText="1"/>
    </xf>
    <xf numFmtId="1" fontId="5" fillId="26" borderId="62" xfId="0" applyNumberFormat="1" applyFont="1" applyFill="1" applyBorder="1" applyAlignment="1">
      <alignment horizontal="left" vertical="top" wrapText="1"/>
    </xf>
    <xf numFmtId="49" fontId="5" fillId="0" borderId="59"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49" fontId="5" fillId="0" borderId="62" xfId="0" applyNumberFormat="1" applyFont="1" applyBorder="1" applyAlignment="1">
      <alignment horizontal="center" vertical="center" wrapText="1"/>
    </xf>
    <xf numFmtId="0" fontId="5" fillId="14" borderId="15" xfId="0" applyFont="1" applyFill="1" applyBorder="1" applyAlignment="1">
      <alignment horizontal="left" vertical="center" wrapText="1"/>
    </xf>
    <xf numFmtId="0" fontId="0" fillId="14" borderId="13" xfId="0" applyFill="1" applyBorder="1">
      <alignment vertical="top"/>
    </xf>
    <xf numFmtId="0" fontId="0" fillId="14" borderId="78" xfId="0" applyFill="1" applyBorder="1">
      <alignment vertical="top"/>
    </xf>
    <xf numFmtId="0" fontId="10" fillId="0" borderId="47" xfId="0" applyFont="1" applyBorder="1" applyAlignment="1">
      <alignment horizontal="left" vertical="center"/>
    </xf>
    <xf numFmtId="0" fontId="10" fillId="0" borderId="67" xfId="0" applyFont="1" applyBorder="1" applyAlignment="1">
      <alignment horizontal="left" vertical="center"/>
    </xf>
    <xf numFmtId="0" fontId="0" fillId="0" borderId="3" xfId="0" applyBorder="1" applyAlignment="1">
      <alignment horizontal="left" vertical="center"/>
    </xf>
    <xf numFmtId="0" fontId="5" fillId="20" borderId="35" xfId="0" applyFont="1" applyFill="1" applyBorder="1" applyAlignment="1">
      <alignment horizontal="left" vertical="top" wrapText="1"/>
    </xf>
    <xf numFmtId="0" fontId="5" fillId="20" borderId="34" xfId="0" applyFont="1" applyFill="1" applyBorder="1" applyAlignment="1">
      <alignment horizontal="left" vertical="top" wrapText="1"/>
    </xf>
    <xf numFmtId="0" fontId="5" fillId="20" borderId="36" xfId="0" applyFont="1" applyFill="1" applyBorder="1" applyAlignment="1">
      <alignment horizontal="left" vertical="top" wrapText="1"/>
    </xf>
    <xf numFmtId="49" fontId="5" fillId="20" borderId="60" xfId="0" applyNumberFormat="1" applyFont="1" applyFill="1" applyBorder="1" applyAlignment="1">
      <alignment horizontal="left" vertical="top" wrapText="1"/>
    </xf>
    <xf numFmtId="49" fontId="5" fillId="20" borderId="14" xfId="0" applyNumberFormat="1" applyFont="1" applyFill="1" applyBorder="1" applyAlignment="1">
      <alignment horizontal="left" vertical="top" wrapText="1"/>
    </xf>
    <xf numFmtId="0" fontId="5" fillId="28" borderId="22" xfId="0" applyFont="1" applyFill="1" applyBorder="1" applyAlignment="1">
      <alignment vertical="top" wrapText="1"/>
    </xf>
    <xf numFmtId="0" fontId="5" fillId="19" borderId="22" xfId="0" applyFont="1" applyFill="1" applyBorder="1" applyAlignment="1">
      <alignment vertical="top" wrapText="1"/>
    </xf>
    <xf numFmtId="0" fontId="5" fillId="12" borderId="40" xfId="0" applyFont="1" applyFill="1" applyBorder="1" applyAlignment="1">
      <alignment vertical="top" wrapText="1"/>
    </xf>
    <xf numFmtId="0" fontId="5" fillId="12" borderId="55" xfId="0" applyFont="1" applyFill="1" applyBorder="1" applyAlignment="1">
      <alignment vertical="top" wrapText="1"/>
    </xf>
    <xf numFmtId="0" fontId="5" fillId="12" borderId="24" xfId="0" applyFont="1" applyFill="1" applyBorder="1" applyAlignment="1">
      <alignment vertical="top" wrapText="1"/>
    </xf>
    <xf numFmtId="0" fontId="0" fillId="19" borderId="22" xfId="0" applyFill="1" applyBorder="1" applyAlignment="1">
      <alignment vertical="top" wrapText="1"/>
    </xf>
    <xf numFmtId="0" fontId="5" fillId="20" borderId="40" xfId="0" applyFont="1" applyFill="1" applyBorder="1" applyAlignment="1">
      <alignment vertical="top" wrapText="1"/>
    </xf>
    <xf numFmtId="0" fontId="5" fillId="20" borderId="55" xfId="0" applyFont="1" applyFill="1" applyBorder="1" applyAlignment="1">
      <alignment vertical="top" wrapText="1"/>
    </xf>
    <xf numFmtId="0" fontId="5" fillId="20" borderId="24" xfId="0" applyFont="1" applyFill="1" applyBorder="1" applyAlignment="1">
      <alignment vertical="top" wrapText="1"/>
    </xf>
    <xf numFmtId="0" fontId="5" fillId="26" borderId="22" xfId="0" applyFont="1" applyFill="1" applyBorder="1" applyAlignment="1">
      <alignment vertical="top" wrapText="1"/>
    </xf>
    <xf numFmtId="49" fontId="29" fillId="25" borderId="25" xfId="0" applyNumberFormat="1" applyFont="1" applyFill="1" applyBorder="1" applyAlignment="1">
      <alignment horizontal="center" vertical="top" wrapText="1"/>
    </xf>
    <xf numFmtId="49" fontId="29" fillId="25" borderId="28" xfId="0" applyNumberFormat="1" applyFont="1" applyFill="1" applyBorder="1" applyAlignment="1">
      <alignment horizontal="center" vertical="top" wrapText="1"/>
    </xf>
    <xf numFmtId="49" fontId="5" fillId="19" borderId="22" xfId="0" applyNumberFormat="1" applyFont="1" applyFill="1" applyBorder="1" applyAlignment="1">
      <alignment vertical="top" wrapText="1"/>
    </xf>
    <xf numFmtId="0" fontId="5" fillId="12" borderId="18" xfId="0" applyFont="1" applyFill="1" applyBorder="1" applyAlignment="1">
      <alignment horizontal="left" vertical="top" wrapText="1"/>
    </xf>
    <xf numFmtId="0" fontId="5" fillId="12" borderId="17" xfId="0" applyFont="1" applyFill="1" applyBorder="1" applyAlignment="1">
      <alignment horizontal="left" vertical="top" wrapText="1"/>
    </xf>
    <xf numFmtId="0" fontId="5" fillId="31" borderId="26" xfId="0" applyFont="1" applyFill="1" applyBorder="1" applyAlignment="1">
      <alignment horizontal="left" vertical="center" wrapText="1"/>
    </xf>
    <xf numFmtId="0" fontId="5" fillId="14" borderId="25" xfId="0" applyFont="1" applyFill="1" applyBorder="1" applyAlignment="1">
      <alignment horizontal="left" vertical="center" wrapText="1"/>
    </xf>
    <xf numFmtId="0" fontId="5" fillId="14" borderId="13" xfId="0" applyFont="1" applyFill="1" applyBorder="1" applyAlignment="1">
      <alignment horizontal="left" vertical="center" wrapText="1"/>
    </xf>
    <xf numFmtId="0" fontId="5" fillId="14" borderId="78" xfId="0" applyFont="1" applyFill="1" applyBorder="1" applyAlignment="1">
      <alignment horizontal="left" vertical="center" wrapText="1"/>
    </xf>
    <xf numFmtId="0" fontId="5" fillId="0" borderId="62" xfId="0" applyFont="1" applyBorder="1" applyAlignment="1">
      <alignment horizontal="center" vertical="center"/>
    </xf>
    <xf numFmtId="0" fontId="5" fillId="0" borderId="22" xfId="0" applyFont="1" applyBorder="1" applyAlignment="1">
      <alignment horizontal="left" vertical="top" wrapText="1"/>
    </xf>
    <xf numFmtId="0" fontId="5" fillId="0" borderId="10" xfId="0" applyFont="1" applyBorder="1" applyAlignment="1">
      <alignment horizontal="left" vertical="top" wrapText="1"/>
    </xf>
    <xf numFmtId="1" fontId="5" fillId="31" borderId="3" xfId="0" applyNumberFormat="1" applyFont="1" applyFill="1" applyBorder="1" applyAlignment="1">
      <alignment horizontal="left" vertical="center" wrapText="1"/>
    </xf>
    <xf numFmtId="0" fontId="5" fillId="19" borderId="10" xfId="0" applyFont="1" applyFill="1" applyBorder="1" applyAlignment="1">
      <alignment horizontal="left" vertical="top" wrapText="1"/>
    </xf>
    <xf numFmtId="0" fontId="5" fillId="19" borderId="2" xfId="0" applyFont="1" applyFill="1" applyBorder="1" applyAlignment="1">
      <alignment horizontal="left" vertical="top" wrapText="1"/>
    </xf>
    <xf numFmtId="0" fontId="5" fillId="19" borderId="9" xfId="0" applyFont="1" applyFill="1" applyBorder="1" applyAlignment="1">
      <alignment horizontal="left" vertical="top" wrapText="1"/>
    </xf>
    <xf numFmtId="0" fontId="0" fillId="19" borderId="22" xfId="0" applyFill="1" applyBorder="1" applyAlignment="1">
      <alignment horizontal="left" vertical="top" wrapText="1"/>
    </xf>
    <xf numFmtId="0" fontId="5" fillId="28" borderId="73" xfId="0" applyFont="1" applyFill="1" applyBorder="1" applyAlignment="1">
      <alignment horizontal="left" vertical="top" wrapText="1"/>
    </xf>
    <xf numFmtId="2" fontId="5" fillId="14" borderId="40" xfId="0" applyNumberFormat="1" applyFont="1" applyFill="1" applyBorder="1" applyAlignment="1">
      <alignment horizontal="left" vertical="top" wrapText="1"/>
    </xf>
    <xf numFmtId="2" fontId="5" fillId="14" borderId="55" xfId="0" applyNumberFormat="1" applyFont="1" applyFill="1" applyBorder="1" applyAlignment="1">
      <alignment horizontal="left" vertical="top" wrapText="1"/>
    </xf>
    <xf numFmtId="2" fontId="5" fillId="14" borderId="24" xfId="0" applyNumberFormat="1" applyFont="1" applyFill="1" applyBorder="1" applyAlignment="1">
      <alignment horizontal="left" vertical="top" wrapText="1"/>
    </xf>
    <xf numFmtId="1" fontId="5" fillId="28" borderId="51" xfId="0" applyNumberFormat="1" applyFont="1" applyFill="1" applyBorder="1" applyAlignment="1">
      <alignment horizontal="left" vertical="top" wrapText="1"/>
    </xf>
    <xf numFmtId="0" fontId="5" fillId="19" borderId="55" xfId="0" applyFont="1" applyFill="1" applyBorder="1" applyAlignment="1">
      <alignment vertical="top" wrapText="1"/>
    </xf>
    <xf numFmtId="0" fontId="5" fillId="19" borderId="24" xfId="0" applyFont="1" applyFill="1" applyBorder="1" applyAlignment="1">
      <alignment vertical="top" wrapText="1"/>
    </xf>
    <xf numFmtId="0" fontId="11" fillId="25" borderId="25" xfId="0" applyFont="1" applyFill="1" applyBorder="1" applyAlignment="1">
      <alignment horizontal="center" vertical="top" wrapText="1"/>
    </xf>
    <xf numFmtId="0" fontId="11" fillId="25" borderId="28" xfId="0" applyFont="1" applyFill="1" applyBorder="1" applyAlignment="1">
      <alignment horizontal="center" vertical="top" wrapText="1"/>
    </xf>
    <xf numFmtId="0" fontId="5" fillId="19" borderId="40" xfId="0" applyFont="1" applyFill="1" applyBorder="1" applyAlignment="1">
      <alignment vertical="top" wrapText="1"/>
    </xf>
    <xf numFmtId="0" fontId="5" fillId="19" borderId="18" xfId="0" applyFont="1" applyFill="1" applyBorder="1" applyAlignment="1">
      <alignment vertical="top" wrapText="1"/>
    </xf>
    <xf numFmtId="0" fontId="5" fillId="19" borderId="16" xfId="0" applyFont="1" applyFill="1" applyBorder="1" applyAlignment="1">
      <alignment vertical="top" wrapText="1"/>
    </xf>
    <xf numFmtId="0" fontId="5" fillId="19" borderId="77" xfId="0" applyFont="1" applyFill="1" applyBorder="1" applyAlignment="1">
      <alignment vertical="top" wrapText="1"/>
    </xf>
    <xf numFmtId="1" fontId="5" fillId="20" borderId="62" xfId="0" applyNumberFormat="1" applyFont="1" applyFill="1" applyBorder="1" applyAlignment="1">
      <alignment vertical="top" wrapText="1"/>
    </xf>
    <xf numFmtId="0" fontId="5" fillId="14" borderId="52" xfId="0" applyFont="1" applyFill="1" applyBorder="1" applyAlignment="1">
      <alignment horizontal="left" vertical="center" wrapText="1"/>
    </xf>
    <xf numFmtId="0" fontId="5" fillId="14" borderId="80" xfId="0" applyFont="1" applyFill="1" applyBorder="1" applyAlignment="1">
      <alignment horizontal="left" vertical="center" wrapText="1"/>
    </xf>
    <xf numFmtId="0" fontId="5" fillId="14" borderId="70" xfId="0" applyFont="1" applyFill="1" applyBorder="1" applyAlignment="1">
      <alignment horizontal="left" vertical="center" wrapText="1"/>
    </xf>
    <xf numFmtId="49" fontId="5" fillId="19" borderId="62" xfId="0" applyNumberFormat="1" applyFont="1" applyFill="1" applyBorder="1" applyAlignment="1">
      <alignment horizontal="left" vertical="top" wrapText="1"/>
    </xf>
    <xf numFmtId="49" fontId="5" fillId="19" borderId="51" xfId="0" applyNumberFormat="1" applyFont="1" applyFill="1" applyBorder="1" applyAlignment="1">
      <alignment horizontal="left" vertical="top" wrapText="1"/>
    </xf>
    <xf numFmtId="1" fontId="5" fillId="5" borderId="2" xfId="0" applyNumberFormat="1"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6" xfId="0" applyFont="1" applyBorder="1" applyAlignment="1">
      <alignment horizontal="left" vertical="center" wrapText="1"/>
    </xf>
    <xf numFmtId="1" fontId="5" fillId="5" borderId="9" xfId="0" applyNumberFormat="1" applyFont="1" applyFill="1" applyBorder="1" applyAlignment="1">
      <alignment horizontal="left" vertical="center" wrapText="1"/>
    </xf>
    <xf numFmtId="0" fontId="10" fillId="0" borderId="50" xfId="0" applyFont="1" applyBorder="1" applyAlignment="1">
      <alignment horizontal="left" vertical="center" wrapText="1"/>
    </xf>
    <xf numFmtId="0" fontId="10" fillId="0" borderId="8" xfId="0" applyFont="1" applyBorder="1" applyAlignment="1">
      <alignment horizontal="left" vertical="center" wrapText="1"/>
    </xf>
    <xf numFmtId="1" fontId="5" fillId="5" borderId="66" xfId="0" applyNumberFormat="1"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67" xfId="0" applyFont="1" applyBorder="1" applyAlignment="1">
      <alignment horizontal="left" vertical="center" wrapText="1"/>
    </xf>
    <xf numFmtId="1" fontId="5" fillId="28" borderId="39" xfId="0" applyNumberFormat="1" applyFont="1" applyFill="1" applyBorder="1" applyAlignment="1">
      <alignment horizontal="left" vertical="top" wrapText="1"/>
    </xf>
    <xf numFmtId="1" fontId="5" fillId="28" borderId="34" xfId="0" applyNumberFormat="1" applyFont="1" applyFill="1" applyBorder="1" applyAlignment="1">
      <alignment horizontal="left" vertical="top" wrapText="1"/>
    </xf>
    <xf numFmtId="1" fontId="5" fillId="28" borderId="36" xfId="0" applyNumberFormat="1" applyFont="1" applyFill="1" applyBorder="1" applyAlignment="1">
      <alignment horizontal="left" vertical="top" wrapText="1"/>
    </xf>
    <xf numFmtId="49" fontId="8" fillId="24" borderId="25" xfId="0" applyNumberFormat="1" applyFont="1" applyFill="1" applyBorder="1" applyAlignment="1">
      <alignment horizontal="right" vertical="center" wrapText="1"/>
    </xf>
    <xf numFmtId="49" fontId="8" fillId="24" borderId="13" xfId="0" applyNumberFormat="1" applyFont="1" applyFill="1" applyBorder="1" applyAlignment="1">
      <alignment horizontal="right" vertical="center" wrapText="1"/>
    </xf>
    <xf numFmtId="49" fontId="8" fillId="24" borderId="28" xfId="0" applyNumberFormat="1" applyFont="1" applyFill="1" applyBorder="1" applyAlignment="1">
      <alignment horizontal="right" vertical="center" wrapText="1"/>
    </xf>
    <xf numFmtId="1" fontId="5" fillId="14" borderId="27" xfId="0" applyNumberFormat="1" applyFont="1" applyFill="1" applyBorder="1" applyAlignment="1">
      <alignment horizontal="left" vertical="center" wrapText="1"/>
    </xf>
    <xf numFmtId="1" fontId="5" fillId="14" borderId="63" xfId="0" applyNumberFormat="1" applyFont="1" applyFill="1" applyBorder="1" applyAlignment="1">
      <alignment horizontal="left" vertical="center" wrapText="1"/>
    </xf>
    <xf numFmtId="1" fontId="10" fillId="0" borderId="50" xfId="0" applyNumberFormat="1" applyFont="1" applyBorder="1" applyAlignment="1">
      <alignment horizontal="left" vertical="center" wrapText="1"/>
    </xf>
    <xf numFmtId="1" fontId="10" fillId="0" borderId="8" xfId="0" applyNumberFormat="1" applyFont="1" applyBorder="1" applyAlignment="1">
      <alignment horizontal="left" vertical="center" wrapText="1"/>
    </xf>
    <xf numFmtId="1" fontId="10" fillId="0" borderId="47" xfId="0" applyNumberFormat="1" applyFont="1" applyBorder="1" applyAlignment="1">
      <alignment horizontal="left" vertical="center" wrapText="1"/>
    </xf>
    <xf numFmtId="1" fontId="10" fillId="0" borderId="67" xfId="0" applyNumberFormat="1" applyFont="1" applyBorder="1" applyAlignment="1">
      <alignment horizontal="left" vertical="center" wrapText="1"/>
    </xf>
    <xf numFmtId="1" fontId="5" fillId="5" borderId="1" xfId="0" applyNumberFormat="1" applyFont="1" applyFill="1" applyBorder="1" applyAlignment="1">
      <alignment horizontal="left" vertical="center" wrapText="1" indent="4"/>
    </xf>
    <xf numFmtId="1" fontId="10" fillId="0" borderId="1" xfId="0" applyNumberFormat="1" applyFont="1" applyBorder="1" applyAlignment="1">
      <alignment horizontal="left" vertical="center" wrapText="1" indent="4"/>
    </xf>
    <xf numFmtId="1" fontId="10" fillId="0" borderId="21" xfId="0" applyNumberFormat="1" applyFont="1" applyBorder="1" applyAlignment="1">
      <alignment horizontal="left" vertical="center" wrapText="1"/>
    </xf>
    <xf numFmtId="1" fontId="10" fillId="0" borderId="6" xfId="0" applyNumberFormat="1" applyFont="1" applyBorder="1" applyAlignment="1">
      <alignment horizontal="left" vertical="center" wrapText="1"/>
    </xf>
    <xf numFmtId="1" fontId="5" fillId="5" borderId="21" xfId="0" applyNumberFormat="1" applyFont="1" applyFill="1" applyBorder="1" applyAlignment="1">
      <alignment horizontal="left" vertical="center" wrapText="1"/>
    </xf>
    <xf numFmtId="1" fontId="5" fillId="5" borderId="6" xfId="0" applyNumberFormat="1" applyFont="1" applyFill="1" applyBorder="1" applyAlignment="1">
      <alignment horizontal="left" vertical="center" wrapText="1"/>
    </xf>
    <xf numFmtId="49" fontId="5" fillId="19" borderId="62" xfId="0" applyNumberFormat="1" applyFont="1" applyFill="1" applyBorder="1" applyAlignment="1">
      <alignment vertical="top" wrapText="1"/>
    </xf>
    <xf numFmtId="1" fontId="5" fillId="0" borderId="77" xfId="0" applyNumberFormat="1" applyFont="1" applyBorder="1" applyAlignment="1">
      <alignment vertical="top" wrapText="1"/>
    </xf>
    <xf numFmtId="49" fontId="8" fillId="10" borderId="25" xfId="0" applyNumberFormat="1" applyFont="1" applyFill="1" applyBorder="1" applyAlignment="1">
      <alignment horizontal="right" vertical="center" wrapText="1"/>
    </xf>
    <xf numFmtId="49" fontId="8" fillId="10" borderId="13" xfId="0" applyNumberFormat="1" applyFont="1" applyFill="1" applyBorder="1" applyAlignment="1">
      <alignment horizontal="right" vertical="center" wrapText="1"/>
    </xf>
    <xf numFmtId="49" fontId="8" fillId="10" borderId="28" xfId="0" applyNumberFormat="1" applyFont="1" applyFill="1" applyBorder="1" applyAlignment="1">
      <alignment horizontal="right" vertical="center" wrapText="1"/>
    </xf>
    <xf numFmtId="2" fontId="5" fillId="18" borderId="1" xfId="0" applyNumberFormat="1" applyFont="1" applyFill="1" applyBorder="1" applyAlignment="1">
      <alignment horizontal="center" vertical="center" wrapText="1"/>
    </xf>
    <xf numFmtId="2" fontId="5" fillId="18" borderId="19" xfId="0" applyNumberFormat="1" applyFont="1" applyFill="1" applyBorder="1" applyAlignment="1">
      <alignment horizontal="center" vertical="center" wrapText="1"/>
    </xf>
    <xf numFmtId="0" fontId="5" fillId="20" borderId="22" xfId="0" applyFont="1" applyFill="1" applyBorder="1" applyAlignment="1">
      <alignment vertical="top" wrapText="1"/>
    </xf>
    <xf numFmtId="0" fontId="5" fillId="26" borderId="9" xfId="0" applyFont="1" applyFill="1" applyBorder="1" applyAlignment="1">
      <alignment vertical="top" wrapText="1"/>
    </xf>
    <xf numFmtId="0" fontId="8" fillId="0" borderId="25" xfId="0" applyFont="1" applyBorder="1" applyAlignment="1">
      <alignment horizontal="right" vertical="center"/>
    </xf>
    <xf numFmtId="0" fontId="8" fillId="0" borderId="13" xfId="0" applyFont="1" applyBorder="1" applyAlignment="1">
      <alignment horizontal="right" vertical="center"/>
    </xf>
    <xf numFmtId="0" fontId="8" fillId="0" borderId="28" xfId="0" applyFont="1" applyBorder="1" applyAlignment="1">
      <alignment horizontal="right" vertical="center"/>
    </xf>
    <xf numFmtId="0" fontId="5" fillId="41" borderId="25" xfId="0" applyFont="1" applyFill="1" applyBorder="1" applyAlignment="1">
      <alignment horizontal="right" vertical="center" wrapText="1"/>
    </xf>
    <xf numFmtId="0" fontId="5" fillId="41" borderId="13" xfId="0" applyFont="1" applyFill="1" applyBorder="1" applyAlignment="1">
      <alignment horizontal="right" vertical="center" wrapText="1"/>
    </xf>
    <xf numFmtId="0" fontId="5" fillId="41" borderId="78" xfId="0" applyFont="1" applyFill="1" applyBorder="1" applyAlignment="1">
      <alignment horizontal="right" vertical="center" wrapText="1"/>
    </xf>
    <xf numFmtId="0" fontId="18" fillId="5" borderId="9" xfId="0" applyFont="1" applyFill="1" applyBorder="1" applyAlignment="1">
      <alignment horizontal="right" vertical="center" wrapText="1"/>
    </xf>
    <xf numFmtId="0" fontId="18" fillId="5" borderId="50" xfId="0" applyFont="1" applyFill="1" applyBorder="1" applyAlignment="1">
      <alignment horizontal="right" vertical="center" wrapText="1"/>
    </xf>
    <xf numFmtId="0" fontId="18" fillId="5" borderId="8" xfId="0" applyFont="1" applyFill="1" applyBorder="1" applyAlignment="1">
      <alignment horizontal="right" vertical="center" wrapText="1"/>
    </xf>
    <xf numFmtId="0" fontId="5" fillId="22" borderId="52" xfId="0" applyFont="1" applyFill="1" applyBorder="1" applyAlignment="1">
      <alignment vertical="top" wrapText="1"/>
    </xf>
    <xf numFmtId="0" fontId="5" fillId="22" borderId="62" xfId="0" applyFont="1" applyFill="1" applyBorder="1" applyAlignment="1">
      <alignment vertical="top" wrapText="1"/>
    </xf>
    <xf numFmtId="0" fontId="5" fillId="22" borderId="51" xfId="0" applyFont="1" applyFill="1" applyBorder="1" applyAlignment="1">
      <alignment vertical="top" wrapText="1"/>
    </xf>
    <xf numFmtId="0" fontId="5" fillId="22" borderId="22" xfId="0" applyFont="1" applyFill="1" applyBorder="1" applyAlignment="1">
      <alignment vertical="top" wrapText="1"/>
    </xf>
    <xf numFmtId="0" fontId="5" fillId="22" borderId="40" xfId="0" applyFont="1" applyFill="1" applyBorder="1" applyAlignment="1">
      <alignment horizontal="left" vertical="top" wrapText="1"/>
    </xf>
    <xf numFmtId="0" fontId="5" fillId="22" borderId="55" xfId="0" applyFont="1" applyFill="1" applyBorder="1" applyAlignment="1">
      <alignment horizontal="left" vertical="top" wrapText="1"/>
    </xf>
    <xf numFmtId="0" fontId="5" fillId="22" borderId="24" xfId="0" applyFont="1" applyFill="1" applyBorder="1" applyAlignment="1">
      <alignment horizontal="left" vertical="top" wrapText="1"/>
    </xf>
    <xf numFmtId="0" fontId="5" fillId="16" borderId="22" xfId="0" applyFont="1" applyFill="1" applyBorder="1" applyAlignment="1">
      <alignment vertical="top" wrapText="1"/>
    </xf>
    <xf numFmtId="0" fontId="5" fillId="16" borderId="52" xfId="0" applyFont="1" applyFill="1" applyBorder="1" applyAlignment="1">
      <alignment vertical="top" wrapText="1"/>
    </xf>
    <xf numFmtId="0" fontId="5" fillId="16" borderId="62" xfId="0" applyFont="1" applyFill="1" applyBorder="1" applyAlignment="1">
      <alignment vertical="top" wrapText="1"/>
    </xf>
    <xf numFmtId="0" fontId="5" fillId="16" borderId="51" xfId="0" applyFont="1" applyFill="1" applyBorder="1" applyAlignment="1">
      <alignment vertical="top" wrapText="1"/>
    </xf>
    <xf numFmtId="0" fontId="5" fillId="15" borderId="52" xfId="0" applyFont="1" applyFill="1" applyBorder="1" applyAlignment="1">
      <alignment vertical="top" wrapText="1"/>
    </xf>
    <xf numFmtId="0" fontId="5" fillId="15" borderId="62" xfId="0" applyFont="1" applyFill="1" applyBorder="1" applyAlignment="1">
      <alignment vertical="top" wrapText="1"/>
    </xf>
    <xf numFmtId="0" fontId="5" fillId="15" borderId="51" xfId="0" applyFont="1" applyFill="1" applyBorder="1" applyAlignment="1">
      <alignment vertical="top" wrapText="1"/>
    </xf>
    <xf numFmtId="0" fontId="5" fillId="15" borderId="22" xfId="0" applyFont="1" applyFill="1" applyBorder="1" applyAlignment="1">
      <alignment vertical="top" wrapText="1"/>
    </xf>
    <xf numFmtId="1" fontId="4" fillId="0" borderId="29" xfId="0" applyNumberFormat="1" applyFont="1" applyBorder="1" applyAlignment="1">
      <alignment horizontal="center"/>
    </xf>
    <xf numFmtId="0" fontId="5" fillId="55" borderId="40" xfId="0" applyFont="1" applyFill="1" applyBorder="1" applyAlignment="1">
      <alignment horizontal="left" vertical="top" wrapText="1"/>
    </xf>
    <xf numFmtId="0" fontId="5" fillId="55" borderId="55" xfId="0" applyFont="1" applyFill="1" applyBorder="1" applyAlignment="1">
      <alignment horizontal="left" vertical="top" wrapText="1"/>
    </xf>
    <xf numFmtId="0" fontId="5" fillId="55" borderId="24" xfId="0" applyFont="1" applyFill="1" applyBorder="1" applyAlignment="1">
      <alignment horizontal="left" vertical="top" wrapText="1"/>
    </xf>
    <xf numFmtId="0" fontId="18" fillId="5" borderId="66" xfId="0" applyFont="1" applyFill="1" applyBorder="1" applyAlignment="1">
      <alignment horizontal="right" vertical="center" wrapText="1"/>
    </xf>
    <xf numFmtId="0" fontId="18" fillId="5" borderId="47" xfId="0" applyFont="1" applyFill="1" applyBorder="1" applyAlignment="1">
      <alignment horizontal="right" vertical="center" wrapText="1"/>
    </xf>
    <xf numFmtId="0" fontId="18" fillId="5" borderId="67" xfId="0" applyFont="1" applyFill="1" applyBorder="1" applyAlignment="1">
      <alignment horizontal="right" vertical="center" wrapText="1"/>
    </xf>
    <xf numFmtId="0" fontId="18" fillId="5" borderId="2" xfId="0" applyFont="1" applyFill="1" applyBorder="1" applyAlignment="1">
      <alignment horizontal="right" vertical="center" wrapText="1"/>
    </xf>
    <xf numFmtId="0" fontId="18" fillId="5" borderId="21" xfId="0" applyFont="1" applyFill="1" applyBorder="1" applyAlignment="1">
      <alignment horizontal="right" vertical="center" wrapText="1"/>
    </xf>
    <xf numFmtId="0" fontId="18" fillId="5" borderId="6" xfId="0" applyFont="1" applyFill="1" applyBorder="1" applyAlignment="1">
      <alignment horizontal="right" vertical="center" wrapText="1"/>
    </xf>
    <xf numFmtId="49" fontId="5" fillId="55" borderId="22" xfId="0" applyNumberFormat="1" applyFont="1" applyFill="1" applyBorder="1" applyAlignment="1">
      <alignment vertical="top" wrapText="1"/>
    </xf>
    <xf numFmtId="0" fontId="5" fillId="55" borderId="22" xfId="0" applyFont="1" applyFill="1" applyBorder="1" applyAlignment="1">
      <alignment vertical="top" wrapText="1"/>
    </xf>
    <xf numFmtId="0" fontId="5" fillId="41" borderId="52" xfId="0" applyFont="1" applyFill="1" applyBorder="1" applyAlignment="1">
      <alignment vertical="top" wrapText="1"/>
    </xf>
    <xf numFmtId="0" fontId="5" fillId="41" borderId="62" xfId="0" applyFont="1" applyFill="1" applyBorder="1" applyAlignment="1">
      <alignment vertical="top" wrapText="1"/>
    </xf>
    <xf numFmtId="0" fontId="5" fillId="30" borderId="71" xfId="0" applyFont="1" applyFill="1" applyBorder="1" applyAlignment="1">
      <alignment horizontal="left" vertical="top" wrapText="1"/>
    </xf>
    <xf numFmtId="0" fontId="5" fillId="30" borderId="44" xfId="0" applyFont="1" applyFill="1" applyBorder="1" applyAlignment="1">
      <alignment horizontal="left" vertical="top" wrapText="1"/>
    </xf>
    <xf numFmtId="0" fontId="5" fillId="30" borderId="65" xfId="0" applyFont="1" applyFill="1" applyBorder="1" applyAlignment="1">
      <alignment horizontal="left" vertical="top" wrapText="1"/>
    </xf>
    <xf numFmtId="0" fontId="5" fillId="30" borderId="52" xfId="0" applyFont="1" applyFill="1" applyBorder="1" applyAlignment="1">
      <alignment horizontal="left" vertical="top" wrapText="1"/>
    </xf>
    <xf numFmtId="0" fontId="5" fillId="30" borderId="62" xfId="0" applyFont="1" applyFill="1" applyBorder="1" applyAlignment="1">
      <alignment horizontal="left" vertical="top" wrapText="1"/>
    </xf>
    <xf numFmtId="0" fontId="5" fillId="30" borderId="51" xfId="0" applyFont="1" applyFill="1" applyBorder="1" applyAlignment="1">
      <alignment horizontal="left" vertical="top" wrapText="1"/>
    </xf>
    <xf numFmtId="0" fontId="5" fillId="30" borderId="22" xfId="0" applyFont="1" applyFill="1" applyBorder="1" applyAlignment="1">
      <alignment horizontal="left" vertical="top" wrapText="1"/>
    </xf>
    <xf numFmtId="0" fontId="5" fillId="30" borderId="40" xfId="0" applyFont="1" applyFill="1" applyBorder="1" applyAlignment="1">
      <alignment horizontal="left" vertical="top" wrapText="1"/>
    </xf>
    <xf numFmtId="0" fontId="5" fillId="30" borderId="55" xfId="0" applyFont="1" applyFill="1" applyBorder="1" applyAlignment="1">
      <alignment horizontal="left" vertical="top" wrapText="1"/>
    </xf>
    <xf numFmtId="0" fontId="5" fillId="30" borderId="24" xfId="0" applyFont="1" applyFill="1" applyBorder="1" applyAlignment="1">
      <alignment horizontal="left" vertical="top" wrapText="1"/>
    </xf>
    <xf numFmtId="0" fontId="8" fillId="0" borderId="25" xfId="0" applyFont="1" applyBorder="1" applyAlignment="1">
      <alignment horizontal="right" vertical="center" wrapText="1"/>
    </xf>
    <xf numFmtId="0" fontId="8" fillId="0" borderId="13" xfId="0" applyFont="1" applyBorder="1" applyAlignment="1">
      <alignment horizontal="right" vertical="center" wrapText="1"/>
    </xf>
    <xf numFmtId="0" fontId="8" fillId="0" borderId="28" xfId="0" applyFont="1" applyBorder="1" applyAlignment="1">
      <alignment horizontal="right" vertical="center" wrapText="1"/>
    </xf>
    <xf numFmtId="2" fontId="5" fillId="50" borderId="72" xfId="0" applyNumberFormat="1" applyFont="1" applyFill="1" applyBorder="1" applyAlignment="1">
      <alignment horizontal="left" vertical="center" wrapText="1"/>
    </xf>
    <xf numFmtId="2" fontId="5" fillId="50" borderId="41" xfId="0" applyNumberFormat="1" applyFont="1" applyFill="1" applyBorder="1" applyAlignment="1">
      <alignment horizontal="left" vertical="center" wrapText="1"/>
    </xf>
    <xf numFmtId="2" fontId="5" fillId="50" borderId="74" xfId="0" applyNumberFormat="1" applyFont="1" applyFill="1" applyBorder="1" applyAlignment="1">
      <alignment horizontal="left" vertical="center" wrapText="1"/>
    </xf>
    <xf numFmtId="2" fontId="5" fillId="50" borderId="2" xfId="0" applyNumberFormat="1" applyFont="1" applyFill="1" applyBorder="1" applyAlignment="1">
      <alignment horizontal="left" vertical="center" wrapText="1"/>
    </xf>
    <xf numFmtId="2" fontId="5" fillId="50" borderId="21" xfId="0" applyNumberFormat="1" applyFont="1" applyFill="1" applyBorder="1" applyAlignment="1">
      <alignment horizontal="left" vertical="center" wrapText="1"/>
    </xf>
    <xf numFmtId="2" fontId="5" fillId="50" borderId="6" xfId="0" applyNumberFormat="1" applyFont="1" applyFill="1" applyBorder="1" applyAlignment="1">
      <alignment horizontal="left" vertical="center" wrapText="1"/>
    </xf>
    <xf numFmtId="2" fontId="5" fillId="50" borderId="66" xfId="0" applyNumberFormat="1" applyFont="1" applyFill="1" applyBorder="1" applyAlignment="1">
      <alignment horizontal="left" vertical="center" wrapText="1"/>
    </xf>
    <xf numFmtId="2" fontId="5" fillId="50" borderId="47" xfId="0" applyNumberFormat="1" applyFont="1" applyFill="1" applyBorder="1" applyAlignment="1">
      <alignment horizontal="left" vertical="center" wrapText="1"/>
    </xf>
    <xf numFmtId="2" fontId="5" fillId="50" borderId="67" xfId="0" applyNumberFormat="1" applyFont="1" applyFill="1" applyBorder="1" applyAlignment="1">
      <alignment horizontal="left" vertical="center" wrapText="1"/>
    </xf>
    <xf numFmtId="0" fontId="5" fillId="49" borderId="40" xfId="0" applyFont="1" applyFill="1" applyBorder="1" applyAlignment="1">
      <alignment horizontal="left" vertical="top" wrapText="1"/>
    </xf>
    <xf numFmtId="0" fontId="5" fillId="49" borderId="55" xfId="0" applyFont="1" applyFill="1" applyBorder="1" applyAlignment="1">
      <alignment horizontal="left" vertical="top" wrapText="1"/>
    </xf>
    <xf numFmtId="0" fontId="5" fillId="49" borderId="24" xfId="0" applyFont="1" applyFill="1" applyBorder="1" applyAlignment="1">
      <alignment horizontal="left" vertical="top" wrapText="1"/>
    </xf>
    <xf numFmtId="0" fontId="5" fillId="49" borderId="44" xfId="0" applyFont="1" applyFill="1" applyBorder="1" applyAlignment="1">
      <alignment horizontal="left" vertical="top" wrapText="1"/>
    </xf>
    <xf numFmtId="0" fontId="5" fillId="50" borderId="55" xfId="0" applyFont="1" applyFill="1" applyBorder="1" applyAlignment="1">
      <alignment horizontal="left" vertical="top" wrapText="1"/>
    </xf>
    <xf numFmtId="0" fontId="5" fillId="50" borderId="40" xfId="0" applyFont="1" applyFill="1" applyBorder="1" applyAlignment="1">
      <alignment horizontal="left" vertical="top" wrapText="1"/>
    </xf>
    <xf numFmtId="0" fontId="5" fillId="50" borderId="24" xfId="0" applyFont="1" applyFill="1" applyBorder="1" applyAlignment="1">
      <alignment horizontal="left" vertical="top" wrapText="1"/>
    </xf>
    <xf numFmtId="0" fontId="5" fillId="49" borderId="62" xfId="0" applyFont="1" applyFill="1" applyBorder="1" applyAlignment="1">
      <alignment horizontal="left" vertical="top" wrapText="1"/>
    </xf>
    <xf numFmtId="0" fontId="5" fillId="49" borderId="52" xfId="0" applyFont="1" applyFill="1" applyBorder="1" applyAlignment="1">
      <alignment horizontal="left" vertical="top" wrapText="1"/>
    </xf>
    <xf numFmtId="0" fontId="5" fillId="49" borderId="51" xfId="0" applyFont="1" applyFill="1" applyBorder="1" applyAlignment="1">
      <alignment horizontal="left" vertical="top" wrapText="1"/>
    </xf>
    <xf numFmtId="0" fontId="5" fillId="0" borderId="40" xfId="0" applyFont="1" applyBorder="1" applyAlignment="1">
      <alignment horizontal="center" vertical="top" wrapText="1"/>
    </xf>
    <xf numFmtId="0" fontId="5" fillId="0" borderId="55" xfId="0" applyFont="1" applyBorder="1" applyAlignment="1">
      <alignment horizontal="center" vertical="top" wrapText="1"/>
    </xf>
    <xf numFmtId="0" fontId="5" fillId="0" borderId="24" xfId="0" applyFont="1" applyBorder="1" applyAlignment="1">
      <alignment horizontal="center" vertical="top" wrapText="1"/>
    </xf>
    <xf numFmtId="1" fontId="5" fillId="0" borderId="14" xfId="0" applyNumberFormat="1" applyFont="1" applyBorder="1" applyAlignment="1">
      <alignment horizontal="center" vertical="top" wrapText="1"/>
    </xf>
    <xf numFmtId="0" fontId="6" fillId="0" borderId="40" xfId="0" applyFont="1" applyBorder="1" applyAlignment="1">
      <alignment horizontal="center" vertical="top" wrapText="1"/>
    </xf>
    <xf numFmtId="0" fontId="6" fillId="0" borderId="55" xfId="0" applyFont="1" applyBorder="1" applyAlignment="1">
      <alignment horizontal="center" vertical="top" wrapText="1"/>
    </xf>
    <xf numFmtId="0" fontId="6" fillId="0" borderId="24" xfId="0" applyFont="1" applyBorder="1" applyAlignment="1">
      <alignment horizontal="center" vertical="top" wrapText="1"/>
    </xf>
  </cellXfs>
  <cellStyles count="6">
    <cellStyle name="Currency 2" xfId="1" xr:uid="{00000000-0005-0000-0000-000000000000}"/>
    <cellStyle name="Hyperlink" xfId="4" builtinId="8"/>
    <cellStyle name="Normal" xfId="0" builtinId="0"/>
    <cellStyle name="Normal 2" xfId="2" xr:uid="{00000000-0005-0000-0000-000003000000}"/>
    <cellStyle name="Normal 3" xfId="3" xr:uid="{00000000-0005-0000-0000-000004000000}"/>
    <cellStyle name="Normal 4" xfId="5" xr:uid="{00000000-0005-0000-0000-000005000000}"/>
  </cellStyles>
  <dxfs count="8">
    <dxf>
      <fill>
        <patternFill>
          <fgColor theme="0"/>
          <bgColor theme="0"/>
        </patternFill>
      </fill>
    </dxf>
    <dxf>
      <font>
        <condense val="0"/>
        <extend val="0"/>
        <color rgb="FF9C0006"/>
      </font>
      <fill>
        <patternFill>
          <bgColor rgb="FFFFC7CE"/>
        </patternFill>
      </fill>
    </dxf>
    <dxf>
      <fill>
        <patternFill>
          <bgColor indexed="46"/>
        </patternFill>
      </fill>
    </dxf>
    <dxf>
      <fill>
        <patternFill>
          <bgColor indexed="46"/>
        </patternFill>
      </fill>
    </dxf>
    <dxf>
      <fill>
        <patternFill>
          <bgColor rgb="FFA4FD95"/>
        </patternFill>
      </fill>
    </dxf>
    <dxf>
      <fill>
        <patternFill patternType="solid">
          <fgColor rgb="FFE6B9B8"/>
          <bgColor rgb="FF000000"/>
        </patternFill>
      </fill>
    </dxf>
    <dxf>
      <fill>
        <patternFill patternType="solid">
          <fgColor rgb="FFFFFF00"/>
          <bgColor rgb="FF000000"/>
        </patternFill>
      </fill>
    </dxf>
    <dxf>
      <fill>
        <patternFill>
          <bgColor theme="8"/>
        </patternFill>
      </fill>
    </dxf>
  </dxfs>
  <tableStyles count="0" defaultTableStyle="TableStyleMedium9" defaultPivotStyle="PivotStyleLight16"/>
  <colors>
    <mruColors>
      <color rgb="FFB3CC82"/>
      <color rgb="FF93B64E"/>
      <color rgb="FF99FF99"/>
      <color rgb="FF85FF85"/>
      <color rgb="FF99FF66"/>
      <color rgb="FF66FF66"/>
      <color rgb="FF99FF33"/>
      <color rgb="FF66FF99"/>
      <color rgb="FFCCFF66"/>
      <color rgb="FFD4E2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0</xdr:colOff>
      <xdr:row>156</xdr:row>
      <xdr:rowOff>0</xdr:rowOff>
    </xdr:from>
    <xdr:ext cx="3218065" cy="1756971"/>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346906" y="18407062"/>
          <a:ext cx="2619375" cy="1774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0</xdr:colOff>
      <xdr:row>157</xdr:row>
      <xdr:rowOff>0</xdr:rowOff>
    </xdr:from>
    <xdr:ext cx="3218065" cy="1756971"/>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572375" y="46291500"/>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0</xdr:colOff>
      <xdr:row>157</xdr:row>
      <xdr:rowOff>0</xdr:rowOff>
    </xdr:from>
    <xdr:ext cx="3218065" cy="1756971"/>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572375" y="46291500"/>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0</xdr:colOff>
      <xdr:row>157</xdr:row>
      <xdr:rowOff>0</xdr:rowOff>
    </xdr:from>
    <xdr:ext cx="3218065" cy="1756971"/>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7572375" y="46291500"/>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0</xdr:colOff>
      <xdr:row>157</xdr:row>
      <xdr:rowOff>0</xdr:rowOff>
    </xdr:from>
    <xdr:ext cx="3218065" cy="1756971"/>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7572375" y="46291500"/>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0</xdr:colOff>
      <xdr:row>157</xdr:row>
      <xdr:rowOff>0</xdr:rowOff>
    </xdr:from>
    <xdr:ext cx="3218065" cy="1756971"/>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7572375" y="46291500"/>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1</xdr:colOff>
      <xdr:row>157</xdr:row>
      <xdr:rowOff>2</xdr:rowOff>
    </xdr:from>
    <xdr:ext cx="1162049" cy="561974"/>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7029451" y="48091727"/>
          <a:ext cx="1162049" cy="561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2</xdr:col>
      <xdr:colOff>1495425</xdr:colOff>
      <xdr:row>158</xdr:row>
      <xdr:rowOff>19050</xdr:rowOff>
    </xdr:from>
    <xdr:ext cx="3218065" cy="1756971"/>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905125" y="48063150"/>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1219200</xdr:colOff>
      <xdr:row>151</xdr:row>
      <xdr:rowOff>19050</xdr:rowOff>
    </xdr:from>
    <xdr:ext cx="3218065" cy="1756971"/>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8248650" y="46224825"/>
          <a:ext cx="3218065"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8</xdr:col>
      <xdr:colOff>276225</xdr:colOff>
      <xdr:row>154</xdr:row>
      <xdr:rowOff>114300</xdr:rowOff>
    </xdr:from>
    <xdr:ext cx="3795479" cy="1756971"/>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17297400" y="46882050"/>
          <a:ext cx="3795479" cy="1756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1819276</xdr:colOff>
      <xdr:row>144</xdr:row>
      <xdr:rowOff>219075</xdr:rowOff>
    </xdr:from>
    <xdr:ext cx="3429000" cy="752475"/>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8848726" y="44596050"/>
          <a:ext cx="3429000" cy="75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oneCellAnchor>
    <xdr:from>
      <xdr:col>4</xdr:col>
      <xdr:colOff>1981201</xdr:colOff>
      <xdr:row>144</xdr:row>
      <xdr:rowOff>257175</xdr:rowOff>
    </xdr:from>
    <xdr:ext cx="3448050" cy="790575"/>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9010651" y="44634150"/>
          <a:ext cx="3448050"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ul/documents/ORWAPnew/Calculator%20edits/Calculator%20edits/ORWAPv3.1_FullVersion_5May2015_FixedWBNf18%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Desktop/Paul_work/ORWAP3/Users/pauul/Documents/Users/pauul/Documents/ORWAPnew/Users/Carol/Downloads/Documents%20and%20Settings/Paul/Application%20Data/Microsoft/Excel/ORWAPv1.5_Explan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Desktop/Paul_work/ORWAP3/Users/pauul/Documents/Documents%20and%20Settings/Paul/My%20Documents/CalculatorsFixed2/BatchData/OregonRunMacro/WESPAB_Alberta_Repeatability2_29Oct2013_MinMaxPrompt_Stati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ol/Desktop/Paul_work/ORWAP3/Users/Paul/AppData/Roaming/Microsoft/Excel/Calculator%20edits/macro/Analysis_DSL2015/Calculator%20edits/ORWAP_17Dec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g"/>
      <sheetName val="OF"/>
      <sheetName val="F"/>
      <sheetName val="T"/>
      <sheetName val="S"/>
      <sheetName val="Scores"/>
      <sheetName val="WS"/>
      <sheetName val="WC"/>
      <sheetName val="SR"/>
      <sheetName val="PR"/>
      <sheetName val="NR"/>
      <sheetName val="CS"/>
      <sheetName val="OE"/>
      <sheetName val="INV"/>
      <sheetName val="FA"/>
      <sheetName val="FR"/>
      <sheetName val="AM"/>
      <sheetName val="WBN"/>
      <sheetName val="WBF"/>
      <sheetName val="SBM"/>
      <sheetName val="PH"/>
      <sheetName val="POL"/>
      <sheetName val="PU"/>
      <sheetName val="Sens"/>
      <sheetName val="EC"/>
      <sheetName val="STR"/>
      <sheetName val="FuncDeficit"/>
      <sheetName val="LitCited"/>
      <sheetName val="Rejects"/>
    </sheetNames>
    <sheetDataSet>
      <sheetData sheetId="0" refreshError="1"/>
      <sheetData sheetId="1">
        <row r="136">
          <cell r="D136">
            <v>0</v>
          </cell>
        </row>
      </sheetData>
      <sheetData sheetId="2">
        <row r="5">
          <cell r="D5">
            <v>0</v>
          </cell>
        </row>
      </sheetData>
      <sheetData sheetId="3">
        <row r="4">
          <cell r="D4">
            <v>0</v>
          </cell>
        </row>
      </sheetData>
      <sheetData sheetId="4"/>
      <sheetData sheetId="5" refreshError="1"/>
      <sheetData sheetId="6">
        <row r="18">
          <cell r="G18">
            <v>0</v>
          </cell>
        </row>
      </sheetData>
      <sheetData sheetId="7">
        <row r="3">
          <cell r="G3">
            <v>0</v>
          </cell>
        </row>
      </sheetData>
      <sheetData sheetId="8">
        <row r="3">
          <cell r="G3">
            <v>0</v>
          </cell>
        </row>
      </sheetData>
      <sheetData sheetId="9">
        <row r="3">
          <cell r="G3">
            <v>0</v>
          </cell>
        </row>
      </sheetData>
      <sheetData sheetId="10">
        <row r="3">
          <cell r="G3">
            <v>0</v>
          </cell>
        </row>
        <row r="13">
          <cell r="G13">
            <v>0</v>
          </cell>
        </row>
        <row r="185">
          <cell r="G185">
            <v>0.88888888888888884</v>
          </cell>
        </row>
      </sheetData>
      <sheetData sheetId="11">
        <row r="3">
          <cell r="G3">
            <v>0</v>
          </cell>
        </row>
      </sheetData>
      <sheetData sheetId="12">
        <row r="3">
          <cell r="G3">
            <v>0</v>
          </cell>
        </row>
        <row r="14">
          <cell r="G14">
            <v>0</v>
          </cell>
        </row>
        <row r="56">
          <cell r="G56">
            <v>0</v>
          </cell>
        </row>
      </sheetData>
      <sheetData sheetId="13">
        <row r="3">
          <cell r="G3" t="str">
            <v/>
          </cell>
        </row>
      </sheetData>
      <sheetData sheetId="14">
        <row r="3">
          <cell r="G3">
            <v>0</v>
          </cell>
        </row>
      </sheetData>
      <sheetData sheetId="15">
        <row r="3">
          <cell r="G3" t="str">
            <v/>
          </cell>
        </row>
        <row r="13">
          <cell r="G13">
            <v>0</v>
          </cell>
        </row>
        <row r="62">
          <cell r="G62">
            <v>0</v>
          </cell>
        </row>
      </sheetData>
      <sheetData sheetId="16">
        <row r="3">
          <cell r="G3">
            <v>0</v>
          </cell>
        </row>
        <row r="62">
          <cell r="G62">
            <v>0</v>
          </cell>
        </row>
        <row r="112">
          <cell r="G112">
            <v>0</v>
          </cell>
        </row>
      </sheetData>
      <sheetData sheetId="17">
        <row r="10">
          <cell r="G10">
            <v>0</v>
          </cell>
        </row>
        <row r="56">
          <cell r="G56">
            <v>0</v>
          </cell>
        </row>
        <row r="150">
          <cell r="G150">
            <v>0</v>
          </cell>
        </row>
      </sheetData>
      <sheetData sheetId="18">
        <row r="3">
          <cell r="G3">
            <v>0</v>
          </cell>
        </row>
        <row r="102">
          <cell r="G102">
            <v>0</v>
          </cell>
        </row>
      </sheetData>
      <sheetData sheetId="19">
        <row r="3">
          <cell r="G3">
            <v>0</v>
          </cell>
        </row>
        <row r="60">
          <cell r="G60">
            <v>0</v>
          </cell>
        </row>
      </sheetData>
      <sheetData sheetId="20">
        <row r="3">
          <cell r="G3">
            <v>0</v>
          </cell>
        </row>
        <row r="276">
          <cell r="G276">
            <v>1</v>
          </cell>
        </row>
      </sheetData>
      <sheetData sheetId="21">
        <row r="10">
          <cell r="G10">
            <v>0</v>
          </cell>
        </row>
      </sheetData>
      <sheetData sheetId="22">
        <row r="3">
          <cell r="G3">
            <v>0</v>
          </cell>
        </row>
      </sheetData>
      <sheetData sheetId="23">
        <row r="3">
          <cell r="G3">
            <v>0</v>
          </cell>
        </row>
        <row r="67">
          <cell r="G67">
            <v>0</v>
          </cell>
        </row>
        <row r="132">
          <cell r="G132">
            <v>0</v>
          </cell>
        </row>
        <row r="240">
          <cell r="G240">
            <v>0</v>
          </cell>
        </row>
      </sheetData>
      <sheetData sheetId="24">
        <row r="3">
          <cell r="G3">
            <v>0</v>
          </cell>
        </row>
      </sheetData>
      <sheetData sheetId="25">
        <row r="3">
          <cell r="G3">
            <v>0</v>
          </cell>
        </row>
      </sheetData>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Scores"/>
      <sheetName val="CoverPg"/>
      <sheetName val="Sketch"/>
      <sheetName val="OF"/>
      <sheetName val="FieldF"/>
      <sheetName val="FieldS"/>
      <sheetName val="Matrix"/>
      <sheetName val="WS"/>
      <sheetName val="SR"/>
      <sheetName val="PR"/>
      <sheetName val="NR"/>
      <sheetName val="T"/>
      <sheetName val="CS"/>
      <sheetName val="OE"/>
      <sheetName val="INV"/>
      <sheetName val="FA"/>
      <sheetName val="FR"/>
      <sheetName val="AM"/>
      <sheetName val="WBF"/>
      <sheetName val="WBN"/>
      <sheetName val="SBM"/>
      <sheetName val="POL"/>
      <sheetName val="PD"/>
      <sheetName val="STR"/>
      <sheetName val="Sen"/>
      <sheetName val="CQ"/>
      <sheetName val="PU"/>
      <sheetName val="PS"/>
      <sheetName val="HGM"/>
      <sheetName val="Plants"/>
      <sheetName val="Verts"/>
      <sheetName val="InvertsNonNativ"/>
      <sheetName val="InvertsRare"/>
      <sheetName val="IBAs"/>
      <sheetName val="WQprob"/>
      <sheetName val="NWIstats"/>
      <sheetName val="HydricTa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v>0</v>
          </cell>
        </row>
        <row r="3">
          <cell r="G3">
            <v>0</v>
          </cell>
        </row>
        <row r="5">
          <cell r="D5">
            <v>0</v>
          </cell>
        </row>
        <row r="6">
          <cell r="D6">
            <v>1</v>
          </cell>
        </row>
        <row r="9">
          <cell r="D9">
            <v>0</v>
          </cell>
        </row>
        <row r="10">
          <cell r="D10">
            <v>0</v>
          </cell>
        </row>
        <row r="15">
          <cell r="G15">
            <v>0</v>
          </cell>
        </row>
        <row r="22">
          <cell r="G22">
            <v>0.3</v>
          </cell>
        </row>
        <row r="36">
          <cell r="G36">
            <v>0.25</v>
          </cell>
        </row>
        <row r="42">
          <cell r="G42">
            <v>0.6</v>
          </cell>
        </row>
        <row r="48">
          <cell r="G48">
            <v>0</v>
          </cell>
        </row>
        <row r="52">
          <cell r="D52">
            <v>0</v>
          </cell>
        </row>
        <row r="53">
          <cell r="G53">
            <v>1</v>
          </cell>
        </row>
        <row r="102">
          <cell r="G102">
            <v>0</v>
          </cell>
        </row>
        <row r="106">
          <cell r="G106">
            <v>1</v>
          </cell>
        </row>
        <row r="111">
          <cell r="G111">
            <v>0.5357142857142857</v>
          </cell>
        </row>
        <row r="112">
          <cell r="G112">
            <v>0.53749999999999998</v>
          </cell>
        </row>
        <row r="113">
          <cell r="G113" t="b">
            <v>1</v>
          </cell>
        </row>
      </sheetData>
      <sheetData sheetId="8">
        <row r="2">
          <cell r="D2">
            <v>0</v>
          </cell>
        </row>
        <row r="3">
          <cell r="G3" t="str">
            <v/>
          </cell>
        </row>
        <row r="9">
          <cell r="D9">
            <v>0</v>
          </cell>
        </row>
        <row r="10">
          <cell r="G10">
            <v>0</v>
          </cell>
        </row>
        <row r="17">
          <cell r="G17">
            <v>1</v>
          </cell>
        </row>
        <row r="24">
          <cell r="G24" t="str">
            <v/>
          </cell>
        </row>
        <row r="30">
          <cell r="G30">
            <v>0.75</v>
          </cell>
        </row>
        <row r="36">
          <cell r="G36">
            <v>0</v>
          </cell>
        </row>
        <row r="40">
          <cell r="D40">
            <v>0</v>
          </cell>
        </row>
        <row r="41">
          <cell r="G41">
            <v>1</v>
          </cell>
        </row>
        <row r="44">
          <cell r="G44" t="str">
            <v/>
          </cell>
        </row>
        <row r="50">
          <cell r="G50" t="str">
            <v/>
          </cell>
        </row>
        <row r="56">
          <cell r="G56">
            <v>1</v>
          </cell>
        </row>
        <row r="61">
          <cell r="G61">
            <v>0.5</v>
          </cell>
        </row>
        <row r="70">
          <cell r="G70">
            <v>1</v>
          </cell>
        </row>
        <row r="75">
          <cell r="G75">
            <v>0</v>
          </cell>
        </row>
        <row r="81">
          <cell r="G81">
            <v>1</v>
          </cell>
        </row>
        <row r="85">
          <cell r="G85">
            <v>1</v>
          </cell>
        </row>
        <row r="90">
          <cell r="G90">
            <v>0</v>
          </cell>
        </row>
        <row r="94">
          <cell r="G94">
            <v>0</v>
          </cell>
        </row>
        <row r="102">
          <cell r="G102">
            <v>0</v>
          </cell>
        </row>
        <row r="109">
          <cell r="D109">
            <v>0</v>
          </cell>
        </row>
        <row r="112">
          <cell r="G112" t="str">
            <v/>
          </cell>
        </row>
        <row r="117">
          <cell r="G117" t="str">
            <v/>
          </cell>
        </row>
        <row r="123">
          <cell r="G123">
            <v>0.83333333333333337</v>
          </cell>
        </row>
        <row r="130">
          <cell r="G130">
            <v>0.75</v>
          </cell>
        </row>
        <row r="136">
          <cell r="G136" t="str">
            <v/>
          </cell>
        </row>
        <row r="139">
          <cell r="G139" t="str">
            <v/>
          </cell>
        </row>
        <row r="146">
          <cell r="G146">
            <v>0</v>
          </cell>
        </row>
        <row r="150">
          <cell r="G150">
            <v>0</v>
          </cell>
        </row>
        <row r="154">
          <cell r="G154">
            <v>0.5</v>
          </cell>
        </row>
        <row r="160">
          <cell r="G160">
            <v>1</v>
          </cell>
        </row>
      </sheetData>
      <sheetData sheetId="9">
        <row r="2">
          <cell r="D2">
            <v>0</v>
          </cell>
        </row>
        <row r="4">
          <cell r="G4" t="str">
            <v/>
          </cell>
        </row>
        <row r="10">
          <cell r="G10" t="str">
            <v/>
          </cell>
        </row>
        <row r="14">
          <cell r="G14">
            <v>1</v>
          </cell>
        </row>
        <row r="19">
          <cell r="D19">
            <v>0</v>
          </cell>
        </row>
        <row r="20">
          <cell r="G20">
            <v>0</v>
          </cell>
        </row>
        <row r="27">
          <cell r="G27">
            <v>0.75</v>
          </cell>
        </row>
        <row r="34">
          <cell r="G34">
            <v>1</v>
          </cell>
        </row>
        <row r="41">
          <cell r="G41">
            <v>0.2</v>
          </cell>
        </row>
        <row r="47">
          <cell r="G47">
            <v>0.66666666666666663</v>
          </cell>
        </row>
        <row r="53">
          <cell r="G53">
            <v>0</v>
          </cell>
        </row>
        <row r="57">
          <cell r="D57">
            <v>0</v>
          </cell>
        </row>
        <row r="58">
          <cell r="G58">
            <v>1</v>
          </cell>
        </row>
        <row r="61">
          <cell r="G61" t="str">
            <v/>
          </cell>
        </row>
        <row r="67">
          <cell r="G67" t="str">
            <v/>
          </cell>
        </row>
        <row r="73">
          <cell r="G73">
            <v>1</v>
          </cell>
        </row>
        <row r="74">
          <cell r="G74">
            <v>1</v>
          </cell>
        </row>
        <row r="75">
          <cell r="G75">
            <v>1</v>
          </cell>
        </row>
        <row r="81">
          <cell r="G81">
            <v>1</v>
          </cell>
        </row>
        <row r="86">
          <cell r="G86">
            <v>0</v>
          </cell>
        </row>
        <row r="91">
          <cell r="G91">
            <v>0.5</v>
          </cell>
        </row>
        <row r="95">
          <cell r="G95">
            <v>1</v>
          </cell>
        </row>
        <row r="105">
          <cell r="G105">
            <v>1</v>
          </cell>
        </row>
        <row r="107">
          <cell r="G107">
            <v>1</v>
          </cell>
        </row>
        <row r="111">
          <cell r="G111">
            <v>1</v>
          </cell>
        </row>
        <row r="116">
          <cell r="G116">
            <v>1</v>
          </cell>
        </row>
        <row r="120">
          <cell r="G120">
            <v>0</v>
          </cell>
        </row>
        <row r="128">
          <cell r="G128">
            <v>0</v>
          </cell>
        </row>
        <row r="134">
          <cell r="D134">
            <v>0</v>
          </cell>
        </row>
        <row r="137">
          <cell r="G137" t="str">
            <v/>
          </cell>
        </row>
        <row r="141">
          <cell r="G141">
            <v>0.33333333333333331</v>
          </cell>
        </row>
        <row r="146">
          <cell r="G146">
            <v>0</v>
          </cell>
        </row>
        <row r="147">
          <cell r="G147" t="str">
            <v/>
          </cell>
        </row>
        <row r="150">
          <cell r="G150">
            <v>0.5</v>
          </cell>
        </row>
        <row r="156">
          <cell r="G156">
            <v>1</v>
          </cell>
        </row>
        <row r="160">
          <cell r="G160">
            <v>0.33333333333333331</v>
          </cell>
        </row>
        <row r="161">
          <cell r="G161">
            <v>0.65416666666666656</v>
          </cell>
        </row>
        <row r="162">
          <cell r="G162">
            <v>0.6</v>
          </cell>
        </row>
        <row r="163">
          <cell r="G163">
            <v>0.9</v>
          </cell>
        </row>
        <row r="164">
          <cell r="G164">
            <v>0.625</v>
          </cell>
        </row>
        <row r="165">
          <cell r="G165">
            <v>0.33333333333333331</v>
          </cell>
        </row>
      </sheetData>
      <sheetData sheetId="10">
        <row r="2">
          <cell r="D2">
            <v>0</v>
          </cell>
        </row>
        <row r="4">
          <cell r="G4">
            <v>1</v>
          </cell>
        </row>
        <row r="9">
          <cell r="D9">
            <v>0</v>
          </cell>
        </row>
        <row r="10">
          <cell r="G10">
            <v>0</v>
          </cell>
        </row>
        <row r="17">
          <cell r="G17">
            <v>0.5</v>
          </cell>
        </row>
        <row r="24">
          <cell r="G24">
            <v>1</v>
          </cell>
        </row>
        <row r="31">
          <cell r="G31">
            <v>0.25</v>
          </cell>
        </row>
        <row r="37">
          <cell r="G37">
            <v>0.8</v>
          </cell>
        </row>
        <row r="43">
          <cell r="G43">
            <v>0.45</v>
          </cell>
        </row>
        <row r="44">
          <cell r="G44">
            <v>0</v>
          </cell>
        </row>
        <row r="49">
          <cell r="G49">
            <v>0</v>
          </cell>
        </row>
        <row r="53">
          <cell r="D53">
            <v>0</v>
          </cell>
        </row>
        <row r="54">
          <cell r="G54">
            <v>1</v>
          </cell>
        </row>
        <row r="57">
          <cell r="G57" t="str">
            <v/>
          </cell>
        </row>
        <row r="63">
          <cell r="G63" t="str">
            <v/>
          </cell>
        </row>
        <row r="69">
          <cell r="G69">
            <v>1</v>
          </cell>
        </row>
        <row r="75">
          <cell r="G75">
            <v>1</v>
          </cell>
        </row>
        <row r="80">
          <cell r="G80">
            <v>0</v>
          </cell>
        </row>
        <row r="84">
          <cell r="G84">
            <v>0</v>
          </cell>
        </row>
        <row r="87">
          <cell r="G87">
            <v>0.25</v>
          </cell>
        </row>
        <row r="92">
          <cell r="G92">
            <v>0.66666666666666663</v>
          </cell>
        </row>
        <row r="101">
          <cell r="G101">
            <v>1</v>
          </cell>
        </row>
        <row r="103">
          <cell r="G103">
            <v>1</v>
          </cell>
        </row>
        <row r="104">
          <cell r="G104">
            <v>1</v>
          </cell>
        </row>
        <row r="107">
          <cell r="G107">
            <v>0</v>
          </cell>
        </row>
        <row r="111">
          <cell r="G111">
            <v>1</v>
          </cell>
        </row>
        <row r="116">
          <cell r="G116">
            <v>0</v>
          </cell>
        </row>
        <row r="120">
          <cell r="G120">
            <v>0</v>
          </cell>
        </row>
        <row r="129">
          <cell r="D129">
            <v>0</v>
          </cell>
        </row>
        <row r="132">
          <cell r="G132" t="str">
            <v/>
          </cell>
        </row>
        <row r="136">
          <cell r="G136">
            <v>0.5</v>
          </cell>
        </row>
        <row r="139">
          <cell r="G139">
            <v>0</v>
          </cell>
        </row>
        <row r="142">
          <cell r="G142">
            <v>0.66666666666666663</v>
          </cell>
        </row>
        <row r="147">
          <cell r="G147">
            <v>0</v>
          </cell>
        </row>
        <row r="148">
          <cell r="G148" t="str">
            <v/>
          </cell>
        </row>
        <row r="151">
          <cell r="G151">
            <v>0</v>
          </cell>
        </row>
        <row r="155">
          <cell r="G155">
            <v>0.5</v>
          </cell>
        </row>
        <row r="161">
          <cell r="G161">
            <v>1</v>
          </cell>
        </row>
        <row r="165">
          <cell r="G165">
            <v>0.66666666666666663</v>
          </cell>
        </row>
        <row r="166">
          <cell r="G166">
            <v>0.63749999999999996</v>
          </cell>
        </row>
        <row r="167">
          <cell r="G167">
            <v>6.25E-2</v>
          </cell>
        </row>
        <row r="168">
          <cell r="G168">
            <v>0.7055555555555556</v>
          </cell>
        </row>
        <row r="169">
          <cell r="G169">
            <v>0.66666666666666663</v>
          </cell>
        </row>
        <row r="170">
          <cell r="G170">
            <v>0.61759259259259258</v>
          </cell>
        </row>
      </sheetData>
      <sheetData sheetId="11">
        <row r="2">
          <cell r="D2">
            <v>0</v>
          </cell>
        </row>
        <row r="3">
          <cell r="D3">
            <v>0</v>
          </cell>
        </row>
        <row r="4">
          <cell r="D4">
            <v>0</v>
          </cell>
        </row>
        <row r="5">
          <cell r="D5">
            <v>0</v>
          </cell>
        </row>
        <row r="6">
          <cell r="G6">
            <v>0</v>
          </cell>
        </row>
        <row r="13">
          <cell r="G13">
            <v>0.66666666666666663</v>
          </cell>
        </row>
        <row r="19">
          <cell r="G19">
            <v>0</v>
          </cell>
        </row>
        <row r="24">
          <cell r="G24">
            <v>1</v>
          </cell>
        </row>
        <row r="28">
          <cell r="D28">
            <v>0</v>
          </cell>
        </row>
        <row r="29">
          <cell r="G29">
            <v>0</v>
          </cell>
        </row>
        <row r="37">
          <cell r="G37">
            <v>1</v>
          </cell>
        </row>
        <row r="42">
          <cell r="G42">
            <v>0</v>
          </cell>
        </row>
        <row r="46">
          <cell r="G46" t="b">
            <v>0</v>
          </cell>
        </row>
        <row r="47">
          <cell r="G47" t="b">
            <v>0</v>
          </cell>
        </row>
      </sheetData>
      <sheetData sheetId="12">
        <row r="4">
          <cell r="D4">
            <v>0</v>
          </cell>
        </row>
        <row r="15">
          <cell r="G15">
            <v>1</v>
          </cell>
        </row>
        <row r="21">
          <cell r="G21">
            <v>1</v>
          </cell>
        </row>
        <row r="28">
          <cell r="G28" t="str">
            <v/>
          </cell>
        </row>
        <row r="35">
          <cell r="G35">
            <v>0.75</v>
          </cell>
        </row>
        <row r="41">
          <cell r="G41">
            <v>0.25</v>
          </cell>
        </row>
        <row r="47">
          <cell r="G47">
            <v>0.25</v>
          </cell>
        </row>
        <row r="53">
          <cell r="G53">
            <v>0</v>
          </cell>
        </row>
        <row r="58">
          <cell r="G58">
            <v>0</v>
          </cell>
        </row>
        <row r="63">
          <cell r="G63">
            <v>1</v>
          </cell>
        </row>
        <row r="66">
          <cell r="G66" t="str">
            <v/>
          </cell>
        </row>
        <row r="72">
          <cell r="G72" t="str">
            <v/>
          </cell>
        </row>
        <row r="75">
          <cell r="G75" t="str">
            <v/>
          </cell>
        </row>
        <row r="81">
          <cell r="G81">
            <v>1</v>
          </cell>
        </row>
        <row r="82">
          <cell r="G82">
            <v>0</v>
          </cell>
        </row>
        <row r="88">
          <cell r="G88">
            <v>0.18181818181818182</v>
          </cell>
        </row>
        <row r="101">
          <cell r="G101">
            <v>1</v>
          </cell>
        </row>
        <row r="107">
          <cell r="G107">
            <v>1</v>
          </cell>
        </row>
        <row r="112">
          <cell r="G112">
            <v>0</v>
          </cell>
        </row>
        <row r="117">
          <cell r="G117">
            <v>0.5</v>
          </cell>
        </row>
        <row r="131">
          <cell r="G131">
            <v>0</v>
          </cell>
        </row>
        <row r="135">
          <cell r="G135">
            <v>1</v>
          </cell>
        </row>
        <row r="136">
          <cell r="G136">
            <v>1</v>
          </cell>
        </row>
        <row r="137">
          <cell r="G137">
            <v>0.31168831168831168</v>
          </cell>
        </row>
        <row r="138">
          <cell r="G138">
            <v>1</v>
          </cell>
        </row>
        <row r="139">
          <cell r="G139">
            <v>0.5</v>
          </cell>
        </row>
        <row r="140">
          <cell r="G140">
            <v>0.45</v>
          </cell>
        </row>
      </sheetData>
      <sheetData sheetId="13">
        <row r="2">
          <cell r="D2">
            <v>0</v>
          </cell>
        </row>
        <row r="3">
          <cell r="G3">
            <v>0</v>
          </cell>
        </row>
        <row r="4">
          <cell r="G4" t="str">
            <v/>
          </cell>
        </row>
        <row r="10">
          <cell r="G10" t="str">
            <v/>
          </cell>
        </row>
        <row r="16">
          <cell r="G16">
            <v>0</v>
          </cell>
        </row>
        <row r="21">
          <cell r="D21">
            <v>0</v>
          </cell>
        </row>
        <row r="22">
          <cell r="G22">
            <v>1</v>
          </cell>
        </row>
        <row r="29">
          <cell r="G29">
            <v>0</v>
          </cell>
        </row>
        <row r="36">
          <cell r="G36">
            <v>0.25</v>
          </cell>
        </row>
        <row r="42">
          <cell r="G42">
            <v>1</v>
          </cell>
        </row>
        <row r="48">
          <cell r="G48">
            <v>0.2</v>
          </cell>
        </row>
        <row r="54">
          <cell r="G54">
            <v>0.45</v>
          </cell>
        </row>
        <row r="55">
          <cell r="G55">
            <v>1</v>
          </cell>
        </row>
        <row r="59">
          <cell r="D59">
            <v>0</v>
          </cell>
        </row>
        <row r="60">
          <cell r="G60">
            <v>0</v>
          </cell>
        </row>
        <row r="63">
          <cell r="G63" t="str">
            <v/>
          </cell>
        </row>
        <row r="69">
          <cell r="G69" t="str">
            <v/>
          </cell>
        </row>
        <row r="72">
          <cell r="G72" t="str">
            <v/>
          </cell>
        </row>
        <row r="78">
          <cell r="G78">
            <v>1</v>
          </cell>
        </row>
        <row r="79">
          <cell r="G79">
            <v>0</v>
          </cell>
        </row>
        <row r="85">
          <cell r="G85">
            <v>1</v>
          </cell>
        </row>
        <row r="91">
          <cell r="G91">
            <v>1</v>
          </cell>
        </row>
        <row r="101">
          <cell r="G101">
            <v>0.5</v>
          </cell>
        </row>
        <row r="115">
          <cell r="G115">
            <v>1</v>
          </cell>
        </row>
        <row r="116">
          <cell r="G116">
            <v>1</v>
          </cell>
        </row>
        <row r="117">
          <cell r="G117">
            <v>1</v>
          </cell>
        </row>
        <row r="118">
          <cell r="G118">
            <v>0.48333333333333334</v>
          </cell>
        </row>
        <row r="119">
          <cell r="G119">
            <v>0.75</v>
          </cell>
        </row>
        <row r="120">
          <cell r="G120">
            <v>0.45714285714285718</v>
          </cell>
        </row>
        <row r="121">
          <cell r="G121">
            <v>0.7</v>
          </cell>
        </row>
      </sheetData>
      <sheetData sheetId="14">
        <row r="2">
          <cell r="D2">
            <v>0</v>
          </cell>
        </row>
        <row r="3">
          <cell r="D3">
            <v>0</v>
          </cell>
        </row>
        <row r="4">
          <cell r="G4" t="str">
            <v/>
          </cell>
        </row>
        <row r="10">
          <cell r="G10">
            <v>0</v>
          </cell>
        </row>
        <row r="15">
          <cell r="D15">
            <v>0</v>
          </cell>
        </row>
        <row r="16">
          <cell r="G16">
            <v>0</v>
          </cell>
        </row>
        <row r="23">
          <cell r="G23">
            <v>0.5</v>
          </cell>
        </row>
        <row r="30">
          <cell r="G30">
            <v>0.33333333333333331</v>
          </cell>
        </row>
        <row r="37">
          <cell r="G37" t="str">
            <v/>
          </cell>
        </row>
        <row r="43">
          <cell r="G43">
            <v>1</v>
          </cell>
        </row>
        <row r="47">
          <cell r="G47">
            <v>0.33333333333333331</v>
          </cell>
        </row>
        <row r="53">
          <cell r="G53">
            <v>0.4</v>
          </cell>
        </row>
        <row r="59">
          <cell r="G59">
            <v>0.5</v>
          </cell>
        </row>
        <row r="63">
          <cell r="G63">
            <v>0.45</v>
          </cell>
        </row>
        <row r="64">
          <cell r="G64">
            <v>0</v>
          </cell>
        </row>
        <row r="69">
          <cell r="G69" t="str">
            <v/>
          </cell>
        </row>
        <row r="75">
          <cell r="G75">
            <v>0</v>
          </cell>
        </row>
        <row r="76">
          <cell r="G76">
            <v>0.75</v>
          </cell>
        </row>
        <row r="82">
          <cell r="G82">
            <v>0.5</v>
          </cell>
        </row>
        <row r="88">
          <cell r="G88">
            <v>0.75</v>
          </cell>
        </row>
        <row r="94">
          <cell r="G94">
            <v>0</v>
          </cell>
        </row>
        <row r="100">
          <cell r="G100">
            <v>1</v>
          </cell>
        </row>
        <row r="103">
          <cell r="G103">
            <v>1</v>
          </cell>
        </row>
        <row r="108">
          <cell r="G108">
            <v>0</v>
          </cell>
        </row>
        <row r="111">
          <cell r="G111">
            <v>0.5</v>
          </cell>
        </row>
        <row r="115">
          <cell r="G115">
            <v>1</v>
          </cell>
        </row>
        <row r="122">
          <cell r="G122">
            <v>0.5</v>
          </cell>
        </row>
        <row r="128">
          <cell r="G128">
            <v>0</v>
          </cell>
        </row>
        <row r="136">
          <cell r="G136">
            <v>1</v>
          </cell>
        </row>
        <row r="139">
          <cell r="G139">
            <v>1</v>
          </cell>
        </row>
        <row r="140">
          <cell r="G140">
            <v>1</v>
          </cell>
        </row>
        <row r="141">
          <cell r="G141">
            <v>1</v>
          </cell>
        </row>
        <row r="144">
          <cell r="G144">
            <v>0</v>
          </cell>
        </row>
        <row r="148">
          <cell r="G148">
            <v>0.4</v>
          </cell>
        </row>
        <row r="155">
          <cell r="G155">
            <v>1</v>
          </cell>
        </row>
        <row r="159">
          <cell r="G159">
            <v>0.70972222222222225</v>
          </cell>
        </row>
        <row r="160">
          <cell r="G160">
            <v>0.82874999999999999</v>
          </cell>
        </row>
        <row r="161">
          <cell r="G161">
            <v>0.56278499278499283</v>
          </cell>
        </row>
        <row r="162">
          <cell r="G162" t="e">
            <v>#REF!</v>
          </cell>
        </row>
        <row r="163">
          <cell r="G163">
            <v>0.54677777777777781</v>
          </cell>
        </row>
        <row r="164">
          <cell r="G164">
            <v>0.37724747474747478</v>
          </cell>
        </row>
        <row r="166">
          <cell r="G166">
            <v>0.36666666666666664</v>
          </cell>
        </row>
        <row r="167">
          <cell r="G167">
            <v>0.44722222222222224</v>
          </cell>
        </row>
        <row r="168">
          <cell r="G168">
            <v>0.75</v>
          </cell>
        </row>
        <row r="169">
          <cell r="G169">
            <v>0.25</v>
          </cell>
        </row>
        <row r="170">
          <cell r="G170">
            <v>0.58333333333333337</v>
          </cell>
        </row>
        <row r="171">
          <cell r="G171">
            <v>0.25</v>
          </cell>
        </row>
        <row r="172">
          <cell r="G172">
            <v>1</v>
          </cell>
        </row>
        <row r="173">
          <cell r="G173">
            <v>0.61111111111111116</v>
          </cell>
        </row>
      </sheetData>
      <sheetData sheetId="15">
        <row r="2">
          <cell r="D2">
            <v>0</v>
          </cell>
        </row>
        <row r="4">
          <cell r="D4">
            <v>0</v>
          </cell>
        </row>
        <row r="5">
          <cell r="D5">
            <v>0</v>
          </cell>
        </row>
        <row r="6">
          <cell r="D6">
            <v>1</v>
          </cell>
        </row>
        <row r="8">
          <cell r="G8" t="str">
            <v/>
          </cell>
        </row>
        <row r="14">
          <cell r="G14" t="str">
            <v/>
          </cell>
        </row>
        <row r="20">
          <cell r="D20">
            <v>0</v>
          </cell>
        </row>
        <row r="21">
          <cell r="G21">
            <v>1</v>
          </cell>
        </row>
        <row r="28">
          <cell r="G28" t="str">
            <v/>
          </cell>
        </row>
        <row r="38">
          <cell r="G38">
            <v>1</v>
          </cell>
        </row>
        <row r="44">
          <cell r="G44">
            <v>0.45</v>
          </cell>
        </row>
        <row r="45">
          <cell r="G45">
            <v>0</v>
          </cell>
        </row>
        <row r="50">
          <cell r="G50">
            <v>1</v>
          </cell>
        </row>
        <row r="58">
          <cell r="G58" t="str">
            <v/>
          </cell>
        </row>
        <row r="64">
          <cell r="G64" t="str">
            <v/>
          </cell>
        </row>
        <row r="70">
          <cell r="G70">
            <v>0</v>
          </cell>
        </row>
        <row r="76">
          <cell r="G76">
            <v>1</v>
          </cell>
        </row>
        <row r="79">
          <cell r="G79">
            <v>1</v>
          </cell>
        </row>
        <row r="82">
          <cell r="G82">
            <v>0.5</v>
          </cell>
        </row>
        <row r="91">
          <cell r="G91">
            <v>0</v>
          </cell>
        </row>
        <row r="93">
          <cell r="G93">
            <v>0.5</v>
          </cell>
        </row>
        <row r="99">
          <cell r="G99">
            <v>0</v>
          </cell>
        </row>
        <row r="107">
          <cell r="G107">
            <v>1</v>
          </cell>
        </row>
        <row r="115">
          <cell r="G115">
            <v>0</v>
          </cell>
        </row>
        <row r="118">
          <cell r="G118">
            <v>1</v>
          </cell>
        </row>
        <row r="119">
          <cell r="G119">
            <v>1</v>
          </cell>
        </row>
        <row r="123">
          <cell r="G123">
            <v>1</v>
          </cell>
        </row>
        <row r="124">
          <cell r="G124" t="e">
            <v>#REF!</v>
          </cell>
        </row>
        <row r="126">
          <cell r="G126" t="b">
            <v>0</v>
          </cell>
        </row>
        <row r="127">
          <cell r="G127">
            <v>0.625</v>
          </cell>
        </row>
        <row r="128">
          <cell r="G128">
            <v>0.5</v>
          </cell>
        </row>
        <row r="129">
          <cell r="G129">
            <v>0.81666666666666676</v>
          </cell>
        </row>
        <row r="130">
          <cell r="G130">
            <v>0</v>
          </cell>
        </row>
      </sheetData>
      <sheetData sheetId="16">
        <row r="2">
          <cell r="D2">
            <v>0</v>
          </cell>
        </row>
        <row r="3">
          <cell r="D3">
            <v>1</v>
          </cell>
        </row>
        <row r="4">
          <cell r="D4">
            <v>0</v>
          </cell>
        </row>
        <row r="22">
          <cell r="D22">
            <v>0</v>
          </cell>
        </row>
        <row r="23">
          <cell r="G23">
            <v>1</v>
          </cell>
        </row>
        <row r="35">
          <cell r="D35">
            <v>0</v>
          </cell>
        </row>
        <row r="37">
          <cell r="G37">
            <v>0</v>
          </cell>
        </row>
        <row r="44">
          <cell r="G44">
            <v>1</v>
          </cell>
        </row>
        <row r="48">
          <cell r="G48">
            <v>0.75</v>
          </cell>
        </row>
        <row r="54">
          <cell r="G54">
            <v>0</v>
          </cell>
        </row>
        <row r="58">
          <cell r="G58">
            <v>0.45</v>
          </cell>
        </row>
        <row r="59">
          <cell r="G59">
            <v>1</v>
          </cell>
        </row>
        <row r="63">
          <cell r="D63">
            <v>0</v>
          </cell>
        </row>
        <row r="64">
          <cell r="G64" t="str">
            <v/>
          </cell>
        </row>
        <row r="67">
          <cell r="G67" t="str">
            <v/>
          </cell>
        </row>
        <row r="73">
          <cell r="G73" t="str">
            <v/>
          </cell>
        </row>
        <row r="79">
          <cell r="G79">
            <v>1</v>
          </cell>
        </row>
        <row r="82">
          <cell r="G82">
            <v>1</v>
          </cell>
        </row>
        <row r="85">
          <cell r="G85">
            <v>0</v>
          </cell>
        </row>
        <row r="88">
          <cell r="G88">
            <v>1</v>
          </cell>
        </row>
        <row r="89">
          <cell r="G89">
            <v>1</v>
          </cell>
        </row>
        <row r="96">
          <cell r="D96">
            <v>1</v>
          </cell>
        </row>
        <row r="97">
          <cell r="G97">
            <v>0.75</v>
          </cell>
        </row>
        <row r="106">
          <cell r="G106">
            <v>0</v>
          </cell>
        </row>
        <row r="111">
          <cell r="D111">
            <v>1</v>
          </cell>
        </row>
        <row r="112">
          <cell r="D112" t="e">
            <v>#REF!</v>
          </cell>
        </row>
        <row r="114">
          <cell r="G114" t="b">
            <v>0</v>
          </cell>
        </row>
        <row r="115">
          <cell r="G115">
            <v>0.69000000000000006</v>
          </cell>
        </row>
        <row r="116">
          <cell r="G116">
            <v>0.91666666666666663</v>
          </cell>
        </row>
        <row r="117">
          <cell r="G117">
            <v>1</v>
          </cell>
        </row>
        <row r="118">
          <cell r="G118">
            <v>0.625</v>
          </cell>
        </row>
      </sheetData>
      <sheetData sheetId="17">
        <row r="6">
          <cell r="G6">
            <v>0</v>
          </cell>
        </row>
        <row r="20">
          <cell r="G20">
            <v>1</v>
          </cell>
        </row>
        <row r="27">
          <cell r="G27" t="str">
            <v/>
          </cell>
        </row>
        <row r="33">
          <cell r="G33">
            <v>1</v>
          </cell>
        </row>
        <row r="37">
          <cell r="G37">
            <v>0.25</v>
          </cell>
        </row>
        <row r="43">
          <cell r="G43">
            <v>1</v>
          </cell>
        </row>
        <row r="48">
          <cell r="G48">
            <v>0.5</v>
          </cell>
        </row>
        <row r="49">
          <cell r="G49">
            <v>0</v>
          </cell>
        </row>
        <row r="54">
          <cell r="G54" t="str">
            <v/>
          </cell>
        </row>
        <row r="60">
          <cell r="G60">
            <v>0.25</v>
          </cell>
        </row>
        <row r="67">
          <cell r="G67">
            <v>1</v>
          </cell>
        </row>
        <row r="70">
          <cell r="G70">
            <v>0</v>
          </cell>
        </row>
        <row r="74">
          <cell r="G74">
            <v>0.5</v>
          </cell>
        </row>
        <row r="80">
          <cell r="G80">
            <v>0.18181818181818182</v>
          </cell>
        </row>
        <row r="93">
          <cell r="G93">
            <v>0.66666666666666663</v>
          </cell>
        </row>
        <row r="167">
          <cell r="G167">
            <v>0.4</v>
          </cell>
        </row>
        <row r="180">
          <cell r="G180">
            <v>0</v>
          </cell>
        </row>
        <row r="188">
          <cell r="G188">
            <v>0</v>
          </cell>
        </row>
        <row r="194">
          <cell r="G194">
            <v>0.5</v>
          </cell>
        </row>
        <row r="200">
          <cell r="G200">
            <v>0.2</v>
          </cell>
        </row>
        <row r="207">
          <cell r="G207">
            <v>1</v>
          </cell>
        </row>
        <row r="214">
          <cell r="G214" t="str">
            <v/>
          </cell>
        </row>
        <row r="220">
          <cell r="G220">
            <v>0</v>
          </cell>
        </row>
        <row r="224">
          <cell r="G224">
            <v>1</v>
          </cell>
        </row>
        <row r="228">
          <cell r="G228">
            <v>0</v>
          </cell>
        </row>
        <row r="232">
          <cell r="G232">
            <v>0</v>
          </cell>
        </row>
        <row r="237">
          <cell r="G237">
            <v>0.66666666666666663</v>
          </cell>
        </row>
        <row r="244">
          <cell r="G244">
            <v>1</v>
          </cell>
        </row>
      </sheetData>
      <sheetData sheetId="18">
        <row r="2">
          <cell r="D2">
            <v>0</v>
          </cell>
        </row>
        <row r="3">
          <cell r="D3">
            <v>1</v>
          </cell>
        </row>
        <row r="4">
          <cell r="D4">
            <v>0</v>
          </cell>
        </row>
        <row r="6">
          <cell r="G6" t="str">
            <v/>
          </cell>
        </row>
        <row r="12">
          <cell r="G12" t="str">
            <v/>
          </cell>
        </row>
        <row r="18">
          <cell r="G18">
            <v>0</v>
          </cell>
        </row>
        <row r="23">
          <cell r="D23">
            <v>0</v>
          </cell>
        </row>
        <row r="24">
          <cell r="G24">
            <v>0.3</v>
          </cell>
        </row>
        <row r="30">
          <cell r="G30">
            <v>0.75</v>
          </cell>
        </row>
        <row r="37">
          <cell r="G37">
            <v>0</v>
          </cell>
        </row>
        <row r="44">
          <cell r="G44">
            <v>0.16666666666666666</v>
          </cell>
        </row>
        <row r="50">
          <cell r="G50">
            <v>0.5</v>
          </cell>
        </row>
        <row r="54">
          <cell r="G54">
            <v>0.45</v>
          </cell>
        </row>
        <row r="55">
          <cell r="G55" t="str">
            <v/>
          </cell>
        </row>
        <row r="65">
          <cell r="G65">
            <v>1</v>
          </cell>
        </row>
        <row r="71">
          <cell r="D71">
            <v>1</v>
          </cell>
        </row>
        <row r="72">
          <cell r="G72">
            <v>1</v>
          </cell>
        </row>
        <row r="78">
          <cell r="G78">
            <v>0.75</v>
          </cell>
        </row>
        <row r="84">
          <cell r="G84">
            <v>0.3</v>
          </cell>
        </row>
        <row r="90">
          <cell r="G90">
            <v>0</v>
          </cell>
        </row>
        <row r="96">
          <cell r="G96">
            <v>1</v>
          </cell>
        </row>
        <row r="101">
          <cell r="G101">
            <v>1</v>
          </cell>
        </row>
        <row r="102">
          <cell r="G102">
            <v>0</v>
          </cell>
        </row>
        <row r="107">
          <cell r="G107">
            <v>0.33333333333333331</v>
          </cell>
        </row>
        <row r="112">
          <cell r="G112">
            <v>0</v>
          </cell>
        </row>
        <row r="118">
          <cell r="G118">
            <v>0</v>
          </cell>
        </row>
        <row r="123">
          <cell r="G123">
            <v>0.2</v>
          </cell>
        </row>
        <row r="130">
          <cell r="G130">
            <v>1</v>
          </cell>
        </row>
        <row r="137">
          <cell r="G137">
            <v>0.5</v>
          </cell>
        </row>
        <row r="141">
          <cell r="G141">
            <v>0</v>
          </cell>
        </row>
        <row r="145">
          <cell r="G145">
            <v>0.9</v>
          </cell>
        </row>
        <row r="152">
          <cell r="G152" t="str">
            <v/>
          </cell>
        </row>
        <row r="159">
          <cell r="D159">
            <v>0</v>
          </cell>
        </row>
        <row r="162">
          <cell r="G162">
            <v>0</v>
          </cell>
        </row>
        <row r="164">
          <cell r="G164" t="str">
            <v/>
          </cell>
        </row>
        <row r="170">
          <cell r="G170">
            <v>0</v>
          </cell>
        </row>
        <row r="174">
          <cell r="G174">
            <v>0.4</v>
          </cell>
        </row>
        <row r="181">
          <cell r="G181">
            <v>1</v>
          </cell>
        </row>
        <row r="186">
          <cell r="G186">
            <v>0.48333333333333334</v>
          </cell>
        </row>
        <row r="187">
          <cell r="G187">
            <v>0.42499999999999999</v>
          </cell>
        </row>
        <row r="188">
          <cell r="G188">
            <v>0.68333333333333324</v>
          </cell>
        </row>
        <row r="189">
          <cell r="G189">
            <v>0.5</v>
          </cell>
        </row>
        <row r="190">
          <cell r="G190">
            <v>0.3</v>
          </cell>
        </row>
        <row r="191">
          <cell r="G191">
            <v>0.51249999999999996</v>
          </cell>
        </row>
        <row r="192">
          <cell r="G192">
            <v>0.33333333333333331</v>
          </cell>
        </row>
      </sheetData>
      <sheetData sheetId="19">
        <row r="2">
          <cell r="D2">
            <v>0</v>
          </cell>
        </row>
        <row r="3">
          <cell r="D3">
            <v>0</v>
          </cell>
        </row>
        <row r="10">
          <cell r="G10">
            <v>0</v>
          </cell>
        </row>
        <row r="16">
          <cell r="G16">
            <v>0.8</v>
          </cell>
        </row>
        <row r="23">
          <cell r="G23">
            <v>1</v>
          </cell>
        </row>
        <row r="30">
          <cell r="G30">
            <v>0.25</v>
          </cell>
        </row>
        <row r="36">
          <cell r="G36">
            <v>0.33333333333333331</v>
          </cell>
        </row>
        <row r="42">
          <cell r="G42">
            <v>0.5</v>
          </cell>
        </row>
        <row r="49">
          <cell r="G49">
            <v>0.45</v>
          </cell>
        </row>
        <row r="50">
          <cell r="G50" t="str">
            <v/>
          </cell>
        </row>
        <row r="56">
          <cell r="G56" t="str">
            <v/>
          </cell>
        </row>
        <row r="69">
          <cell r="G69">
            <v>0</v>
          </cell>
        </row>
        <row r="73">
          <cell r="D73">
            <v>1</v>
          </cell>
        </row>
        <row r="74">
          <cell r="G74">
            <v>0.75</v>
          </cell>
        </row>
        <row r="80">
          <cell r="G80">
            <v>0</v>
          </cell>
        </row>
        <row r="93">
          <cell r="G93">
            <v>0.5</v>
          </cell>
        </row>
        <row r="99">
          <cell r="G99">
            <v>0.25</v>
          </cell>
        </row>
        <row r="105">
          <cell r="G105">
            <v>1</v>
          </cell>
        </row>
        <row r="108">
          <cell r="G108">
            <v>1</v>
          </cell>
        </row>
        <row r="109">
          <cell r="D109">
            <v>0</v>
          </cell>
        </row>
        <row r="113">
          <cell r="G113">
            <v>1</v>
          </cell>
        </row>
        <row r="118">
          <cell r="G118">
            <v>0</v>
          </cell>
        </row>
        <row r="123">
          <cell r="G123">
            <v>0.33333333333333331</v>
          </cell>
        </row>
        <row r="128">
          <cell r="G128">
            <v>0.5</v>
          </cell>
        </row>
        <row r="134">
          <cell r="G134">
            <v>0</v>
          </cell>
        </row>
        <row r="142">
          <cell r="G142">
            <v>0.5</v>
          </cell>
        </row>
        <row r="148">
          <cell r="G148">
            <v>0.2</v>
          </cell>
        </row>
        <row r="155">
          <cell r="G155">
            <v>1</v>
          </cell>
        </row>
        <row r="162">
          <cell r="G162">
            <v>0.5</v>
          </cell>
        </row>
        <row r="163">
          <cell r="D163">
            <v>0</v>
          </cell>
        </row>
        <row r="166">
          <cell r="G166">
            <v>0.9</v>
          </cell>
        </row>
        <row r="179">
          <cell r="G179">
            <v>0.4</v>
          </cell>
        </row>
        <row r="192">
          <cell r="G192" t="str">
            <v/>
          </cell>
        </row>
        <row r="198">
          <cell r="G198">
            <v>0</v>
          </cell>
        </row>
        <row r="199">
          <cell r="G199">
            <v>0</v>
          </cell>
        </row>
        <row r="204">
          <cell r="G204">
            <v>0.4</v>
          </cell>
        </row>
        <row r="211">
          <cell r="G211">
            <v>1</v>
          </cell>
        </row>
        <row r="216">
          <cell r="G216" t="b">
            <v>0</v>
          </cell>
        </row>
        <row r="217">
          <cell r="G217" t="b">
            <v>0</v>
          </cell>
        </row>
        <row r="218">
          <cell r="G218">
            <v>0.5</v>
          </cell>
        </row>
        <row r="219">
          <cell r="G219">
            <v>0.65</v>
          </cell>
        </row>
        <row r="220">
          <cell r="G220">
            <v>0.39666666666666667</v>
          </cell>
        </row>
        <row r="221">
          <cell r="G221">
            <v>0.5625</v>
          </cell>
        </row>
        <row r="222">
          <cell r="G222">
            <v>0.4375</v>
          </cell>
        </row>
        <row r="223">
          <cell r="G223">
            <v>0.5</v>
          </cell>
        </row>
      </sheetData>
      <sheetData sheetId="20">
        <row r="2">
          <cell r="D2">
            <v>0</v>
          </cell>
        </row>
        <row r="3">
          <cell r="G3" t="str">
            <v/>
          </cell>
        </row>
        <row r="4">
          <cell r="D4">
            <v>0</v>
          </cell>
        </row>
        <row r="9">
          <cell r="G9" t="str">
            <v/>
          </cell>
        </row>
        <row r="16">
          <cell r="D16">
            <v>0</v>
          </cell>
        </row>
        <row r="22">
          <cell r="G22">
            <v>1</v>
          </cell>
        </row>
        <row r="25">
          <cell r="G25">
            <v>0</v>
          </cell>
        </row>
        <row r="31">
          <cell r="G31">
            <v>0</v>
          </cell>
        </row>
        <row r="37">
          <cell r="G37" t="str">
            <v/>
          </cell>
        </row>
        <row r="41">
          <cell r="G41">
            <v>0.22727272727272727</v>
          </cell>
        </row>
        <row r="54">
          <cell r="G54">
            <v>1</v>
          </cell>
        </row>
        <row r="57">
          <cell r="G57">
            <v>1.6666666666666667</v>
          </cell>
        </row>
        <row r="62">
          <cell r="G62">
            <v>0</v>
          </cell>
        </row>
        <row r="66">
          <cell r="G66">
            <v>1</v>
          </cell>
        </row>
        <row r="69">
          <cell r="G69">
            <v>0</v>
          </cell>
        </row>
        <row r="72">
          <cell r="G72">
            <v>0.5</v>
          </cell>
        </row>
        <row r="77">
          <cell r="D77">
            <v>1</v>
          </cell>
        </row>
        <row r="78">
          <cell r="G78">
            <v>0</v>
          </cell>
        </row>
        <row r="79">
          <cell r="G79">
            <v>1</v>
          </cell>
        </row>
        <row r="84">
          <cell r="G84">
            <v>0</v>
          </cell>
        </row>
        <row r="89">
          <cell r="G89">
            <v>0.33333333333333331</v>
          </cell>
        </row>
        <row r="94">
          <cell r="G94">
            <v>0.4</v>
          </cell>
        </row>
        <row r="100">
          <cell r="G100">
            <v>0</v>
          </cell>
        </row>
        <row r="108">
          <cell r="G108">
            <v>0</v>
          </cell>
        </row>
        <row r="109">
          <cell r="G109">
            <v>0.4</v>
          </cell>
        </row>
        <row r="116">
          <cell r="G116">
            <v>0</v>
          </cell>
        </row>
        <row r="122">
          <cell r="G122">
            <v>0</v>
          </cell>
        </row>
        <row r="127">
          <cell r="G127">
            <v>0.25</v>
          </cell>
        </row>
        <row r="133">
          <cell r="G133">
            <v>0.25</v>
          </cell>
        </row>
        <row r="139">
          <cell r="G139">
            <v>0</v>
          </cell>
        </row>
        <row r="147">
          <cell r="G147">
            <v>0</v>
          </cell>
        </row>
        <row r="153">
          <cell r="G153">
            <v>0.5</v>
          </cell>
        </row>
        <row r="159">
          <cell r="G159">
            <v>0</v>
          </cell>
        </row>
        <row r="166">
          <cell r="G166">
            <v>1</v>
          </cell>
        </row>
        <row r="173">
          <cell r="G173">
            <v>0.83333333333333337</v>
          </cell>
        </row>
        <row r="180">
          <cell r="G180" t="str">
            <v/>
          </cell>
        </row>
        <row r="198">
          <cell r="G198">
            <v>0</v>
          </cell>
        </row>
        <row r="199">
          <cell r="G199">
            <v>0</v>
          </cell>
        </row>
        <row r="204">
          <cell r="G204">
            <v>0.4</v>
          </cell>
        </row>
        <row r="211">
          <cell r="G211">
            <v>1</v>
          </cell>
        </row>
        <row r="216">
          <cell r="G216">
            <v>0.54181818181818175</v>
          </cell>
        </row>
        <row r="217">
          <cell r="G217">
            <v>0.19166666666666665</v>
          </cell>
        </row>
        <row r="218">
          <cell r="G218">
            <v>0.1643939393939394</v>
          </cell>
        </row>
        <row r="219">
          <cell r="G219">
            <v>0.61111111111111116</v>
          </cell>
        </row>
      </sheetData>
      <sheetData sheetId="21">
        <row r="3">
          <cell r="G3" t="str">
            <v/>
          </cell>
        </row>
        <row r="9">
          <cell r="G9">
            <v>0.25</v>
          </cell>
        </row>
        <row r="18">
          <cell r="G18">
            <v>0</v>
          </cell>
        </row>
        <row r="22">
          <cell r="G22">
            <v>0</v>
          </cell>
        </row>
        <row r="31">
          <cell r="G31">
            <v>0</v>
          </cell>
        </row>
        <row r="36">
          <cell r="G36" t="str">
            <v/>
          </cell>
        </row>
        <row r="42">
          <cell r="G42">
            <v>0.24090909090909091</v>
          </cell>
        </row>
        <row r="55">
          <cell r="G55">
            <v>0</v>
          </cell>
        </row>
        <row r="61">
          <cell r="G61">
            <v>0</v>
          </cell>
        </row>
        <row r="64">
          <cell r="G64">
            <v>0.33333333333333331</v>
          </cell>
        </row>
        <row r="69">
          <cell r="G69">
            <v>0</v>
          </cell>
        </row>
        <row r="72">
          <cell r="G72">
            <v>0</v>
          </cell>
        </row>
        <row r="76">
          <cell r="G76">
            <v>0</v>
          </cell>
        </row>
        <row r="77">
          <cell r="G77">
            <v>0.5</v>
          </cell>
        </row>
        <row r="83">
          <cell r="G83">
            <v>0</v>
          </cell>
        </row>
        <row r="89">
          <cell r="G89">
            <v>0.5</v>
          </cell>
        </row>
        <row r="95">
          <cell r="G95">
            <v>0.9</v>
          </cell>
        </row>
        <row r="102">
          <cell r="G102">
            <v>1</v>
          </cell>
        </row>
        <row r="105">
          <cell r="G105">
            <v>0</v>
          </cell>
        </row>
        <row r="107">
          <cell r="G107">
            <v>0</v>
          </cell>
        </row>
        <row r="113">
          <cell r="G113">
            <v>0</v>
          </cell>
        </row>
        <row r="118">
          <cell r="G118">
            <v>0</v>
          </cell>
        </row>
        <row r="122">
          <cell r="G122">
            <v>0</v>
          </cell>
        </row>
        <row r="123">
          <cell r="G123" t="e">
            <v>#REF!</v>
          </cell>
        </row>
      </sheetData>
      <sheetData sheetId="22">
        <row r="2">
          <cell r="D2">
            <v>0</v>
          </cell>
        </row>
        <row r="3">
          <cell r="G3" t="str">
            <v/>
          </cell>
        </row>
        <row r="9">
          <cell r="G9" t="str">
            <v/>
          </cell>
        </row>
        <row r="15">
          <cell r="G15" t="str">
            <v/>
          </cell>
        </row>
        <row r="21">
          <cell r="G21" t="str">
            <v/>
          </cell>
        </row>
        <row r="28">
          <cell r="G28">
            <v>0</v>
          </cell>
        </row>
        <row r="33">
          <cell r="G33">
            <v>1</v>
          </cell>
        </row>
        <row r="37">
          <cell r="G37">
            <v>0.25</v>
          </cell>
        </row>
        <row r="43">
          <cell r="G43">
            <v>0</v>
          </cell>
        </row>
        <row r="46">
          <cell r="G46" t="str">
            <v/>
          </cell>
        </row>
        <row r="50">
          <cell r="G50">
            <v>0</v>
          </cell>
        </row>
        <row r="60">
          <cell r="G60">
            <v>1</v>
          </cell>
        </row>
        <row r="69">
          <cell r="G69">
            <v>0</v>
          </cell>
        </row>
        <row r="74">
          <cell r="G74" t="str">
            <v/>
          </cell>
        </row>
        <row r="80">
          <cell r="G80" t="str">
            <v/>
          </cell>
        </row>
        <row r="86">
          <cell r="G86" t="str">
            <v/>
          </cell>
        </row>
        <row r="92">
          <cell r="G92">
            <v>1</v>
          </cell>
        </row>
        <row r="95">
          <cell r="G95">
            <v>0</v>
          </cell>
        </row>
        <row r="100">
          <cell r="G100">
            <v>0.5</v>
          </cell>
        </row>
        <row r="105">
          <cell r="G105">
            <v>1</v>
          </cell>
        </row>
        <row r="109">
          <cell r="G109">
            <v>1</v>
          </cell>
        </row>
        <row r="114">
          <cell r="G114">
            <v>0.75</v>
          </cell>
        </row>
        <row r="120">
          <cell r="G120">
            <v>0</v>
          </cell>
        </row>
        <row r="125">
          <cell r="G125">
            <v>0.66666666666666663</v>
          </cell>
        </row>
        <row r="130">
          <cell r="G130">
            <v>1</v>
          </cell>
        </row>
        <row r="135">
          <cell r="G135">
            <v>0.5</v>
          </cell>
        </row>
        <row r="141">
          <cell r="G141">
            <v>0</v>
          </cell>
        </row>
        <row r="149">
          <cell r="G149">
            <v>0.2</v>
          </cell>
        </row>
        <row r="156">
          <cell r="G156">
            <v>1</v>
          </cell>
        </row>
        <row r="163">
          <cell r="G163">
            <v>0.4</v>
          </cell>
        </row>
        <row r="170">
          <cell r="D170">
            <v>0</v>
          </cell>
        </row>
        <row r="171">
          <cell r="D171">
            <v>0</v>
          </cell>
        </row>
        <row r="174">
          <cell r="G174">
            <v>0</v>
          </cell>
        </row>
        <row r="178">
          <cell r="G178">
            <v>0</v>
          </cell>
        </row>
        <row r="183">
          <cell r="G183" t="e">
            <v>#REF!</v>
          </cell>
        </row>
        <row r="188">
          <cell r="G188">
            <v>0.4</v>
          </cell>
        </row>
        <row r="195">
          <cell r="G195">
            <v>1</v>
          </cell>
        </row>
        <row r="199">
          <cell r="G199">
            <v>0.48498737373737372</v>
          </cell>
        </row>
        <row r="200">
          <cell r="G200" t="e">
            <v>#REF!</v>
          </cell>
        </row>
        <row r="201">
          <cell r="G201">
            <v>0.37724747474747478</v>
          </cell>
        </row>
        <row r="203">
          <cell r="G203">
            <v>0.33333333333333331</v>
          </cell>
        </row>
        <row r="204">
          <cell r="G204">
            <v>0.42142857142857143</v>
          </cell>
        </row>
        <row r="205">
          <cell r="G205">
            <v>0.67222222222222217</v>
          </cell>
        </row>
      </sheetData>
      <sheetData sheetId="23">
        <row r="2">
          <cell r="G2">
            <v>0.2</v>
          </cell>
        </row>
        <row r="3">
          <cell r="G3">
            <v>0</v>
          </cell>
        </row>
        <row r="4">
          <cell r="G4">
            <v>0</v>
          </cell>
        </row>
        <row r="5">
          <cell r="G5">
            <v>0</v>
          </cell>
        </row>
        <row r="7">
          <cell r="G7">
            <v>0</v>
          </cell>
        </row>
        <row r="8">
          <cell r="G8">
            <v>0.2</v>
          </cell>
        </row>
        <row r="9">
          <cell r="G9">
            <v>0</v>
          </cell>
        </row>
        <row r="10">
          <cell r="G10">
            <v>0</v>
          </cell>
        </row>
        <row r="15">
          <cell r="G15">
            <v>0</v>
          </cell>
        </row>
        <row r="19">
          <cell r="G19">
            <v>0.25</v>
          </cell>
        </row>
        <row r="25">
          <cell r="G25">
            <v>0</v>
          </cell>
        </row>
        <row r="30">
          <cell r="G30">
            <v>0.66666666666666663</v>
          </cell>
        </row>
        <row r="35">
          <cell r="G35">
            <v>1</v>
          </cell>
        </row>
        <row r="40">
          <cell r="G40">
            <v>0.5</v>
          </cell>
        </row>
        <row r="46">
          <cell r="G46">
            <v>1</v>
          </cell>
        </row>
        <row r="54">
          <cell r="G54">
            <v>0.6</v>
          </cell>
        </row>
        <row r="61">
          <cell r="G61">
            <v>1</v>
          </cell>
        </row>
        <row r="62">
          <cell r="G62">
            <v>0</v>
          </cell>
        </row>
      </sheetData>
      <sheetData sheetId="24">
        <row r="3">
          <cell r="D3">
            <v>0</v>
          </cell>
        </row>
        <row r="4">
          <cell r="D4">
            <v>0</v>
          </cell>
        </row>
        <row r="5">
          <cell r="G5">
            <v>1</v>
          </cell>
        </row>
        <row r="12">
          <cell r="G12">
            <v>0.25</v>
          </cell>
        </row>
        <row r="18">
          <cell r="G18">
            <v>0.25</v>
          </cell>
        </row>
        <row r="29">
          <cell r="G29">
            <v>0</v>
          </cell>
        </row>
        <row r="33">
          <cell r="D33">
            <v>0</v>
          </cell>
        </row>
        <row r="34">
          <cell r="G34">
            <v>1</v>
          </cell>
        </row>
        <row r="37">
          <cell r="G37" t="str">
            <v/>
          </cell>
        </row>
        <row r="40">
          <cell r="G40" t="str">
            <v/>
          </cell>
        </row>
        <row r="48">
          <cell r="G48" t="str">
            <v/>
          </cell>
        </row>
        <row r="52">
          <cell r="G52" t="str">
            <v/>
          </cell>
        </row>
        <row r="56">
          <cell r="G56" t="str">
            <v/>
          </cell>
        </row>
        <row r="62">
          <cell r="G62">
            <v>1</v>
          </cell>
        </row>
        <row r="68">
          <cell r="G68">
            <v>0</v>
          </cell>
        </row>
        <row r="71">
          <cell r="G71">
            <v>0</v>
          </cell>
        </row>
        <row r="80">
          <cell r="G80" t="str">
            <v/>
          </cell>
        </row>
        <row r="86">
          <cell r="G86" t="str">
            <v/>
          </cell>
        </row>
        <row r="89">
          <cell r="G89" t="str">
            <v/>
          </cell>
        </row>
        <row r="105">
          <cell r="G105">
            <v>0</v>
          </cell>
        </row>
        <row r="110">
          <cell r="G110">
            <v>0</v>
          </cell>
        </row>
        <row r="115">
          <cell r="G115">
            <v>0</v>
          </cell>
        </row>
        <row r="116">
          <cell r="G116" t="str">
            <v/>
          </cell>
        </row>
        <row r="122">
          <cell r="G122" t="str">
            <v/>
          </cell>
        </row>
        <row r="127">
          <cell r="G127">
            <v>1</v>
          </cell>
        </row>
        <row r="133">
          <cell r="G133">
            <v>0.5</v>
          </cell>
        </row>
        <row r="139">
          <cell r="G139">
            <v>0.8</v>
          </cell>
        </row>
        <row r="146">
          <cell r="G146">
            <v>0</v>
          </cell>
        </row>
        <row r="153">
          <cell r="G153">
            <v>0.5</v>
          </cell>
        </row>
        <row r="157">
          <cell r="G157">
            <v>0</v>
          </cell>
        </row>
        <row r="163">
          <cell r="G163">
            <v>0.9</v>
          </cell>
        </row>
        <row r="170">
          <cell r="G170">
            <v>0</v>
          </cell>
        </row>
        <row r="174">
          <cell r="G174">
            <v>0</v>
          </cell>
        </row>
        <row r="179">
          <cell r="G179">
            <v>0.6</v>
          </cell>
        </row>
        <row r="186">
          <cell r="G186" t="b">
            <v>0</v>
          </cell>
        </row>
        <row r="187">
          <cell r="G187">
            <v>0.25</v>
          </cell>
        </row>
        <row r="188">
          <cell r="G188">
            <v>0.33333333333333331</v>
          </cell>
        </row>
        <row r="189">
          <cell r="G189">
            <v>0.55999999999999994</v>
          </cell>
        </row>
      </sheetData>
      <sheetData sheetId="25">
        <row r="3">
          <cell r="G3">
            <v>0</v>
          </cell>
        </row>
        <row r="13">
          <cell r="G13">
            <v>0.6</v>
          </cell>
        </row>
        <row r="20">
          <cell r="G20">
            <v>1</v>
          </cell>
        </row>
        <row r="23">
          <cell r="G23" t="str">
            <v/>
          </cell>
        </row>
        <row r="27">
          <cell r="G27" t="str">
            <v/>
          </cell>
        </row>
        <row r="37">
          <cell r="G37">
            <v>1</v>
          </cell>
        </row>
        <row r="46">
          <cell r="G46">
            <v>0</v>
          </cell>
        </row>
        <row r="49">
          <cell r="G49">
            <v>1</v>
          </cell>
        </row>
        <row r="55">
          <cell r="G55" t="str">
            <v/>
          </cell>
        </row>
        <row r="65">
          <cell r="G65" t="str">
            <v/>
          </cell>
        </row>
        <row r="76">
          <cell r="G76" t="e">
            <v>#REF!</v>
          </cell>
        </row>
      </sheetData>
      <sheetData sheetId="26">
        <row r="2">
          <cell r="G2">
            <v>1</v>
          </cell>
        </row>
        <row r="6">
          <cell r="G6">
            <v>-1</v>
          </cell>
        </row>
        <row r="9">
          <cell r="G9">
            <v>1</v>
          </cell>
        </row>
        <row r="16">
          <cell r="G16">
            <v>0.66666666666666663</v>
          </cell>
        </row>
        <row r="20">
          <cell r="G20" t="str">
            <v/>
          </cell>
        </row>
        <row r="22">
          <cell r="G22" t="str">
            <v/>
          </cell>
        </row>
        <row r="24">
          <cell r="G24" t="str">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
      <sheetName val="F"/>
      <sheetName val="S"/>
      <sheetName val="Scores"/>
      <sheetName val="AllSites"/>
      <sheetName val="Stats"/>
      <sheetName val="WS"/>
      <sheetName val="WC"/>
      <sheetName val="SR"/>
      <sheetName val="PR"/>
      <sheetName val="NR"/>
      <sheetName val="CS"/>
      <sheetName val="OE"/>
      <sheetName val="INV"/>
      <sheetName val="FR"/>
      <sheetName val="AM"/>
      <sheetName val="WB"/>
      <sheetName val="SBM"/>
      <sheetName val="PH"/>
      <sheetName val="POL"/>
      <sheetName val="PU"/>
      <sheetName val="Sens"/>
      <sheetName val="EC"/>
      <sheetName val="STR"/>
      <sheetName val="FunctionScoresDB"/>
      <sheetName val="BenefitsScoresDB"/>
      <sheetName val="SAVEvars"/>
    </sheetNames>
    <sheetDataSet>
      <sheetData sheetId="0">
        <row r="62">
          <cell r="E62">
            <v>0</v>
          </cell>
        </row>
        <row r="145">
          <cell r="E145">
            <v>0</v>
          </cell>
        </row>
      </sheetData>
      <sheetData sheetId="1">
        <row r="2">
          <cell r="D2">
            <v>1</v>
          </cell>
        </row>
        <row r="57">
          <cell r="D57">
            <v>0</v>
          </cell>
        </row>
        <row r="93">
          <cell r="D93">
            <v>0</v>
          </cell>
        </row>
        <row r="130">
          <cell r="D130">
            <v>0</v>
          </cell>
        </row>
      </sheetData>
      <sheetData sheetId="2"/>
      <sheetData sheetId="3"/>
      <sheetData sheetId="4"/>
      <sheetData sheetId="5"/>
      <sheetData sheetId="6">
        <row r="7">
          <cell r="G7">
            <v>0.66666666666666663</v>
          </cell>
        </row>
        <row r="122">
          <cell r="G122">
            <v>1</v>
          </cell>
        </row>
        <row r="130">
          <cell r="G130">
            <v>0.8</v>
          </cell>
        </row>
        <row r="142">
          <cell r="G142">
            <v>0.33333333333333331</v>
          </cell>
        </row>
        <row r="146">
          <cell r="G146">
            <v>0.66666666666666663</v>
          </cell>
        </row>
      </sheetData>
      <sheetData sheetId="7">
        <row r="3">
          <cell r="G3">
            <v>0.66666666666666663</v>
          </cell>
        </row>
        <row r="58">
          <cell r="G58">
            <v>1</v>
          </cell>
        </row>
        <row r="62">
          <cell r="G62">
            <v>0.5</v>
          </cell>
        </row>
        <row r="79">
          <cell r="G79">
            <v>0</v>
          </cell>
        </row>
      </sheetData>
      <sheetData sheetId="8">
        <row r="8">
          <cell r="G8">
            <v>0.8</v>
          </cell>
        </row>
        <row r="105">
          <cell r="G105">
            <v>0</v>
          </cell>
        </row>
        <row r="112">
          <cell r="G112">
            <v>0.83333333333333337</v>
          </cell>
        </row>
        <row r="121">
          <cell r="G121">
            <v>0.5</v>
          </cell>
        </row>
        <row r="128">
          <cell r="G128">
            <v>1</v>
          </cell>
        </row>
        <row r="148">
          <cell r="G148">
            <v>1</v>
          </cell>
        </row>
        <row r="152">
          <cell r="G152">
            <v>0.5</v>
          </cell>
        </row>
        <row r="162">
          <cell r="G162">
            <v>0</v>
          </cell>
        </row>
      </sheetData>
      <sheetData sheetId="9">
        <row r="3">
          <cell r="G3">
            <v>0.66666666666666663</v>
          </cell>
        </row>
        <row r="111">
          <cell r="G111">
            <v>0</v>
          </cell>
        </row>
        <row r="118">
          <cell r="G118">
            <v>0.83333333333333337</v>
          </cell>
        </row>
        <row r="127">
          <cell r="G127">
            <v>0.5</v>
          </cell>
        </row>
        <row r="134">
          <cell r="G134">
            <v>1</v>
          </cell>
        </row>
        <row r="154">
          <cell r="G154">
            <v>1</v>
          </cell>
        </row>
        <row r="158">
          <cell r="G158">
            <v>0.5</v>
          </cell>
        </row>
        <row r="168">
          <cell r="G168">
            <v>0</v>
          </cell>
        </row>
      </sheetData>
      <sheetData sheetId="10">
        <row r="3">
          <cell r="G3">
            <v>0.66666666666666663</v>
          </cell>
        </row>
        <row r="108">
          <cell r="G108">
            <v>0.25</v>
          </cell>
        </row>
        <row r="118">
          <cell r="G118">
            <v>0.57578125000000002</v>
          </cell>
        </row>
      </sheetData>
      <sheetData sheetId="11">
        <row r="3">
          <cell r="G3">
            <v>0.5</v>
          </cell>
        </row>
        <row r="120">
          <cell r="G120">
            <v>0.32857142857142857</v>
          </cell>
        </row>
      </sheetData>
      <sheetData sheetId="12">
        <row r="3">
          <cell r="G3">
            <v>0.66666666666666663</v>
          </cell>
        </row>
        <row r="56">
          <cell r="G56">
            <v>0</v>
          </cell>
        </row>
      </sheetData>
      <sheetData sheetId="13">
        <row r="3">
          <cell r="G3">
            <v>0.8</v>
          </cell>
        </row>
        <row r="10">
          <cell r="G10">
            <v>0.14285714285714285</v>
          </cell>
        </row>
        <row r="18">
          <cell r="G18">
            <v>1</v>
          </cell>
        </row>
        <row r="83">
          <cell r="G83">
            <v>1</v>
          </cell>
        </row>
        <row r="117">
          <cell r="G117" t="str">
            <v/>
          </cell>
        </row>
        <row r="161">
          <cell r="G161">
            <v>0.4</v>
          </cell>
        </row>
        <row r="175">
          <cell r="G175">
            <v>0.59612622826908535</v>
          </cell>
        </row>
      </sheetData>
      <sheetData sheetId="14">
        <row r="3">
          <cell r="G3" t="str">
            <v/>
          </cell>
        </row>
        <row r="7">
          <cell r="G7">
            <v>0.66666666666666663</v>
          </cell>
        </row>
        <row r="15">
          <cell r="G15">
            <v>1</v>
          </cell>
        </row>
        <row r="71">
          <cell r="G71">
            <v>1</v>
          </cell>
        </row>
        <row r="96">
          <cell r="G96" t="str">
            <v/>
          </cell>
        </row>
        <row r="107">
          <cell r="G107" t="str">
            <v/>
          </cell>
        </row>
        <row r="119">
          <cell r="G119">
            <v>0.59612622826908535</v>
          </cell>
        </row>
      </sheetData>
      <sheetData sheetId="15">
        <row r="3">
          <cell r="G3">
            <v>0.66666666666666663</v>
          </cell>
        </row>
        <row r="8">
          <cell r="G8">
            <v>0.6</v>
          </cell>
        </row>
        <row r="28">
          <cell r="G28" t="str">
            <v/>
          </cell>
        </row>
        <row r="106">
          <cell r="G106">
            <v>0.75</v>
          </cell>
        </row>
        <row r="117">
          <cell r="G117">
            <v>0.6</v>
          </cell>
        </row>
        <row r="255">
          <cell r="G255">
            <v>1</v>
          </cell>
        </row>
        <row r="257">
          <cell r="G257">
            <v>0.33333333333333331</v>
          </cell>
        </row>
        <row r="277">
          <cell r="G277">
            <v>0.59612622826908535</v>
          </cell>
        </row>
      </sheetData>
      <sheetData sheetId="16">
        <row r="3">
          <cell r="G3">
            <v>0.66666666666666663</v>
          </cell>
        </row>
        <row r="8">
          <cell r="G8">
            <v>0.66666666666666663</v>
          </cell>
        </row>
        <row r="19">
          <cell r="G19">
            <v>0</v>
          </cell>
        </row>
        <row r="89">
          <cell r="G89">
            <v>0.33333333333333331</v>
          </cell>
        </row>
        <row r="272">
          <cell r="G272">
            <v>1</v>
          </cell>
        </row>
        <row r="303">
          <cell r="G303">
            <v>5.9612622826908535</v>
          </cell>
        </row>
      </sheetData>
      <sheetData sheetId="17">
        <row r="3">
          <cell r="G3">
            <v>0.66666666666666663</v>
          </cell>
        </row>
        <row r="12">
          <cell r="G12">
            <v>0.4</v>
          </cell>
        </row>
        <row r="33">
          <cell r="G33" t="str">
            <v/>
          </cell>
        </row>
        <row r="62">
          <cell r="G62">
            <v>0.5</v>
          </cell>
        </row>
        <row r="94">
          <cell r="G94">
            <v>0.4</v>
          </cell>
        </row>
        <row r="102">
          <cell r="G102">
            <v>0.4</v>
          </cell>
        </row>
        <row r="285">
          <cell r="G285">
            <v>1</v>
          </cell>
        </row>
        <row r="308">
          <cell r="G308">
            <v>0</v>
          </cell>
        </row>
      </sheetData>
      <sheetData sheetId="18">
        <row r="3">
          <cell r="G3">
            <v>0.66666666666666663</v>
          </cell>
        </row>
        <row r="8">
          <cell r="G8">
            <v>0.5</v>
          </cell>
        </row>
        <row r="12">
          <cell r="G12">
            <v>0.5</v>
          </cell>
        </row>
        <row r="40">
          <cell r="G40">
            <v>0</v>
          </cell>
        </row>
        <row r="81">
          <cell r="G81">
            <v>0</v>
          </cell>
        </row>
        <row r="221">
          <cell r="G221">
            <v>0.33333333333333337</v>
          </cell>
        </row>
        <row r="223">
          <cell r="G223">
            <v>0</v>
          </cell>
        </row>
      </sheetData>
      <sheetData sheetId="19">
        <row r="11">
          <cell r="G11">
            <v>0.625</v>
          </cell>
        </row>
        <row r="25">
          <cell r="G25">
            <v>1</v>
          </cell>
        </row>
        <row r="96">
          <cell r="G96">
            <v>0.6</v>
          </cell>
        </row>
        <row r="102">
          <cell r="G102">
            <v>0.66666666666666663</v>
          </cell>
        </row>
      </sheetData>
      <sheetData sheetId="20">
        <row r="3">
          <cell r="G3">
            <v>1</v>
          </cell>
        </row>
        <row r="9">
          <cell r="G9">
            <v>1</v>
          </cell>
        </row>
      </sheetData>
      <sheetData sheetId="21">
        <row r="3">
          <cell r="G3">
            <v>0.33333333333333331</v>
          </cell>
        </row>
        <row r="35">
          <cell r="G35">
            <v>0.6</v>
          </cell>
        </row>
        <row r="42">
          <cell r="G42">
            <v>1</v>
          </cell>
        </row>
      </sheetData>
      <sheetData sheetId="22">
        <row r="3">
          <cell r="G3">
            <v>0.75</v>
          </cell>
        </row>
        <row r="14">
          <cell r="G14">
            <v>0</v>
          </cell>
        </row>
      </sheetData>
      <sheetData sheetId="23">
        <row r="3">
          <cell r="G3">
            <v>0.33333333333333331</v>
          </cell>
        </row>
        <row r="12">
          <cell r="G12">
            <v>1</v>
          </cell>
        </row>
        <row r="18">
          <cell r="G18">
            <v>0.4</v>
          </cell>
        </row>
        <row r="39">
          <cell r="G39" t="str">
            <v/>
          </cell>
        </row>
        <row r="68">
          <cell r="G68">
            <v>0.25</v>
          </cell>
        </row>
        <row r="76">
          <cell r="G76">
            <v>1</v>
          </cell>
        </row>
        <row r="84">
          <cell r="G84">
            <v>0</v>
          </cell>
        </row>
        <row r="98">
          <cell r="G98">
            <v>0</v>
          </cell>
        </row>
      </sheetData>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g"/>
      <sheetName val="OF"/>
      <sheetName val="F"/>
      <sheetName val="T"/>
      <sheetName val="S"/>
      <sheetName val="Scores"/>
      <sheetName val="offsite"/>
      <sheetName val="WS"/>
      <sheetName val="WC"/>
      <sheetName val="SR"/>
      <sheetName val="PR"/>
      <sheetName val="NR"/>
      <sheetName val="CS"/>
      <sheetName val="OE"/>
      <sheetName val="INV"/>
      <sheetName val="FA"/>
      <sheetName val="FR"/>
      <sheetName val="AM"/>
      <sheetName val="WBN"/>
      <sheetName val="WBF"/>
      <sheetName val="SBM"/>
      <sheetName val="PH"/>
      <sheetName val="POL"/>
      <sheetName val="PU"/>
      <sheetName val="Sens"/>
      <sheetName val="EC"/>
      <sheetName val="STR"/>
      <sheetName val="FuncDeficit"/>
      <sheetName val="LitCited"/>
    </sheetNames>
    <sheetDataSet>
      <sheetData sheetId="0"/>
      <sheetData sheetId="1"/>
      <sheetData sheetId="2"/>
      <sheetData sheetId="3">
        <row r="4">
          <cell r="D4">
            <v>0</v>
          </cell>
        </row>
        <row r="46">
          <cell r="D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Narrow">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1:B24"/>
  <sheetViews>
    <sheetView tabSelected="1" zoomScaleNormal="100" workbookViewId="0">
      <selection activeCell="B2" sqref="B2"/>
    </sheetView>
  </sheetViews>
  <sheetFormatPr defaultRowHeight="16.2" customHeight="1" x14ac:dyDescent="0.25"/>
  <cols>
    <col min="1" max="1" width="72" customWidth="1"/>
    <col min="2" max="2" width="40.77734375" customWidth="1"/>
  </cols>
  <sheetData>
    <row r="1" spans="1:2" s="412" customFormat="1" ht="36" customHeight="1" thickBot="1" x14ac:dyDescent="0.3">
      <c r="A1" s="1501" t="s">
        <v>1985</v>
      </c>
      <c r="B1" s="1502"/>
    </row>
    <row r="2" spans="1:2" ht="21" customHeight="1" x14ac:dyDescent="0.25">
      <c r="A2" s="397" t="s">
        <v>1395</v>
      </c>
      <c r="B2" s="562"/>
    </row>
    <row r="3" spans="1:2" ht="21" customHeight="1" x14ac:dyDescent="0.3">
      <c r="A3" s="398" t="s">
        <v>1396</v>
      </c>
      <c r="B3" s="297"/>
    </row>
    <row r="4" spans="1:2" ht="21" customHeight="1" x14ac:dyDescent="0.25">
      <c r="A4" s="398" t="s">
        <v>1397</v>
      </c>
      <c r="B4" s="299"/>
    </row>
    <row r="5" spans="1:2" ht="21" customHeight="1" x14ac:dyDescent="0.25">
      <c r="A5" s="398" t="s">
        <v>1496</v>
      </c>
      <c r="B5" s="299"/>
    </row>
    <row r="6" spans="1:2" ht="21" customHeight="1" x14ac:dyDescent="0.25">
      <c r="A6" s="398" t="s">
        <v>1497</v>
      </c>
      <c r="B6" s="298"/>
    </row>
    <row r="7" spans="1:2" ht="21" customHeight="1" x14ac:dyDescent="0.25">
      <c r="A7" s="398" t="s">
        <v>1498</v>
      </c>
      <c r="B7" s="298"/>
    </row>
    <row r="8" spans="1:2" ht="21" customHeight="1" x14ac:dyDescent="0.25">
      <c r="A8" s="398" t="s">
        <v>1499</v>
      </c>
      <c r="B8" s="300"/>
    </row>
    <row r="9" spans="1:2" ht="21" customHeight="1" x14ac:dyDescent="0.25">
      <c r="A9" s="398" t="s">
        <v>1500</v>
      </c>
      <c r="B9" s="300"/>
    </row>
    <row r="10" spans="1:2" ht="21" customHeight="1" x14ac:dyDescent="0.25">
      <c r="A10" s="398" t="s">
        <v>1501</v>
      </c>
      <c r="B10" s="298"/>
    </row>
    <row r="11" spans="1:2" ht="30" customHeight="1" x14ac:dyDescent="0.25">
      <c r="A11" s="398" t="s">
        <v>1502</v>
      </c>
      <c r="B11" s="301"/>
    </row>
    <row r="12" spans="1:2" ht="21" customHeight="1" x14ac:dyDescent="0.25">
      <c r="A12" s="398" t="s">
        <v>1503</v>
      </c>
      <c r="B12" s="298"/>
    </row>
    <row r="13" spans="1:2" ht="21" customHeight="1" x14ac:dyDescent="0.25">
      <c r="A13" s="1499" t="s">
        <v>1504</v>
      </c>
      <c r="B13" s="1503"/>
    </row>
    <row r="14" spans="1:2" ht="21" customHeight="1" x14ac:dyDescent="0.25">
      <c r="A14" s="1500"/>
      <c r="B14" s="1504"/>
    </row>
    <row r="15" spans="1:2" ht="21" customHeight="1" x14ac:dyDescent="0.25">
      <c r="A15" s="1500"/>
      <c r="B15" s="1504"/>
    </row>
    <row r="16" spans="1:2" ht="21" customHeight="1" x14ac:dyDescent="0.25">
      <c r="A16" s="1500"/>
      <c r="B16" s="1505"/>
    </row>
    <row r="17" spans="1:2" ht="30" customHeight="1" x14ac:dyDescent="0.25">
      <c r="A17" s="398" t="s">
        <v>1784</v>
      </c>
      <c r="B17" s="302"/>
    </row>
    <row r="18" spans="1:2" ht="21" customHeight="1" x14ac:dyDescent="0.25">
      <c r="A18" s="398" t="s">
        <v>1785</v>
      </c>
      <c r="B18" s="302"/>
    </row>
    <row r="19" spans="1:2" ht="21" customHeight="1" x14ac:dyDescent="0.25">
      <c r="A19" s="398" t="s">
        <v>1505</v>
      </c>
      <c r="B19" s="302"/>
    </row>
    <row r="20" spans="1:2" ht="33.75" customHeight="1" x14ac:dyDescent="0.25">
      <c r="A20" s="398" t="s">
        <v>1982</v>
      </c>
      <c r="B20" s="303"/>
    </row>
    <row r="21" spans="1:2" ht="21" customHeight="1" x14ac:dyDescent="0.25">
      <c r="A21" s="398" t="s">
        <v>1983</v>
      </c>
      <c r="B21" s="303"/>
    </row>
    <row r="22" spans="1:2" ht="30" customHeight="1" x14ac:dyDescent="0.25">
      <c r="A22" s="398" t="s">
        <v>1506</v>
      </c>
      <c r="B22" s="298"/>
    </row>
    <row r="23" spans="1:2" ht="30" customHeight="1" x14ac:dyDescent="0.25">
      <c r="A23" s="398" t="s">
        <v>1984</v>
      </c>
      <c r="B23" s="705"/>
    </row>
    <row r="24" spans="1:2" ht="174" customHeight="1" thickBot="1" x14ac:dyDescent="0.3">
      <c r="A24" s="731" t="s">
        <v>1507</v>
      </c>
      <c r="B24" s="304"/>
    </row>
  </sheetData>
  <sheetProtection password="C74A" sheet="1" objects="1" scenarios="1" formatCells="0" formatColumns="0" insertColumns="0" selectLockedCells="1"/>
  <mergeCells count="3">
    <mergeCell ref="A13:A16"/>
    <mergeCell ref="A1:B1"/>
    <mergeCell ref="B13:B16"/>
  </mergeCells>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H202"/>
  <sheetViews>
    <sheetView zoomScaleNormal="100" workbookViewId="0">
      <selection activeCell="G165" sqref="G165:G172"/>
    </sheetView>
  </sheetViews>
  <sheetFormatPr defaultColWidth="9.33203125" defaultRowHeight="13.8" x14ac:dyDescent="0.25"/>
  <cols>
    <col min="1" max="1" width="5.77734375" style="2" customWidth="1"/>
    <col min="2" max="2" width="18.77734375" style="2" customWidth="1"/>
    <col min="3" max="3" width="75.77734375" style="2" customWidth="1"/>
    <col min="4" max="4" width="6.77734375" style="14" customWidth="1"/>
    <col min="5" max="5" width="9.109375" style="14" customWidth="1"/>
    <col min="6" max="6" width="9" style="14" customWidth="1"/>
    <col min="7" max="7" width="13.6640625" style="5" customWidth="1"/>
    <col min="8" max="8" width="75.77734375" style="2" customWidth="1"/>
    <col min="9" max="9" width="22" style="2" customWidth="1"/>
    <col min="10" max="16384" width="9.33203125" style="2"/>
  </cols>
  <sheetData>
    <row r="1" spans="1:8" ht="69" customHeight="1" thickBot="1" x14ac:dyDescent="0.3">
      <c r="A1" s="1826" t="s">
        <v>577</v>
      </c>
      <c r="B1" s="1827"/>
      <c r="C1" s="151" t="s">
        <v>609</v>
      </c>
      <c r="D1" s="240" t="s">
        <v>1175</v>
      </c>
      <c r="E1" s="1944"/>
      <c r="F1" s="1910"/>
      <c r="G1" s="1910"/>
      <c r="H1" s="1910"/>
    </row>
    <row r="2" spans="1:8" s="361" customFormat="1" ht="48.75" customHeight="1" thickBot="1" x14ac:dyDescent="0.3">
      <c r="A2" s="787" t="s">
        <v>126</v>
      </c>
      <c r="B2" s="787" t="s">
        <v>1458</v>
      </c>
      <c r="C2" s="831" t="s">
        <v>1271</v>
      </c>
      <c r="D2" s="787" t="s">
        <v>115</v>
      </c>
      <c r="E2" s="789" t="s">
        <v>771</v>
      </c>
      <c r="F2" s="787" t="s">
        <v>1461</v>
      </c>
      <c r="G2" s="790" t="s">
        <v>1273</v>
      </c>
      <c r="H2" s="787" t="s">
        <v>772</v>
      </c>
    </row>
    <row r="3" spans="1:8" ht="21" customHeight="1" thickBot="1" x14ac:dyDescent="0.3">
      <c r="A3" s="1788" t="str">
        <f>OF!A216</f>
        <v>OF41</v>
      </c>
      <c r="B3" s="1522" t="str">
        <f>OF!B216</f>
        <v>Upland Edge Shape Complexity (EdgeShape)</v>
      </c>
      <c r="C3" s="836" t="str">
        <f>OF!C216</f>
        <v>Most of the edge between the AA's wetland and upland is (select one):</v>
      </c>
      <c r="D3" s="902"/>
      <c r="E3" s="210"/>
      <c r="F3" s="192"/>
      <c r="G3" s="795">
        <f>MAX(F4:F6)/MAX(E4:E6)</f>
        <v>0</v>
      </c>
      <c r="H3" s="1911" t="s">
        <v>431</v>
      </c>
    </row>
    <row r="4" spans="1:8" ht="27" customHeight="1" x14ac:dyDescent="0.25">
      <c r="A4" s="1789"/>
      <c r="B4" s="1521"/>
      <c r="C4" s="840" t="str">
        <f>OF!C217</f>
        <v>Linear: a significant proportion of the wetland's upland edge is straight, as in wetlands bounded partly or wholly by dikes or roads, or the AA is entirely surrounded by water or other wetlands.</v>
      </c>
      <c r="D4" s="44">
        <f>OF!D217</f>
        <v>0</v>
      </c>
      <c r="E4" s="49">
        <v>1</v>
      </c>
      <c r="F4" s="45">
        <f>D4*E4</f>
        <v>0</v>
      </c>
      <c r="G4" s="903"/>
      <c r="H4" s="1912"/>
    </row>
    <row r="5" spans="1:8" ht="27" customHeight="1" x14ac:dyDescent="0.25">
      <c r="A5" s="1789"/>
      <c r="B5" s="1521"/>
      <c r="C5" s="728" t="str">
        <f>OF!C218</f>
        <v>Intermediate: Wetland's shape is (a) ovoid, or (b) mildly ragged edge, and/or (c) contains a lesser amount of artificially straight edge.</v>
      </c>
      <c r="D5" s="44">
        <f>OF!D218</f>
        <v>0</v>
      </c>
      <c r="E5" s="49">
        <v>2</v>
      </c>
      <c r="F5" s="45">
        <f>D5*E5</f>
        <v>0</v>
      </c>
      <c r="G5" s="903"/>
      <c r="H5" s="1912"/>
    </row>
    <row r="6" spans="1:8" ht="27" customHeight="1" thickBot="1" x14ac:dyDescent="0.3">
      <c r="A6" s="1790"/>
      <c r="B6" s="1523"/>
      <c r="C6" s="729" t="str">
        <f>OF!C219</f>
        <v>Convoluted: Wetland perimeter is many times longer than maximum width of the wetland, with many alcoves and indentations ("fingers").</v>
      </c>
      <c r="D6" s="198">
        <f>OF!D219</f>
        <v>0</v>
      </c>
      <c r="E6" s="245">
        <v>3</v>
      </c>
      <c r="F6" s="193">
        <f>D6*E6</f>
        <v>0</v>
      </c>
      <c r="G6" s="904"/>
      <c r="H6" s="1913"/>
    </row>
    <row r="7" spans="1:8" ht="30" customHeight="1" thickBot="1" x14ac:dyDescent="0.3">
      <c r="A7" s="1800" t="str">
        <f>OF!A225</f>
        <v>OF43</v>
      </c>
      <c r="B7" s="1521" t="str">
        <f>OF!B225</f>
        <v>Growing Degree Days (GDD)</v>
      </c>
      <c r="C7" s="114" t="str">
        <f>OF!C225</f>
        <v xml:space="preserve">According to ORWAP Map Viewer's Growing Degree Days layer,  the long term normal Growing Degree Days category at the approximate location of the AA is: </v>
      </c>
      <c r="D7" s="65"/>
      <c r="E7" s="865"/>
      <c r="F7" s="867"/>
      <c r="G7" s="814">
        <f>MAX(F8:F14)/MAX(E8:E14)</f>
        <v>0</v>
      </c>
      <c r="H7" s="1521" t="s">
        <v>840</v>
      </c>
    </row>
    <row r="8" spans="1:8" ht="16.2" customHeight="1" x14ac:dyDescent="0.25">
      <c r="A8" s="1800"/>
      <c r="B8" s="1521"/>
      <c r="C8" s="905" t="str">
        <f>OF!C226</f>
        <v>&lt;256.</v>
      </c>
      <c r="D8" s="44">
        <f>OF!D226</f>
        <v>0</v>
      </c>
      <c r="E8" s="848">
        <v>1</v>
      </c>
      <c r="F8" s="45">
        <f t="shared" ref="F8:F14" si="0">D8*E8</f>
        <v>0</v>
      </c>
      <c r="G8" s="793"/>
      <c r="H8" s="1521"/>
    </row>
    <row r="9" spans="1:8" ht="16.2" customHeight="1" x14ac:dyDescent="0.25">
      <c r="A9" s="1800"/>
      <c r="B9" s="1521"/>
      <c r="C9" s="906" t="str">
        <f>OF!C227</f>
        <v>256 - 1020.</v>
      </c>
      <c r="D9" s="44">
        <f>OF!D227</f>
        <v>0</v>
      </c>
      <c r="E9" s="848">
        <v>2</v>
      </c>
      <c r="F9" s="45">
        <f t="shared" si="0"/>
        <v>0</v>
      </c>
      <c r="G9" s="793"/>
      <c r="H9" s="1521"/>
    </row>
    <row r="10" spans="1:8" ht="16.2" customHeight="1" x14ac:dyDescent="0.25">
      <c r="A10" s="1800"/>
      <c r="B10" s="1521"/>
      <c r="C10" s="906" t="str">
        <f>OF!C228</f>
        <v>1021-1785.</v>
      </c>
      <c r="D10" s="44">
        <f>OF!D228</f>
        <v>0</v>
      </c>
      <c r="E10" s="848">
        <v>3</v>
      </c>
      <c r="F10" s="45">
        <f t="shared" si="0"/>
        <v>0</v>
      </c>
      <c r="G10" s="793"/>
      <c r="H10" s="1521"/>
    </row>
    <row r="11" spans="1:8" ht="16.2" customHeight="1" x14ac:dyDescent="0.25">
      <c r="A11" s="1800"/>
      <c r="B11" s="1521"/>
      <c r="C11" s="906" t="str">
        <f>OF!C229</f>
        <v>1786 - 2550.</v>
      </c>
      <c r="D11" s="44">
        <f>OF!D229</f>
        <v>0</v>
      </c>
      <c r="E11" s="848">
        <v>4</v>
      </c>
      <c r="F11" s="45">
        <f t="shared" si="0"/>
        <v>0</v>
      </c>
      <c r="G11" s="793"/>
      <c r="H11" s="1521"/>
    </row>
    <row r="12" spans="1:8" ht="16.2" customHeight="1" x14ac:dyDescent="0.25">
      <c r="A12" s="1800"/>
      <c r="B12" s="1521"/>
      <c r="C12" s="906" t="str">
        <f>OF!C230</f>
        <v>2551 - 3315.</v>
      </c>
      <c r="D12" s="44">
        <f>OF!D230</f>
        <v>0</v>
      </c>
      <c r="E12" s="848">
        <v>5</v>
      </c>
      <c r="F12" s="45">
        <f t="shared" si="0"/>
        <v>0</v>
      </c>
      <c r="G12" s="793"/>
      <c r="H12" s="1521"/>
    </row>
    <row r="13" spans="1:8" ht="16.2" customHeight="1" x14ac:dyDescent="0.25">
      <c r="A13" s="1800"/>
      <c r="B13" s="1521"/>
      <c r="C13" s="906" t="str">
        <f>OF!C231</f>
        <v>3316 - 4079.</v>
      </c>
      <c r="D13" s="44">
        <f>OF!D231</f>
        <v>0</v>
      </c>
      <c r="E13" s="848">
        <v>6</v>
      </c>
      <c r="F13" s="45">
        <f t="shared" si="0"/>
        <v>0</v>
      </c>
      <c r="G13" s="793"/>
      <c r="H13" s="1521"/>
    </row>
    <row r="14" spans="1:8" ht="16.2" customHeight="1" thickBot="1" x14ac:dyDescent="0.3">
      <c r="A14" s="1800"/>
      <c r="B14" s="1521"/>
      <c r="C14" s="906" t="str">
        <f>OF!C232</f>
        <v>&gt; 4079.</v>
      </c>
      <c r="D14" s="17">
        <f>OF!D232</f>
        <v>0</v>
      </c>
      <c r="E14" s="868">
        <v>7</v>
      </c>
      <c r="F14" s="54">
        <f t="shared" si="0"/>
        <v>0</v>
      </c>
      <c r="G14" s="800"/>
      <c r="H14" s="1521"/>
    </row>
    <row r="15" spans="1:8" ht="45" customHeight="1" thickBot="1" x14ac:dyDescent="0.3">
      <c r="A15" s="1804" t="str">
        <f>F!A13</f>
        <v>F4</v>
      </c>
      <c r="B15" s="1522" t="str">
        <f>F!B13</f>
        <v>Flooded Persistently - % of AA (PermW)</v>
      </c>
      <c r="C15" s="4" t="str">
        <f>F!C13</f>
        <v xml:space="preserve">Identify the parts of the AA that still contain surface water even during the driest times of a normal year . At that time, the percentage of the AA that still contains surface water is: </v>
      </c>
      <c r="D15" s="210"/>
      <c r="E15" s="210"/>
      <c r="F15" s="241"/>
      <c r="G15" s="804">
        <f>IF((NeverWater+TempWet&gt;0),"",MAX(F16:F19)/MAX(E16:E19))</f>
        <v>0</v>
      </c>
      <c r="H15" s="1599" t="s">
        <v>1613</v>
      </c>
    </row>
    <row r="16" spans="1:8" ht="16.2" customHeight="1" x14ac:dyDescent="0.25">
      <c r="A16" s="1805"/>
      <c r="B16" s="1521"/>
      <c r="C16" s="2" t="str">
        <f>F!C14</f>
        <v>1 to &lt;25% of the AA.</v>
      </c>
      <c r="D16" s="44">
        <f>F!D14</f>
        <v>0</v>
      </c>
      <c r="E16" s="907">
        <v>1</v>
      </c>
      <c r="F16" s="45">
        <f>D16*E16</f>
        <v>0</v>
      </c>
      <c r="G16" s="792"/>
      <c r="H16" s="1582"/>
    </row>
    <row r="17" spans="1:8" ht="16.2" customHeight="1" x14ac:dyDescent="0.25">
      <c r="A17" s="1805"/>
      <c r="B17" s="1521"/>
      <c r="C17" s="95" t="str">
        <f>F!C15</f>
        <v>25 to &lt;50% of the AA.</v>
      </c>
      <c r="D17" s="44">
        <f>F!D15</f>
        <v>0</v>
      </c>
      <c r="E17" s="907">
        <v>3</v>
      </c>
      <c r="F17" s="45">
        <f>D17*E17</f>
        <v>0</v>
      </c>
      <c r="G17" s="793"/>
      <c r="H17" s="1582"/>
    </row>
    <row r="18" spans="1:8" ht="16.2" customHeight="1" x14ac:dyDescent="0.25">
      <c r="A18" s="1805"/>
      <c r="B18" s="1521"/>
      <c r="C18" s="95" t="str">
        <f>F!C16</f>
        <v>50 to 95% of the AA.</v>
      </c>
      <c r="D18" s="44">
        <f>F!D16</f>
        <v>0</v>
      </c>
      <c r="E18" s="907">
        <v>4</v>
      </c>
      <c r="F18" s="45">
        <f>D18*E18</f>
        <v>0</v>
      </c>
      <c r="G18" s="793"/>
      <c r="H18" s="1582"/>
    </row>
    <row r="19" spans="1:8" ht="16.2" customHeight="1" thickBot="1" x14ac:dyDescent="0.3">
      <c r="A19" s="1806"/>
      <c r="B19" s="1523"/>
      <c r="C19" s="254" t="str">
        <f>F!C17</f>
        <v>&gt;95% of the AA.</v>
      </c>
      <c r="D19" s="17">
        <f>F!D17</f>
        <v>0</v>
      </c>
      <c r="E19" s="908">
        <v>2</v>
      </c>
      <c r="F19" s="193">
        <f>D19*E19</f>
        <v>0</v>
      </c>
      <c r="G19" s="909"/>
      <c r="H19" s="1600"/>
    </row>
    <row r="20" spans="1:8" ht="21" customHeight="1" thickBot="1" x14ac:dyDescent="0.3">
      <c r="A20" s="1805" t="str">
        <f>F!A35</f>
        <v>F8</v>
      </c>
      <c r="B20" s="1521" t="str">
        <f>F!B35</f>
        <v>% Emergent Plants (EmPct)</v>
      </c>
      <c r="C20" s="75" t="str">
        <f>F!C35</f>
        <v>Emergent plants occupy an annual maximum of:</v>
      </c>
      <c r="D20" s="549"/>
      <c r="E20" s="65"/>
      <c r="F20" s="60"/>
      <c r="G20" s="799">
        <f>IF((NeverWater+TempWet&gt;0),"",IF((NoEm=1),"",MAX(F21:F25)/MAX(E21:E25)))</f>
        <v>0</v>
      </c>
      <c r="H20" s="1521" t="s">
        <v>1678</v>
      </c>
    </row>
    <row r="21" spans="1:8" ht="16.2" customHeight="1" x14ac:dyDescent="0.25">
      <c r="A21" s="1805"/>
      <c r="B21" s="1521"/>
      <c r="C21" s="215" t="str">
        <f>F!C36</f>
        <v>&lt;5% of the parts of the AA that are inundated for &gt;7 days at some time of the year.</v>
      </c>
      <c r="D21" s="44">
        <f>F!D36</f>
        <v>0</v>
      </c>
      <c r="E21" s="49">
        <v>1</v>
      </c>
      <c r="F21" s="45">
        <f>D21*E21</f>
        <v>0</v>
      </c>
      <c r="G21" s="793"/>
      <c r="H21" s="1521"/>
    </row>
    <row r="22" spans="1:8" ht="16.2" customHeight="1" x14ac:dyDescent="0.25">
      <c r="A22" s="1805"/>
      <c r="B22" s="1521"/>
      <c r="C22" s="216" t="str">
        <f>F!C37</f>
        <v>5 to &lt;30% of the parts of the AA that are inundated for &gt;7 days at some time of the year.</v>
      </c>
      <c r="D22" s="44">
        <f>F!D37</f>
        <v>0</v>
      </c>
      <c r="E22" s="49">
        <v>2</v>
      </c>
      <c r="F22" s="45">
        <f>D22*E22</f>
        <v>0</v>
      </c>
      <c r="G22" s="793"/>
      <c r="H22" s="1521"/>
    </row>
    <row r="23" spans="1:8" ht="16.2" customHeight="1" x14ac:dyDescent="0.25">
      <c r="A23" s="1805"/>
      <c r="B23" s="1521"/>
      <c r="C23" s="216" t="str">
        <f>F!C38</f>
        <v>30 to &lt;60% of the parts of the AA that are inundated for &gt;7 days at some time of the year.</v>
      </c>
      <c r="D23" s="44">
        <f>F!D38</f>
        <v>0</v>
      </c>
      <c r="E23" s="49">
        <v>3</v>
      </c>
      <c r="F23" s="45">
        <f>D23*E23</f>
        <v>0</v>
      </c>
      <c r="G23" s="793"/>
      <c r="H23" s="1521"/>
    </row>
    <row r="24" spans="1:8" ht="16.2" customHeight="1" x14ac:dyDescent="0.25">
      <c r="A24" s="1805"/>
      <c r="B24" s="1521"/>
      <c r="C24" s="216" t="str">
        <f>F!C39</f>
        <v>60 to 95% of the parts of the AA that are inundated for &gt;7 days at some time of the year.</v>
      </c>
      <c r="D24" s="44">
        <f>F!D39</f>
        <v>0</v>
      </c>
      <c r="E24" s="49">
        <v>4</v>
      </c>
      <c r="F24" s="45">
        <f>D24*E24</f>
        <v>0</v>
      </c>
      <c r="G24" s="793"/>
      <c r="H24" s="1521"/>
    </row>
    <row r="25" spans="1:8" ht="16.2" customHeight="1" thickBot="1" x14ac:dyDescent="0.3">
      <c r="A25" s="1805"/>
      <c r="B25" s="1521"/>
      <c r="C25" s="95" t="str">
        <f>F!C40</f>
        <v>&gt;95% of the parts of the AA that are inundated for &gt;7 days at some time of the year.</v>
      </c>
      <c r="D25" s="17">
        <f>F!D40</f>
        <v>0</v>
      </c>
      <c r="E25" s="67">
        <v>5</v>
      </c>
      <c r="F25" s="54">
        <f>D25*E25</f>
        <v>0</v>
      </c>
      <c r="G25" s="800"/>
      <c r="H25" s="1521"/>
    </row>
    <row r="26" spans="1:8" ht="30" customHeight="1" thickBot="1" x14ac:dyDescent="0.3">
      <c r="A26" s="1804" t="str">
        <f>F!A71</f>
        <v>F14</v>
      </c>
      <c r="B26" s="1522" t="str">
        <f>F!B71</f>
        <v>Ponded Open Water Distribution - Wettest  (WaterMixWet)</v>
      </c>
      <c r="C26" s="75" t="str">
        <f>F!C71</f>
        <v>When water levels are highest, during a normal year, the distribution (in aerial view) of ponded open water patches larger than 0.01 acre (400 sq. ft) within the AA is:</v>
      </c>
      <c r="D26" s="549"/>
      <c r="E26" s="210"/>
      <c r="F26" s="241"/>
      <c r="G26" s="804">
        <f>IF((NeverWater+TempWet&gt;0),"",IF((NoPond=1),"",MAX(F27:F30)/MAX(E27:E30)))</f>
        <v>0</v>
      </c>
      <c r="H26" s="1522" t="s">
        <v>1614</v>
      </c>
    </row>
    <row r="27" spans="1:8" ht="57" customHeight="1" x14ac:dyDescent="0.25">
      <c r="A27" s="1805"/>
      <c r="B27" s="1521"/>
      <c r="C27" s="2" t="str">
        <f>F!C72</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27" s="44">
        <f>F!D72</f>
        <v>0</v>
      </c>
      <c r="E27" s="49">
        <v>4</v>
      </c>
      <c r="F27" s="45">
        <f>D27*E27</f>
        <v>0</v>
      </c>
      <c r="G27" s="793"/>
      <c r="H27" s="1521"/>
    </row>
    <row r="28" spans="1:8" ht="50.25" customHeight="1" x14ac:dyDescent="0.25">
      <c r="A28" s="1805"/>
      <c r="B28" s="1521"/>
      <c r="C28" s="95" t="str">
        <f>F!C73</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28" s="44">
        <f>F!D73</f>
        <v>0</v>
      </c>
      <c r="E28" s="49">
        <v>3</v>
      </c>
      <c r="F28" s="45">
        <f>D28*E28</f>
        <v>0</v>
      </c>
      <c r="G28" s="793"/>
      <c r="H28" s="1521"/>
    </row>
    <row r="29" spans="1:8" ht="42" customHeight="1" x14ac:dyDescent="0.25">
      <c r="A29" s="1805"/>
      <c r="B29" s="1521"/>
      <c r="C29" s="95" t="str">
        <f>F!C74</f>
        <v xml:space="preserve">(a) Vegetation OR open water comprise &gt;70% of the AA (and its bordering  waters) AND (b) There are several small patches of open water scattered within vegetation or several small vegetation clump "islands" scattered within open water. </v>
      </c>
      <c r="D29" s="44">
        <f>F!D74</f>
        <v>0</v>
      </c>
      <c r="E29" s="49">
        <v>2</v>
      </c>
      <c r="F29" s="45">
        <f>D29*E29</f>
        <v>0</v>
      </c>
      <c r="G29" s="793"/>
      <c r="H29" s="1521"/>
    </row>
    <row r="30" spans="1:8" ht="69.75" customHeight="1" thickBot="1" x14ac:dyDescent="0.3">
      <c r="A30" s="1806"/>
      <c r="B30" s="1523"/>
      <c r="C30" s="254" t="str">
        <f>F!C75</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30" s="198">
        <f>F!D75</f>
        <v>0</v>
      </c>
      <c r="E30" s="245">
        <v>1</v>
      </c>
      <c r="F30" s="193">
        <f>D30*E30</f>
        <v>0</v>
      </c>
      <c r="G30" s="794"/>
      <c r="H30" s="1523"/>
    </row>
    <row r="31" spans="1:8" ht="56.25" customHeight="1" thickBot="1" x14ac:dyDescent="0.3">
      <c r="A31" s="1805" t="str">
        <f>F!A76</f>
        <v>F15</v>
      </c>
      <c r="B31" s="1521" t="str">
        <f>F!B76</f>
        <v>Width of Vegetated Zone - Wettest  (WidthWet)</v>
      </c>
      <c r="C31" s="75" t="str">
        <f>F!C76</f>
        <v>When water levels are highest, during a normal year, the width of the vegetated wetland  that separates the largest patch of open water within or bordering the AA from the closest adjacent uplands, is predominantly: 
[Note: This is not asking for the maximum width.]</v>
      </c>
      <c r="D31" s="549"/>
      <c r="E31" s="65"/>
      <c r="F31" s="60"/>
      <c r="G31" s="799">
        <f>IF((NeverWater+TempWet&gt;0),"",IF((NoPond=1),"",MAX(F32:F37)/MAX(E32:E37)))</f>
        <v>0</v>
      </c>
      <c r="H31" s="1521" t="s">
        <v>1694</v>
      </c>
    </row>
    <row r="32" spans="1:8" ht="16.2" customHeight="1" x14ac:dyDescent="0.25">
      <c r="A32" s="1805"/>
      <c r="B32" s="1521"/>
      <c r="C32" s="2" t="str">
        <f>F!C77</f>
        <v>&lt;5 ft, or no vegetation between upland and open water.</v>
      </c>
      <c r="D32" s="44">
        <f>F!D77</f>
        <v>0</v>
      </c>
      <c r="E32" s="49">
        <v>0</v>
      </c>
      <c r="F32" s="45">
        <f t="shared" ref="F32:F37" si="1">D32*E32</f>
        <v>0</v>
      </c>
      <c r="G32" s="792"/>
      <c r="H32" s="1521"/>
    </row>
    <row r="33" spans="1:8" ht="16.2" customHeight="1" x14ac:dyDescent="0.25">
      <c r="A33" s="1805"/>
      <c r="B33" s="1521"/>
      <c r="C33" s="95" t="str">
        <f>F!C78</f>
        <v>5 to &lt;30 ft.</v>
      </c>
      <c r="D33" s="44">
        <f>F!D78</f>
        <v>0</v>
      </c>
      <c r="E33" s="49">
        <v>2</v>
      </c>
      <c r="F33" s="45">
        <f t="shared" si="1"/>
        <v>0</v>
      </c>
      <c r="G33" s="793"/>
      <c r="H33" s="1521"/>
    </row>
    <row r="34" spans="1:8" ht="16.2" customHeight="1" x14ac:dyDescent="0.25">
      <c r="A34" s="1805"/>
      <c r="B34" s="1521"/>
      <c r="C34" s="95" t="str">
        <f>F!C79</f>
        <v>30 to &lt;50 ft.</v>
      </c>
      <c r="D34" s="44">
        <f>F!D79</f>
        <v>0</v>
      </c>
      <c r="E34" s="49">
        <v>3</v>
      </c>
      <c r="F34" s="45">
        <f t="shared" si="1"/>
        <v>0</v>
      </c>
      <c r="G34" s="793"/>
      <c r="H34" s="1521"/>
    </row>
    <row r="35" spans="1:8" ht="16.2" customHeight="1" x14ac:dyDescent="0.25">
      <c r="A35" s="1805"/>
      <c r="B35" s="1521"/>
      <c r="C35" s="95" t="str">
        <f>F!C80</f>
        <v>50 to &lt;100 ft.</v>
      </c>
      <c r="D35" s="44">
        <f>F!D80</f>
        <v>0</v>
      </c>
      <c r="E35" s="49">
        <v>4</v>
      </c>
      <c r="F35" s="45">
        <f t="shared" si="1"/>
        <v>0</v>
      </c>
      <c r="G35" s="793"/>
      <c r="H35" s="1521"/>
    </row>
    <row r="36" spans="1:8" ht="16.2" customHeight="1" x14ac:dyDescent="0.25">
      <c r="A36" s="1805"/>
      <c r="B36" s="1521"/>
      <c r="C36" s="95" t="str">
        <f>F!C81</f>
        <v>100 to 300 ft.</v>
      </c>
      <c r="D36" s="44">
        <f>F!D81</f>
        <v>0</v>
      </c>
      <c r="E36" s="49">
        <v>5</v>
      </c>
      <c r="F36" s="45">
        <f t="shared" si="1"/>
        <v>0</v>
      </c>
      <c r="G36" s="800"/>
      <c r="H36" s="1521"/>
    </row>
    <row r="37" spans="1:8" ht="16.2" customHeight="1" thickBot="1" x14ac:dyDescent="0.3">
      <c r="A37" s="1805"/>
      <c r="B37" s="1521"/>
      <c r="C37" s="95" t="str">
        <f>F!C82</f>
        <v>&gt; 300 ft.</v>
      </c>
      <c r="D37" s="198">
        <f>F!D82</f>
        <v>0</v>
      </c>
      <c r="E37" s="67">
        <v>6</v>
      </c>
      <c r="F37" s="54">
        <f t="shared" si="1"/>
        <v>0</v>
      </c>
      <c r="G37" s="800"/>
      <c r="H37" s="1521"/>
    </row>
    <row r="38" spans="1:8" ht="30" customHeight="1" thickBot="1" x14ac:dyDescent="0.3">
      <c r="A38" s="1804" t="str">
        <f>F!A100</f>
        <v>F18</v>
      </c>
      <c r="B38" s="1522" t="str">
        <f>F!B100</f>
        <v>Ponded Open Water Distribution - (Driest)  (WaterMixDry)</v>
      </c>
      <c r="C38" s="4" t="str">
        <f>F!C100</f>
        <v>When water levels are lowest, during a normal year, the distribution of ponded open water patches larger than 0.01 acre (400 sq. ft) within the AA is:</v>
      </c>
      <c r="D38" s="65"/>
      <c r="E38" s="210"/>
      <c r="F38" s="241"/>
      <c r="G38" s="804">
        <f>IF((NeverWater+TempWet&gt;0),"",IF((NoPond2=1),"",IF((NoPondOW2=1),"",MAX(F39:F42)/MAX(E39:E42))))</f>
        <v>0</v>
      </c>
      <c r="H38" s="1522" t="s">
        <v>1614</v>
      </c>
    </row>
    <row r="39" spans="1:8" ht="57" customHeight="1" x14ac:dyDescent="0.25">
      <c r="A39" s="1805"/>
      <c r="B39" s="1521"/>
      <c r="C39" s="215" t="str">
        <f>F!C101</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39" s="44">
        <f>F!D101</f>
        <v>0</v>
      </c>
      <c r="E39" s="49">
        <v>4</v>
      </c>
      <c r="F39" s="45">
        <f>D39*E39</f>
        <v>0</v>
      </c>
      <c r="G39" s="793"/>
      <c r="H39" s="1521"/>
    </row>
    <row r="40" spans="1:8" ht="52.5" customHeight="1" x14ac:dyDescent="0.25">
      <c r="A40" s="1805"/>
      <c r="B40" s="1521"/>
      <c r="C40" s="216" t="str">
        <f>F!C102</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40" s="44">
        <f>F!D102</f>
        <v>0</v>
      </c>
      <c r="E40" s="49">
        <v>3</v>
      </c>
      <c r="F40" s="45">
        <f>D40*E40</f>
        <v>0</v>
      </c>
      <c r="G40" s="793"/>
      <c r="H40" s="1521"/>
    </row>
    <row r="41" spans="1:8" ht="42" customHeight="1" x14ac:dyDescent="0.25">
      <c r="A41" s="1805"/>
      <c r="B41" s="1521"/>
      <c r="C41" s="216" t="str">
        <f>F!C103</f>
        <v xml:space="preserve">(a) Vegetation OR open water comprise &gt;70% of the AA (and its bordering  waters) AND (b) There are several small patches of open water scattered within vegetation or several small vegetation clump "islands" scattered within  open water. </v>
      </c>
      <c r="D41" s="44">
        <f>F!D103</f>
        <v>0</v>
      </c>
      <c r="E41" s="49">
        <v>2</v>
      </c>
      <c r="F41" s="45">
        <f>D41*E41</f>
        <v>0</v>
      </c>
      <c r="G41" s="793"/>
      <c r="H41" s="1521"/>
    </row>
    <row r="42" spans="1:8" ht="69" customHeight="1" thickBot="1" x14ac:dyDescent="0.3">
      <c r="A42" s="1806"/>
      <c r="B42" s="1523"/>
      <c r="C42" s="254" t="str">
        <f>F!C104</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42" s="198">
        <f>F!D104</f>
        <v>0</v>
      </c>
      <c r="E42" s="245">
        <v>1</v>
      </c>
      <c r="F42" s="193">
        <f>D42*E42</f>
        <v>0</v>
      </c>
      <c r="G42" s="794"/>
      <c r="H42" s="1523"/>
    </row>
    <row r="43" spans="1:8" ht="21" customHeight="1" thickBot="1" x14ac:dyDescent="0.3">
      <c r="A43" s="1865" t="str">
        <f>F!A128</f>
        <v>F25</v>
      </c>
      <c r="B43" s="1582" t="str">
        <f>F!B128</f>
        <v>Water Fluctuation Range - Maximum  (Fluctu)</v>
      </c>
      <c r="C43" s="75" t="str">
        <f>F!C128</f>
        <v>The maximum vertical fluctuation in surface water within the AA, during a normal year is:</v>
      </c>
      <c r="D43" s="549"/>
      <c r="E43" s="65"/>
      <c r="F43" s="60"/>
      <c r="G43" s="799">
        <f>MAX(F44:F48)/MAX(E44:E48)</f>
        <v>0</v>
      </c>
      <c r="H43" s="1582" t="s">
        <v>139</v>
      </c>
    </row>
    <row r="44" spans="1:8" ht="16.2" customHeight="1" x14ac:dyDescent="0.25">
      <c r="A44" s="1865"/>
      <c r="B44" s="1582"/>
      <c r="C44" s="215" t="str">
        <f>F!C129</f>
        <v>&lt;0.5 ft or stable.</v>
      </c>
      <c r="D44" s="44">
        <f>F!D129</f>
        <v>0</v>
      </c>
      <c r="E44" s="848">
        <v>1</v>
      </c>
      <c r="F44" s="45">
        <f>D44*E44</f>
        <v>0</v>
      </c>
      <c r="G44" s="792"/>
      <c r="H44" s="1582"/>
    </row>
    <row r="45" spans="1:8" ht="16.2" customHeight="1" x14ac:dyDescent="0.25">
      <c r="A45" s="1865"/>
      <c r="B45" s="1582"/>
      <c r="C45" s="216" t="str">
        <f>F!C130</f>
        <v>0.5 to &lt; 1 ft.</v>
      </c>
      <c r="D45" s="44">
        <f>F!D130</f>
        <v>0</v>
      </c>
      <c r="E45" s="848">
        <v>3</v>
      </c>
      <c r="F45" s="45">
        <f>D45*E45</f>
        <v>0</v>
      </c>
      <c r="G45" s="793"/>
      <c r="H45" s="1582"/>
    </row>
    <row r="46" spans="1:8" ht="16.2" customHeight="1" x14ac:dyDescent="0.25">
      <c r="A46" s="1865"/>
      <c r="B46" s="1582"/>
      <c r="C46" s="216" t="str">
        <f>F!C131</f>
        <v>1 to &lt;3 ft.</v>
      </c>
      <c r="D46" s="44">
        <f>F!D131</f>
        <v>0</v>
      </c>
      <c r="E46" s="848">
        <v>4</v>
      </c>
      <c r="F46" s="45">
        <f>D46*E46</f>
        <v>0</v>
      </c>
      <c r="G46" s="793"/>
      <c r="H46" s="1582"/>
    </row>
    <row r="47" spans="1:8" ht="16.2" customHeight="1" x14ac:dyDescent="0.25">
      <c r="A47" s="1865"/>
      <c r="B47" s="1582"/>
      <c r="C47" s="216" t="str">
        <f>F!C132</f>
        <v>3 to 6 ft.</v>
      </c>
      <c r="D47" s="44">
        <f>F!D132</f>
        <v>0</v>
      </c>
      <c r="E47" s="848">
        <v>5</v>
      </c>
      <c r="F47" s="45">
        <f>D47*E47</f>
        <v>0</v>
      </c>
      <c r="G47" s="793"/>
      <c r="H47" s="1582"/>
    </row>
    <row r="48" spans="1:8" ht="16.2" customHeight="1" thickBot="1" x14ac:dyDescent="0.3">
      <c r="A48" s="1865"/>
      <c r="B48" s="1582"/>
      <c r="C48" s="95" t="str">
        <f>F!C133</f>
        <v>&gt;6 ft.</v>
      </c>
      <c r="D48" s="198">
        <f>F!D133</f>
        <v>0</v>
      </c>
      <c r="E48" s="868">
        <v>6</v>
      </c>
      <c r="F48" s="54">
        <f>D48*E48</f>
        <v>0</v>
      </c>
      <c r="G48" s="800"/>
      <c r="H48" s="1582"/>
    </row>
    <row r="49" spans="1:8" ht="45" customHeight="1" thickBot="1" x14ac:dyDescent="0.3">
      <c r="A49" s="1804" t="str">
        <f>F!A134</f>
        <v>F26</v>
      </c>
      <c r="B49" s="1522" t="str">
        <f>F!B134</f>
        <v>% Only Saturated or Seasonally Flooded (SeasPct)</v>
      </c>
      <c r="C49" s="75"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49" s="549"/>
      <c r="E49" s="210"/>
      <c r="F49" s="241"/>
      <c r="G49" s="804">
        <f>MAX(F50:F54)/MAX(E50:E54)</f>
        <v>0</v>
      </c>
      <c r="H49" s="1599" t="s">
        <v>217</v>
      </c>
    </row>
    <row r="50" spans="1:8" ht="16.2" customHeight="1" x14ac:dyDescent="0.25">
      <c r="A50" s="1805"/>
      <c r="B50" s="1521"/>
      <c r="C50" s="215" t="str">
        <f>F!C135</f>
        <v>&lt;5% of the AA, or none (i.e., all water persists for &gt;4 months).</v>
      </c>
      <c r="D50" s="44">
        <f>F!D135</f>
        <v>0</v>
      </c>
      <c r="E50" s="907">
        <v>0</v>
      </c>
      <c r="F50" s="45">
        <f>D50*E50</f>
        <v>0</v>
      </c>
      <c r="G50" s="792"/>
      <c r="H50" s="1582"/>
    </row>
    <row r="51" spans="1:8" ht="16.2" customHeight="1" x14ac:dyDescent="0.25">
      <c r="A51" s="1805"/>
      <c r="B51" s="1521"/>
      <c r="C51" s="216" t="str">
        <f>F!C136</f>
        <v>5 to &lt;25% of the AA.</v>
      </c>
      <c r="D51" s="44">
        <f>F!D136</f>
        <v>0</v>
      </c>
      <c r="E51" s="907">
        <v>1</v>
      </c>
      <c r="F51" s="45">
        <f>D51*E51</f>
        <v>0</v>
      </c>
      <c r="G51" s="793"/>
      <c r="H51" s="1582"/>
    </row>
    <row r="52" spans="1:8" ht="16.2" customHeight="1" x14ac:dyDescent="0.25">
      <c r="A52" s="1805"/>
      <c r="B52" s="1521"/>
      <c r="C52" s="216" t="str">
        <f>F!C137</f>
        <v>25 to &lt;50% of the AA.</v>
      </c>
      <c r="D52" s="44">
        <f>F!D137</f>
        <v>0</v>
      </c>
      <c r="E52" s="907">
        <v>2</v>
      </c>
      <c r="F52" s="45">
        <f>D52*E52</f>
        <v>0</v>
      </c>
      <c r="G52" s="793"/>
      <c r="H52" s="1582"/>
    </row>
    <row r="53" spans="1:8" ht="16.2" customHeight="1" x14ac:dyDescent="0.25">
      <c r="A53" s="1805"/>
      <c r="B53" s="1521"/>
      <c r="C53" s="216" t="str">
        <f>F!C138</f>
        <v>50 to 75% of the AA.</v>
      </c>
      <c r="D53" s="44">
        <f>F!D138</f>
        <v>0</v>
      </c>
      <c r="E53" s="907">
        <v>4</v>
      </c>
      <c r="F53" s="45">
        <f>D53*E53</f>
        <v>0</v>
      </c>
      <c r="G53" s="793"/>
      <c r="H53" s="1582"/>
    </row>
    <row r="54" spans="1:8" ht="16.2" customHeight="1" thickBot="1" x14ac:dyDescent="0.3">
      <c r="A54" s="1806"/>
      <c r="B54" s="1523"/>
      <c r="C54" s="254" t="str">
        <f>F!C139</f>
        <v>&gt;75% of the AA.</v>
      </c>
      <c r="D54" s="198">
        <f>F!D139</f>
        <v>0</v>
      </c>
      <c r="E54" s="908">
        <v>3</v>
      </c>
      <c r="F54" s="193">
        <f>D54*E54</f>
        <v>0</v>
      </c>
      <c r="G54" s="909"/>
      <c r="H54" s="1600"/>
    </row>
    <row r="55" spans="1:8" ht="75" customHeight="1" thickBot="1" x14ac:dyDescent="0.3">
      <c r="A55" s="1864" t="str">
        <f>F!A162</f>
        <v>F31</v>
      </c>
      <c r="B55" s="1599" t="str">
        <f>F!B162</f>
        <v>Outflow Duration (OutDura)</v>
      </c>
      <c r="C55" s="75"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55" s="549"/>
      <c r="E55" s="210"/>
      <c r="F55" s="241"/>
      <c r="G55" s="804">
        <f>MAX(F56:F59)/MAX(E56:E59)</f>
        <v>0</v>
      </c>
      <c r="H55" s="1522" t="s">
        <v>151</v>
      </c>
    </row>
    <row r="56" spans="1:8" ht="16.2" customHeight="1" x14ac:dyDescent="0.25">
      <c r="A56" s="1865"/>
      <c r="B56" s="1582"/>
      <c r="C56" s="215" t="str">
        <f>F!C163</f>
        <v>Persistent (&gt;9 months/year).</v>
      </c>
      <c r="D56" s="44">
        <f>F!D163</f>
        <v>0</v>
      </c>
      <c r="E56" s="49">
        <v>1</v>
      </c>
      <c r="F56" s="45">
        <f>D56*E56</f>
        <v>0</v>
      </c>
      <c r="G56" s="792"/>
      <c r="H56" s="1521"/>
    </row>
    <row r="57" spans="1:8" ht="16.2" customHeight="1" x14ac:dyDescent="0.25">
      <c r="A57" s="1865"/>
      <c r="B57" s="1582"/>
      <c r="C57" s="216" t="str">
        <f>F!C164</f>
        <v>Seasonal (14 days to 9 months/year, not necessarily consecutive).</v>
      </c>
      <c r="D57" s="44">
        <f>F!D164</f>
        <v>0</v>
      </c>
      <c r="E57" s="49">
        <v>2</v>
      </c>
      <c r="F57" s="45">
        <f>D57*E57</f>
        <v>0</v>
      </c>
      <c r="G57" s="793"/>
      <c r="H57" s="1521"/>
    </row>
    <row r="58" spans="1:8" ht="16.2" customHeight="1" x14ac:dyDescent="0.25">
      <c r="A58" s="1865"/>
      <c r="B58" s="1582"/>
      <c r="C58" s="216" t="str">
        <f>F!C165</f>
        <v>Temporary (&lt;14 days, not necessarily consecutive).</v>
      </c>
      <c r="D58" s="44">
        <f>F!D165</f>
        <v>0</v>
      </c>
      <c r="E58" s="49">
        <v>3</v>
      </c>
      <c r="F58" s="45">
        <f>D58*E58</f>
        <v>0</v>
      </c>
      <c r="G58" s="793"/>
      <c r="H58" s="1521"/>
    </row>
    <row r="59" spans="1:8" ht="42" customHeight="1" thickBot="1" x14ac:dyDescent="0.3">
      <c r="A59" s="1866"/>
      <c r="B59" s="1600"/>
      <c r="C59" s="254" t="str">
        <f>F!C166</f>
        <v xml:space="preserve">None -- no surface water flows out of the wetland except possibly during extreme events (&lt;once per 10 years). Or, water flows only into a wetland, ditch, or lake that lacks an outlet. Enter 1  and SKIP TO F33. </v>
      </c>
      <c r="D59" s="17">
        <f>F!D166</f>
        <v>0</v>
      </c>
      <c r="E59" s="245">
        <v>6</v>
      </c>
      <c r="F59" s="193">
        <f>D59*E59</f>
        <v>0</v>
      </c>
      <c r="G59" s="794"/>
      <c r="H59" s="1523"/>
    </row>
    <row r="60" spans="1:8" ht="21" customHeight="1" thickBot="1" x14ac:dyDescent="0.3">
      <c r="A60" s="1805" t="str">
        <f>F!A167</f>
        <v>F32</v>
      </c>
      <c r="B60" s="1521" t="str">
        <f>F!B167</f>
        <v>Outflow Confinement (Constric)</v>
      </c>
      <c r="C60" s="244" t="str">
        <f>F!C167</f>
        <v>During major runoff events, in the places described above where surface water exits the AA, it:</v>
      </c>
      <c r="D60" s="549"/>
      <c r="E60" s="65"/>
      <c r="F60" s="60"/>
      <c r="G60" s="799">
        <f>IF((NeverWater+TempWet&gt;0),"",IF((NoOutlet=1),"",MAX(F61:F63)/MAX(E61:E63)))</f>
        <v>0</v>
      </c>
      <c r="H60" s="1582" t="s">
        <v>1725</v>
      </c>
    </row>
    <row r="61" spans="1:8" ht="27" customHeight="1" x14ac:dyDescent="0.25">
      <c r="A61" s="1805"/>
      <c r="B61" s="1521"/>
      <c r="C61" s="215" t="str">
        <f>F!C168</f>
        <v>Is impeded as it mostly passes through a pipe, culvert, tidegate, narrowly breached dike, berm, beaver dam, or other partial obstruction (other than natural topography).</v>
      </c>
      <c r="D61" s="44">
        <f>F!D168</f>
        <v>0</v>
      </c>
      <c r="E61" s="49">
        <v>2</v>
      </c>
      <c r="F61" s="45">
        <f>D61*E61</f>
        <v>0</v>
      </c>
      <c r="G61" s="792"/>
      <c r="H61" s="1582"/>
    </row>
    <row r="62" spans="1:8" ht="27" customHeight="1" x14ac:dyDescent="0.25">
      <c r="A62" s="1805"/>
      <c r="B62" s="1521"/>
      <c r="C62" s="216" t="str">
        <f>F!C169</f>
        <v>Leaves mainly through natural surface exits, not largely through artificial or temporary features which impede or accelerate outflow.</v>
      </c>
      <c r="D62" s="44">
        <f>F!D169</f>
        <v>0</v>
      </c>
      <c r="E62" s="49">
        <v>1</v>
      </c>
      <c r="F62" s="45">
        <f>D62*E62</f>
        <v>0</v>
      </c>
      <c r="G62" s="806"/>
      <c r="H62" s="1582"/>
    </row>
    <row r="63" spans="1:8" ht="39" customHeight="1" thickBot="1" x14ac:dyDescent="0.3">
      <c r="A63" s="1806"/>
      <c r="B63" s="1523"/>
      <c r="C63" s="254" t="str">
        <f>F!C170</f>
        <v>Is exported more quickly than usual as it mostly passes through ditches or pipes intended to accelerate drainage.  They may be within the AA or connected to its outlet or within 30 ft of the AA's edge.</v>
      </c>
      <c r="D63" s="198">
        <f>F!D170</f>
        <v>0</v>
      </c>
      <c r="E63" s="245">
        <v>0</v>
      </c>
      <c r="F63" s="193">
        <f>D63*E63</f>
        <v>0</v>
      </c>
      <c r="G63" s="909"/>
      <c r="H63" s="1600"/>
    </row>
    <row r="64" spans="1:8" ht="45" customHeight="1" thickBot="1" x14ac:dyDescent="0.3">
      <c r="A64" s="1821" t="str">
        <f>F!A177</f>
        <v>F35</v>
      </c>
      <c r="B64" s="1522" t="str">
        <f>F!B177</f>
        <v>Throughflow Complexity (ThruFlo)</v>
      </c>
      <c r="C64" s="75" t="str">
        <f>F!C177</f>
        <v>[Skip this question if the AA lacks both an inlet and outlet.]  During peak annual flow, water entering the AA in channels encounters which of the following conditions as it travels through the AA: Select the ONE encountered most.</v>
      </c>
      <c r="D64" s="549"/>
      <c r="E64" s="210"/>
      <c r="F64" s="878"/>
      <c r="G64" s="804">
        <f>IF(AND(Inflow=0,NoOutlet=1),"",MAX(F65:F69)/MAX(E65:E69))</f>
        <v>0</v>
      </c>
      <c r="H64" s="1522" t="s">
        <v>1717</v>
      </c>
    </row>
    <row r="65" spans="1:8" ht="42" customHeight="1" x14ac:dyDescent="0.25">
      <c r="A65" s="1822"/>
      <c r="B65" s="1511"/>
      <c r="C65" s="911"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65" s="44">
        <f>F!D178</f>
        <v>0</v>
      </c>
      <c r="E65" s="49">
        <v>0</v>
      </c>
      <c r="F65" s="45">
        <f>D65*E65</f>
        <v>0</v>
      </c>
      <c r="G65" s="792"/>
      <c r="H65" s="1521"/>
    </row>
    <row r="66" spans="1:8" ht="16.2" customHeight="1" x14ac:dyDescent="0.25">
      <c r="A66" s="1822"/>
      <c r="B66" s="1521"/>
      <c r="C66" s="2" t="str">
        <f>F!C179</f>
        <v>Bumps into herbaceous vegetation but mostly remains in fairly straight channels.</v>
      </c>
      <c r="D66" s="44">
        <f>F!D179</f>
        <v>0</v>
      </c>
      <c r="E66" s="49">
        <v>1</v>
      </c>
      <c r="F66" s="45">
        <f>D66*E66</f>
        <v>0</v>
      </c>
      <c r="G66" s="792"/>
      <c r="H66" s="1521"/>
    </row>
    <row r="67" spans="1:8" ht="27" customHeight="1" x14ac:dyDescent="0.25">
      <c r="A67" s="1822"/>
      <c r="B67" s="1521"/>
      <c r="C67" s="95" t="str">
        <f>F!C180</f>
        <v>Bumps into herbaceous vegetation and mostly spreads throughout, or follows a fairly indirect path (in widely meandering, multi-branched, or braided channels).</v>
      </c>
      <c r="D67" s="44">
        <f>F!D180</f>
        <v>0</v>
      </c>
      <c r="E67" s="49">
        <v>2</v>
      </c>
      <c r="F67" s="45">
        <f>D67*E67</f>
        <v>0</v>
      </c>
      <c r="G67" s="793"/>
      <c r="H67" s="1521"/>
    </row>
    <row r="68" spans="1:8" ht="16.2" customHeight="1" x14ac:dyDescent="0.25">
      <c r="A68" s="1822"/>
      <c r="B68" s="1521"/>
      <c r="C68" s="95" t="str">
        <f>F!C181</f>
        <v>Bumps into tree trunks and/or shrub stems but mostly remains in fairly straight channels.</v>
      </c>
      <c r="D68" s="44">
        <f>F!D181</f>
        <v>0</v>
      </c>
      <c r="E68" s="49">
        <v>3</v>
      </c>
      <c r="F68" s="45">
        <f>D68*E68</f>
        <v>0</v>
      </c>
      <c r="G68" s="793"/>
      <c r="H68" s="1521"/>
    </row>
    <row r="69" spans="1:8" ht="27" customHeight="1" thickBot="1" x14ac:dyDescent="0.3">
      <c r="A69" s="1825"/>
      <c r="B69" s="1523"/>
      <c r="C69" s="254" t="str">
        <f>F!C182</f>
        <v>Bumps into tree trunks and/or shrub stems and follows a fairly indirect path  (meandering, multi-branched, or braided) from entrance to exit.</v>
      </c>
      <c r="D69" s="17">
        <f>F!D182</f>
        <v>0</v>
      </c>
      <c r="E69" s="245">
        <v>4</v>
      </c>
      <c r="F69" s="845">
        <f>D69*E69</f>
        <v>0</v>
      </c>
      <c r="G69" s="794"/>
      <c r="H69" s="1523"/>
    </row>
    <row r="70" spans="1:8" ht="21" customHeight="1" thickBot="1" x14ac:dyDescent="0.3">
      <c r="A70" s="1821" t="str">
        <f>F!A183</f>
        <v>F36</v>
      </c>
      <c r="B70" s="1522" t="str">
        <f>F!B183</f>
        <v>Internal Gradient (Gradient)</v>
      </c>
      <c r="C70" s="75" t="str">
        <f>F!C183</f>
        <v>The gradient from the lowest to highest point of land within the AA (or from outlet to inlet) is:</v>
      </c>
      <c r="D70" s="549"/>
      <c r="E70" s="210"/>
      <c r="F70" s="241"/>
      <c r="G70" s="801">
        <f>MAX(F71:F74)/MAX(E71:E74)</f>
        <v>0</v>
      </c>
      <c r="H70" s="1522" t="s">
        <v>238</v>
      </c>
    </row>
    <row r="71" spans="1:8" ht="16.2" customHeight="1" x14ac:dyDescent="0.25">
      <c r="A71" s="1822"/>
      <c r="B71" s="1521"/>
      <c r="C71" s="215" t="str">
        <f>F!C184</f>
        <v>&lt;2% (internal flow is absent or barely detectable; basically flat).</v>
      </c>
      <c r="D71" s="44">
        <f>F!D184</f>
        <v>0</v>
      </c>
      <c r="E71" s="49">
        <v>4</v>
      </c>
      <c r="F71" s="45">
        <f>D71*E71</f>
        <v>0</v>
      </c>
      <c r="G71" s="796"/>
      <c r="H71" s="1521"/>
    </row>
    <row r="72" spans="1:8" ht="16.2" customHeight="1" x14ac:dyDescent="0.25">
      <c r="A72" s="1822"/>
      <c r="B72" s="1521"/>
      <c r="C72" s="216" t="str">
        <f>F!C185</f>
        <v>2 to &lt;6%.</v>
      </c>
      <c r="D72" s="44">
        <f>F!D185</f>
        <v>0</v>
      </c>
      <c r="E72" s="49">
        <v>2</v>
      </c>
      <c r="F72" s="45">
        <f>D72*E72</f>
        <v>0</v>
      </c>
      <c r="G72" s="797"/>
      <c r="H72" s="1521"/>
    </row>
    <row r="73" spans="1:8" ht="16.2" customHeight="1" x14ac:dyDescent="0.25">
      <c r="A73" s="1822"/>
      <c r="B73" s="1521"/>
      <c r="C73" s="216" t="str">
        <f>F!C186</f>
        <v>6 to 10%.</v>
      </c>
      <c r="D73" s="44">
        <f>F!D186</f>
        <v>0</v>
      </c>
      <c r="E73" s="49">
        <v>1</v>
      </c>
      <c r="F73" s="45">
        <f>D73*E73</f>
        <v>0</v>
      </c>
      <c r="G73" s="797"/>
      <c r="H73" s="1521"/>
    </row>
    <row r="74" spans="1:8" ht="16.2" customHeight="1" thickBot="1" x14ac:dyDescent="0.3">
      <c r="A74" s="1825"/>
      <c r="B74" s="1523"/>
      <c r="C74" s="254" t="str">
        <f>F!C187</f>
        <v>&gt;10%.</v>
      </c>
      <c r="D74" s="198">
        <f>F!D187</f>
        <v>0</v>
      </c>
      <c r="E74" s="245">
        <v>0</v>
      </c>
      <c r="F74" s="193">
        <f>D74*E74</f>
        <v>0</v>
      </c>
      <c r="G74" s="798"/>
      <c r="H74" s="1523"/>
    </row>
    <row r="75" spans="1:8" ht="21" customHeight="1" thickBot="1" x14ac:dyDescent="0.3">
      <c r="A75" s="1805" t="str">
        <f>F!A188</f>
        <v>F37</v>
      </c>
      <c r="B75" s="1521" t="str">
        <f>F!B188</f>
        <v xml:space="preserve">Groundwater Strength of Evidence (Groundw) </v>
      </c>
      <c r="C75" s="244" t="str">
        <f>F!C188</f>
        <v>Select first one that applies:</v>
      </c>
      <c r="D75" s="549"/>
      <c r="E75" s="65"/>
      <c r="F75" s="60"/>
      <c r="G75" s="799">
        <f>MAX(F76:F79)/MAX(E76:E79)</f>
        <v>0</v>
      </c>
      <c r="H75" s="1582" t="s">
        <v>195</v>
      </c>
    </row>
    <row r="76" spans="1:8" ht="99" customHeight="1" x14ac:dyDescent="0.25">
      <c r="A76" s="1805"/>
      <c r="B76" s="1521"/>
      <c r="C76" s="2"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76" s="44">
        <f>F!D189</f>
        <v>0</v>
      </c>
      <c r="E76" s="49">
        <v>3</v>
      </c>
      <c r="F76" s="45">
        <f>D76*E76</f>
        <v>0</v>
      </c>
      <c r="G76" s="792"/>
      <c r="H76" s="1582"/>
    </row>
    <row r="77" spans="1:8" ht="99" customHeight="1" x14ac:dyDescent="0.25">
      <c r="A77" s="1805"/>
      <c r="B77" s="1521"/>
      <c r="C77" s="95"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77" s="44">
        <f>F!D190</f>
        <v>0</v>
      </c>
      <c r="E77" s="49">
        <v>2</v>
      </c>
      <c r="F77" s="45">
        <f>D77*E77</f>
        <v>0</v>
      </c>
      <c r="G77" s="793"/>
      <c r="H77" s="1582"/>
    </row>
    <row r="78" spans="1:8" ht="39" customHeight="1" x14ac:dyDescent="0.25">
      <c r="A78" s="1805"/>
      <c r="B78" s="1521"/>
      <c r="C78" s="95" t="str">
        <f>F!C191</f>
        <v>The AA is not in an Arid or Semi-arid hydrologic unit, but has persistent ponded water, no tributary, and is not fed by wastewater, concentrated stormwater, or irrigation water, or by an adjacent river or lake.</v>
      </c>
      <c r="D78" s="44">
        <f>F!D191</f>
        <v>0</v>
      </c>
      <c r="E78" s="49">
        <v>1</v>
      </c>
      <c r="F78" s="45">
        <f>D78*E78</f>
        <v>0</v>
      </c>
      <c r="G78" s="800"/>
      <c r="H78" s="1582"/>
    </row>
    <row r="79" spans="1:8" ht="27" customHeight="1" thickBot="1" x14ac:dyDescent="0.3">
      <c r="A79" s="1805"/>
      <c r="B79" s="1521"/>
      <c r="C79" s="95" t="str">
        <f>F!C192</f>
        <v>None of above is true, OR AA contains a hot spring. Some groundwater may nonetheless discharge to or flow through the wetland.</v>
      </c>
      <c r="D79" s="17">
        <f>F!D192</f>
        <v>0</v>
      </c>
      <c r="E79" s="67">
        <v>0</v>
      </c>
      <c r="F79" s="54">
        <f>D79*E79</f>
        <v>0</v>
      </c>
      <c r="G79" s="800"/>
      <c r="H79" s="1582"/>
    </row>
    <row r="80" spans="1:8" ht="60" customHeight="1" thickBot="1" x14ac:dyDescent="0.3">
      <c r="A80" s="912" t="str">
        <f>F!A220</f>
        <v>F44</v>
      </c>
      <c r="B80" s="4" t="str">
        <f>F!B220</f>
        <v>Moss Wetland (Moss)</v>
      </c>
      <c r="C80" s="226" t="str">
        <f>F!C220</f>
        <v>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Enter 1, if true.</v>
      </c>
      <c r="D80" s="834">
        <f>F!D220</f>
        <v>0</v>
      </c>
      <c r="E80" s="260"/>
      <c r="F80" s="835"/>
      <c r="G80" s="804">
        <f>IF((D80=1),0,1)</f>
        <v>1</v>
      </c>
      <c r="H80" s="4" t="s">
        <v>1737</v>
      </c>
    </row>
    <row r="81" spans="1:8" ht="27.75" customHeight="1" thickBot="1" x14ac:dyDescent="0.3">
      <c r="A81" s="1927" t="str">
        <f>F!A221</f>
        <v>F45</v>
      </c>
      <c r="B81" s="1521" t="str">
        <f>F!B221</f>
        <v>Woody Extent (WoodyPct)</v>
      </c>
      <c r="C81" s="75" t="str">
        <f>F!C221</f>
        <v>Within the vegetated part of the AA, woody vegetation (trees, shrubs, robust vines) taller than 3 ft occupies:</v>
      </c>
      <c r="D81" s="549"/>
      <c r="E81" s="65"/>
      <c r="F81" s="60"/>
      <c r="G81" s="799">
        <f>IF((HistOpenland=1),"",MAX(F82:F86)/MAX(E82:E86))</f>
        <v>0</v>
      </c>
      <c r="H81" s="1576" t="s">
        <v>176</v>
      </c>
    </row>
    <row r="82" spans="1:8" ht="16.2" customHeight="1" x14ac:dyDescent="0.25">
      <c r="A82" s="1928"/>
      <c r="B82" s="1521"/>
      <c r="C82" s="215" t="str">
        <f>F!C222</f>
        <v>&lt;5% of the vegetated AA, and fewer than 10 trees are present.  Enter 1 and SKIP to F51.</v>
      </c>
      <c r="D82" s="44">
        <f>F!D222</f>
        <v>0</v>
      </c>
      <c r="E82" s="49">
        <v>4</v>
      </c>
      <c r="F82" s="54">
        <f>D82*E82</f>
        <v>0</v>
      </c>
      <c r="G82" s="792"/>
      <c r="H82" s="1548"/>
    </row>
    <row r="83" spans="1:8" ht="16.2" customHeight="1" x14ac:dyDescent="0.25">
      <c r="A83" s="1928"/>
      <c r="B83" s="1521"/>
      <c r="C83" s="216" t="str">
        <f>F!C224</f>
        <v>5 to &lt;25% of the vegetated AA.</v>
      </c>
      <c r="D83" s="44">
        <f>F!D224</f>
        <v>0</v>
      </c>
      <c r="E83" s="49">
        <v>5</v>
      </c>
      <c r="F83" s="54">
        <f>D83*E83</f>
        <v>0</v>
      </c>
      <c r="G83" s="793"/>
      <c r="H83" s="1548"/>
    </row>
    <row r="84" spans="1:8" ht="16.2" customHeight="1" x14ac:dyDescent="0.25">
      <c r="A84" s="1928"/>
      <c r="B84" s="1521"/>
      <c r="C84" s="216" t="str">
        <f>F!C225</f>
        <v>25 to &lt;50% of the vegetated AA.</v>
      </c>
      <c r="D84" s="44">
        <f>F!D225</f>
        <v>0</v>
      </c>
      <c r="E84" s="49">
        <v>3</v>
      </c>
      <c r="F84" s="54">
        <f>D84*E84</f>
        <v>0</v>
      </c>
      <c r="G84" s="793"/>
      <c r="H84" s="1548"/>
    </row>
    <row r="85" spans="1:8" ht="16.2" customHeight="1" x14ac:dyDescent="0.25">
      <c r="A85" s="1928"/>
      <c r="B85" s="1521"/>
      <c r="C85" s="216" t="str">
        <f>F!C226</f>
        <v>50 to 95% of the vegetated AA.</v>
      </c>
      <c r="D85" s="44">
        <f>F!D226</f>
        <v>0</v>
      </c>
      <c r="E85" s="49">
        <v>2</v>
      </c>
      <c r="F85" s="54">
        <f>D85*E85</f>
        <v>0</v>
      </c>
      <c r="G85" s="793"/>
      <c r="H85" s="1548"/>
    </row>
    <row r="86" spans="1:8" ht="16.2" customHeight="1" thickBot="1" x14ac:dyDescent="0.3">
      <c r="A86" s="1929"/>
      <c r="B86" s="1521"/>
      <c r="C86" s="95" t="str">
        <f>F!C227</f>
        <v>&gt;95% of the vegetated part of the AA.</v>
      </c>
      <c r="D86" s="198">
        <f>F!D227</f>
        <v>0</v>
      </c>
      <c r="E86" s="67">
        <v>1</v>
      </c>
      <c r="F86" s="54">
        <f>D86*E86</f>
        <v>0</v>
      </c>
      <c r="G86" s="800"/>
      <c r="H86" s="1818"/>
    </row>
    <row r="87" spans="1:8" ht="40.5" customHeight="1" thickBot="1" x14ac:dyDescent="0.3">
      <c r="A87" s="1821" t="str">
        <f>F!A288</f>
        <v>F56</v>
      </c>
      <c r="B87" s="1599" t="str">
        <f>F!B288</f>
        <v>Bare Ground &amp; Accumulated Plant Litter (Gcover)</v>
      </c>
      <c r="C87" s="4" t="str">
        <f>F!C288</f>
        <v>Consider the parts of the AA that go dry during a normal year. Viewed from 6 inches above the soil surface, the condition in most of that area just before the year's longest inundation period begins is:</v>
      </c>
      <c r="D87" s="65"/>
      <c r="E87" s="210"/>
      <c r="F87" s="241"/>
      <c r="G87" s="804">
        <f>IF((D92=1),"",MAX(F88:F91)/MAX(E88:E91))</f>
        <v>0</v>
      </c>
      <c r="H87" s="1522" t="s">
        <v>41</v>
      </c>
    </row>
    <row r="88" spans="1:8" ht="52.5" customHeight="1" x14ac:dyDescent="0.25">
      <c r="A88" s="1822"/>
      <c r="B88" s="1582"/>
      <c r="C88" s="215"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88" s="44">
        <f>F!D289</f>
        <v>0</v>
      </c>
      <c r="E88" s="49">
        <v>4</v>
      </c>
      <c r="F88" s="45">
        <f>D88*E88</f>
        <v>0</v>
      </c>
      <c r="G88" s="792"/>
      <c r="H88" s="1521"/>
    </row>
    <row r="89" spans="1:8" ht="27" customHeight="1" x14ac:dyDescent="0.25">
      <c r="A89" s="1822"/>
      <c r="B89" s="1582"/>
      <c r="C89" s="216" t="str">
        <f>F!C290</f>
        <v>Some (5-20%) bare ground or remaining thatch is visible.  Herbaceous plants have moderate stem densities and do not closely hug the ground.</v>
      </c>
      <c r="D89" s="44">
        <f>F!D290</f>
        <v>0</v>
      </c>
      <c r="E89" s="49">
        <v>3</v>
      </c>
      <c r="F89" s="45">
        <f>D89*E89</f>
        <v>0</v>
      </c>
      <c r="G89" s="793"/>
      <c r="H89" s="1521"/>
    </row>
    <row r="90" spans="1:8" ht="27" customHeight="1" x14ac:dyDescent="0.25">
      <c r="A90" s="1822"/>
      <c r="B90" s="1582"/>
      <c r="C90" s="216" t="str">
        <f>F!C291</f>
        <v>Much (20-50%) bare ground or thatch is visible.  Low stem density and/or tall plants with little living ground cover during early growing season.</v>
      </c>
      <c r="D90" s="44">
        <f>F!D291</f>
        <v>0</v>
      </c>
      <c r="E90" s="49">
        <v>2</v>
      </c>
      <c r="F90" s="45">
        <f>D90*E90</f>
        <v>0</v>
      </c>
      <c r="G90" s="793"/>
      <c r="H90" s="1521"/>
    </row>
    <row r="91" spans="1:8" ht="16.2" customHeight="1" x14ac:dyDescent="0.25">
      <c r="A91" s="1822"/>
      <c r="B91" s="1582"/>
      <c r="C91" s="216" t="str">
        <f>F!C292</f>
        <v>Mostly (&gt;50%) bare ground or thatch.</v>
      </c>
      <c r="D91" s="44">
        <f>F!D292</f>
        <v>0</v>
      </c>
      <c r="E91" s="49">
        <v>1</v>
      </c>
      <c r="F91" s="45">
        <f>D91*E91</f>
        <v>0</v>
      </c>
      <c r="G91" s="800"/>
      <c r="H91" s="1521"/>
    </row>
    <row r="92" spans="1:8" ht="16.2" customHeight="1" thickBot="1" x14ac:dyDescent="0.3">
      <c r="A92" s="1825"/>
      <c r="B92" s="1600"/>
      <c r="C92" s="254" t="str">
        <f>F!C293</f>
        <v>Not applicable.  All of the AA is inundated throughout most years.</v>
      </c>
      <c r="D92" s="198">
        <f>F!D293</f>
        <v>0</v>
      </c>
      <c r="E92" s="245"/>
      <c r="F92" s="193"/>
      <c r="G92" s="909"/>
      <c r="H92" s="1523"/>
    </row>
    <row r="93" spans="1:8" ht="39" customHeight="1" thickBot="1" x14ac:dyDescent="0.3">
      <c r="A93" s="1821" t="str">
        <f>F!A294</f>
        <v>F57</v>
      </c>
      <c r="B93" s="1582" t="str">
        <f>F!B294</f>
        <v>Ground Irregularity (Girreg)</v>
      </c>
      <c r="C93" s="4" t="str">
        <f>F!C294</f>
        <v xml:space="preserve"> In parts of the AA that lack persistent water, the number of small pits, raised mounds, hummocks, boulders, upturned trees, animal burrows, islands, natural levees, wide soil cracks, and microdepressions is:</v>
      </c>
      <c r="D93" s="65"/>
      <c r="E93" s="65"/>
      <c r="F93" s="60"/>
      <c r="G93" s="799">
        <f>MAX(F94:F96)/MAX(E94:E96)</f>
        <v>0</v>
      </c>
      <c r="H93" s="1582" t="s">
        <v>204</v>
      </c>
    </row>
    <row r="94" spans="1:8" ht="27" customHeight="1" x14ac:dyDescent="0.25">
      <c r="A94" s="1822"/>
      <c r="B94" s="1582"/>
      <c r="C94" s="215" t="str">
        <f>F!C295</f>
        <v>Few or none, or the entire AA is always water-covered.  Minimal microtopography; &lt;1% of the AA, e.g., many flat sites having a single hydroperiod.</v>
      </c>
      <c r="D94" s="44">
        <f>F!D295</f>
        <v>0</v>
      </c>
      <c r="E94" s="49">
        <v>0</v>
      </c>
      <c r="F94" s="45">
        <f>D94*E94</f>
        <v>0</v>
      </c>
      <c r="G94" s="792"/>
      <c r="H94" s="1582"/>
    </row>
    <row r="95" spans="1:8" ht="16.2" customHeight="1" x14ac:dyDescent="0.25">
      <c r="A95" s="1822"/>
      <c r="B95" s="1582"/>
      <c r="C95" s="216" t="str">
        <f>F!C296</f>
        <v>Intermediate.</v>
      </c>
      <c r="D95" s="44">
        <f>F!D296</f>
        <v>0</v>
      </c>
      <c r="E95" s="49">
        <v>1</v>
      </c>
      <c r="F95" s="45">
        <f>D95*E95</f>
        <v>0</v>
      </c>
      <c r="G95" s="793"/>
      <c r="H95" s="1582"/>
    </row>
    <row r="96" spans="1:8" ht="16.2" customHeight="1" thickBot="1" x14ac:dyDescent="0.3">
      <c r="A96" s="1825"/>
      <c r="B96" s="1582"/>
      <c r="C96" s="95" t="str">
        <f>F!C297</f>
        <v>Several (extensive micro-topography).</v>
      </c>
      <c r="D96" s="17">
        <f>F!D297</f>
        <v>0</v>
      </c>
      <c r="E96" s="67">
        <v>2</v>
      </c>
      <c r="F96" s="54">
        <f>D96*E96</f>
        <v>0</v>
      </c>
      <c r="G96" s="800"/>
      <c r="H96" s="1582"/>
    </row>
    <row r="97" spans="1:8" ht="36" customHeight="1" thickBot="1" x14ac:dyDescent="0.3">
      <c r="A97" s="1821" t="str">
        <f>F!A298</f>
        <v>F58</v>
      </c>
      <c r="B97" s="1599" t="str">
        <f>F!B298</f>
        <v>Soil Composition (SoilTex)</v>
      </c>
      <c r="C97" s="75" t="str">
        <f>F!C298</f>
        <v>Based on digging into the substrate and examining the surface layer of the soil (2 inch depth) that was mapped as being predominant, its composition (excluding duff and living roots) is mostly:</v>
      </c>
      <c r="D97" s="549"/>
      <c r="E97" s="210"/>
      <c r="F97" s="241"/>
      <c r="G97" s="804">
        <f>MAX(F98:F101)/MAX(E98:E101)</f>
        <v>0</v>
      </c>
      <c r="H97" s="1599" t="s">
        <v>633</v>
      </c>
    </row>
    <row r="98" spans="1:8" ht="16.2" customHeight="1" x14ac:dyDescent="0.25">
      <c r="A98" s="1822"/>
      <c r="B98" s="1582"/>
      <c r="C98" s="215" t="str">
        <f>F!C299</f>
        <v>Loamy: includes silt, silt loam, loam, sandy loam.</v>
      </c>
      <c r="D98" s="44">
        <f>F!D299</f>
        <v>0</v>
      </c>
      <c r="E98" s="49">
        <v>2</v>
      </c>
      <c r="F98" s="45">
        <f>D98*E98</f>
        <v>0</v>
      </c>
      <c r="G98" s="792"/>
      <c r="H98" s="1582"/>
    </row>
    <row r="99" spans="1:8" ht="16.2" customHeight="1" x14ac:dyDescent="0.25">
      <c r="A99" s="1822"/>
      <c r="B99" s="1582"/>
      <c r="C99" s="216" t="str">
        <f>F!C300</f>
        <v>Clayey: includes clay, clay loam, silty clay, silty clay loam, sandy clay, sandy clay loam.</v>
      </c>
      <c r="D99" s="44">
        <f>F!D300</f>
        <v>0</v>
      </c>
      <c r="E99" s="49">
        <v>3</v>
      </c>
      <c r="F99" s="45">
        <f>D99*E99</f>
        <v>0</v>
      </c>
      <c r="G99" s="793"/>
      <c r="H99" s="1582"/>
    </row>
    <row r="100" spans="1:8" ht="27" customHeight="1" x14ac:dyDescent="0.25">
      <c r="A100" s="1822"/>
      <c r="B100" s="1582"/>
      <c r="C100" s="216" t="str">
        <f>F!C301</f>
        <v>Organic: includes muck, mucky peat, peat, and mucky mineral soils (blackish or grayish).  Exclude live roots unless they are moss.</v>
      </c>
      <c r="D100" s="44">
        <f>F!D301</f>
        <v>0</v>
      </c>
      <c r="E100" s="49">
        <v>5</v>
      </c>
      <c r="F100" s="45">
        <f>D100*E100</f>
        <v>0</v>
      </c>
      <c r="G100" s="800"/>
      <c r="H100" s="1582"/>
    </row>
    <row r="101" spans="1:8" ht="27.75" customHeight="1" thickBot="1" x14ac:dyDescent="0.3">
      <c r="A101" s="1825"/>
      <c r="B101" s="1600"/>
      <c r="C101" s="254" t="str">
        <f>F!C302</f>
        <v>Coarse: includes sand, loamy sand, gravel, cobble, stones, boulders, fluvents, fluvaquents, riverwash.</v>
      </c>
      <c r="D101" s="17">
        <f>F!D302</f>
        <v>0</v>
      </c>
      <c r="E101" s="245">
        <v>1</v>
      </c>
      <c r="F101" s="193">
        <f>D101*E101</f>
        <v>0</v>
      </c>
      <c r="G101" s="909"/>
      <c r="H101" s="1600"/>
    </row>
    <row r="102" spans="1:8" ht="69" customHeight="1" thickBot="1" x14ac:dyDescent="0.3">
      <c r="A102" s="1930" t="str">
        <f>F!A304</f>
        <v>F60</v>
      </c>
      <c r="B102" s="1652" t="str">
        <f>F!B304</f>
        <v>Restored or Created Wetland (NewWet)</v>
      </c>
      <c r="C102" s="836" t="str">
        <f>F!C304</f>
        <v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v>
      </c>
      <c r="D102" s="549"/>
      <c r="E102" s="93"/>
      <c r="F102" s="825"/>
      <c r="G102" s="799">
        <f>MAX(F103:F107)/MAX(E103:E107)</f>
        <v>0</v>
      </c>
      <c r="H102" s="1582" t="s">
        <v>196</v>
      </c>
    </row>
    <row r="103" spans="1:8" ht="16.2" customHeight="1" x14ac:dyDescent="0.25">
      <c r="A103" s="1931"/>
      <c r="B103" s="1652"/>
      <c r="C103" s="913" t="str">
        <f>F!C305</f>
        <v>Yes, and constructed or restored mostly within last 3 years.</v>
      </c>
      <c r="D103" s="914">
        <f>F!D305</f>
        <v>0</v>
      </c>
      <c r="E103" s="67">
        <v>0</v>
      </c>
      <c r="F103" s="45">
        <f>D103*E103</f>
        <v>0</v>
      </c>
      <c r="G103" s="806"/>
      <c r="H103" s="1582"/>
    </row>
    <row r="104" spans="1:8" ht="16.2" customHeight="1" x14ac:dyDescent="0.25">
      <c r="A104" s="1931"/>
      <c r="B104" s="1652"/>
      <c r="C104" s="915" t="str">
        <f>F!C306</f>
        <v>Yes, and constructed or restored mostly 3-7 years ago.</v>
      </c>
      <c r="D104" s="914">
        <f>F!D306</f>
        <v>0</v>
      </c>
      <c r="E104" s="67">
        <v>1</v>
      </c>
      <c r="F104" s="45">
        <f>D104*E104</f>
        <v>0</v>
      </c>
      <c r="G104" s="800"/>
      <c r="H104" s="1582"/>
    </row>
    <row r="105" spans="1:8" ht="16.2" customHeight="1" x14ac:dyDescent="0.25">
      <c r="A105" s="1931"/>
      <c r="B105" s="1652"/>
      <c r="C105" s="915" t="str">
        <f>F!C307</f>
        <v>Yes, and constructed or restored mostly &gt; 7 years ago.</v>
      </c>
      <c r="D105" s="914">
        <f>F!D307</f>
        <v>0</v>
      </c>
      <c r="E105" s="67">
        <v>2</v>
      </c>
      <c r="F105" s="45">
        <f>D105*E105</f>
        <v>0</v>
      </c>
      <c r="G105" s="800"/>
      <c r="H105" s="1582"/>
    </row>
    <row r="106" spans="1:8" ht="16.2" customHeight="1" x14ac:dyDescent="0.25">
      <c r="A106" s="1931"/>
      <c r="B106" s="1652"/>
      <c r="C106" s="915" t="str">
        <f>F!C308</f>
        <v>Yes, but time of origin or restoration unknown.</v>
      </c>
      <c r="D106" s="914">
        <f>F!D308</f>
        <v>0</v>
      </c>
      <c r="E106" s="67">
        <v>1</v>
      </c>
      <c r="F106" s="45">
        <f>D106*E106</f>
        <v>0</v>
      </c>
      <c r="G106" s="800"/>
      <c r="H106" s="1582"/>
    </row>
    <row r="107" spans="1:8" ht="16.2" customHeight="1" x14ac:dyDescent="0.25">
      <c r="A107" s="1931"/>
      <c r="B107" s="1652"/>
      <c r="C107" s="915" t="str">
        <f>F!C309</f>
        <v>No.</v>
      </c>
      <c r="D107" s="914">
        <f>F!D309</f>
        <v>0</v>
      </c>
      <c r="E107" s="67">
        <v>5</v>
      </c>
      <c r="F107" s="45">
        <f>D107*E107</f>
        <v>0</v>
      </c>
      <c r="G107" s="800"/>
      <c r="H107" s="1582"/>
    </row>
    <row r="108" spans="1:8" ht="16.2" customHeight="1" thickBot="1" x14ac:dyDescent="0.3">
      <c r="A108" s="1932"/>
      <c r="B108" s="1652"/>
      <c r="C108" s="916" t="str">
        <f>F!C310</f>
        <v>Unknown if wetland is constructed, restored, or natural.</v>
      </c>
      <c r="D108" s="917">
        <f>F!D310</f>
        <v>0</v>
      </c>
      <c r="E108" s="67"/>
      <c r="F108" s="54"/>
      <c r="G108" s="800"/>
      <c r="H108" s="1582"/>
    </row>
    <row r="109" spans="1:8" ht="60" customHeight="1" thickBot="1" x14ac:dyDescent="0.3">
      <c r="A109" s="918" t="str">
        <f>S!A69</f>
        <v>S5</v>
      </c>
      <c r="B109" s="4" t="str">
        <f>S!B69</f>
        <v>Soil or Sediment Alteration Within the Assessment Area (SoilDisturb).</v>
      </c>
      <c r="C109" s="919" t="s">
        <v>781</v>
      </c>
      <c r="D109" s="248">
        <f>S!F86</f>
        <v>0</v>
      </c>
      <c r="E109" s="260"/>
      <c r="F109" s="835"/>
      <c r="G109" s="830">
        <f>1-D109</f>
        <v>1</v>
      </c>
      <c r="H109" s="4" t="s">
        <v>152</v>
      </c>
    </row>
    <row r="110" spans="1:8" s="361" customFormat="1" ht="36" customHeight="1" thickBot="1" x14ac:dyDescent="0.3">
      <c r="A110" s="920" t="s">
        <v>126</v>
      </c>
      <c r="B110" s="374" t="s">
        <v>1466</v>
      </c>
      <c r="C110" s="921" t="s">
        <v>1271</v>
      </c>
      <c r="D110" s="374" t="s">
        <v>115</v>
      </c>
      <c r="E110" s="851" t="s">
        <v>771</v>
      </c>
      <c r="F110" s="374" t="s">
        <v>1462</v>
      </c>
      <c r="G110" s="922" t="s">
        <v>1273</v>
      </c>
      <c r="H110" s="922" t="s">
        <v>772</v>
      </c>
    </row>
    <row r="111" spans="1:8" ht="21" customHeight="1" thickBot="1" x14ac:dyDescent="0.3">
      <c r="A111" s="1922" t="str">
        <f>T!A5</f>
        <v>T1</v>
      </c>
      <c r="B111" s="1521" t="str">
        <f>T!B5</f>
        <v>Estuarine Position (EstPosT)</v>
      </c>
      <c r="C111" s="75" t="str">
        <f>T!C5</f>
        <v>The AA's relative position in the estuary is:</v>
      </c>
      <c r="D111" s="902"/>
      <c r="E111" s="65"/>
      <c r="F111" s="46"/>
      <c r="G111" s="857">
        <f>MAX(F112:F114)/MAX(E112:E114)</f>
        <v>0</v>
      </c>
      <c r="H111" s="1522" t="s">
        <v>643</v>
      </c>
    </row>
    <row r="112" spans="1:8" ht="27" customHeight="1" x14ac:dyDescent="0.25">
      <c r="A112" s="1923"/>
      <c r="B112" s="1521"/>
      <c r="C112" s="215" t="str">
        <f>T!C6</f>
        <v>Lower 1/3 (often on a bay and distant from the head-of-tide of a major river; includes most saline tidal wetlands).</v>
      </c>
      <c r="D112" s="44">
        <f>T!D6</f>
        <v>0</v>
      </c>
      <c r="E112" s="49">
        <v>1</v>
      </c>
      <c r="F112" s="45">
        <f>D112*E112</f>
        <v>0</v>
      </c>
      <c r="G112" s="792"/>
      <c r="H112" s="1521"/>
    </row>
    <row r="113" spans="1:8" ht="16.2" customHeight="1" x14ac:dyDescent="0.25">
      <c r="A113" s="1923"/>
      <c r="B113" s="1521"/>
      <c r="C113" s="216" t="str">
        <f>T!C7</f>
        <v>Mid 1/3.</v>
      </c>
      <c r="D113" s="44">
        <f>T!D7</f>
        <v>0</v>
      </c>
      <c r="E113" s="49">
        <v>2</v>
      </c>
      <c r="F113" s="45">
        <f>D113*E113</f>
        <v>0</v>
      </c>
      <c r="G113" s="793"/>
      <c r="H113" s="1521"/>
    </row>
    <row r="114" spans="1:8" ht="28.5" customHeight="1" thickBot="1" x14ac:dyDescent="0.3">
      <c r="A114" s="1924"/>
      <c r="B114" s="1521"/>
      <c r="C114" s="95" t="str">
        <f>T!C8</f>
        <v>Upper 1/3 (near the head-of-tide of a major river; includes most brackish and fresh tidal wetlands).</v>
      </c>
      <c r="D114" s="17">
        <f>T!D8</f>
        <v>0</v>
      </c>
      <c r="E114" s="67">
        <v>3</v>
      </c>
      <c r="F114" s="54">
        <f>D114*E114</f>
        <v>0</v>
      </c>
      <c r="G114" s="800"/>
      <c r="H114" s="1523"/>
    </row>
    <row r="115" spans="1:8" ht="21" customHeight="1" thickBot="1" x14ac:dyDescent="0.3">
      <c r="A115" s="1889" t="str">
        <f>T!A9</f>
        <v>T2</v>
      </c>
      <c r="B115" s="1522" t="str">
        <f>T!B9</f>
        <v>Salinity (SalinT)</v>
      </c>
      <c r="C115" s="4" t="str">
        <f>T!C9</f>
        <v>At high tide during most of the year, the daily salinity in most of the inundated part of the AA is:</v>
      </c>
      <c r="D115" s="856"/>
      <c r="E115" s="923"/>
      <c r="F115" s="924"/>
      <c r="G115" s="857">
        <f>MAX(F116:F119)/MAX(E116:E119)</f>
        <v>0</v>
      </c>
      <c r="H115" s="1521" t="s">
        <v>1150</v>
      </c>
    </row>
    <row r="116" spans="1:8" ht="16.2" customHeight="1" x14ac:dyDescent="0.25">
      <c r="A116" s="1890"/>
      <c r="B116" s="1521"/>
      <c r="C116" s="215" t="str">
        <f>T!C10</f>
        <v xml:space="preserve">Saline (&gt;25 ppt salinity, undiluted seawater).  </v>
      </c>
      <c r="D116" s="44">
        <f>T!D10</f>
        <v>0</v>
      </c>
      <c r="E116" s="858">
        <v>1</v>
      </c>
      <c r="F116" s="45">
        <f>D116*E116</f>
        <v>0</v>
      </c>
      <c r="G116" s="925"/>
      <c r="H116" s="1521"/>
    </row>
    <row r="117" spans="1:8" ht="16.2" customHeight="1" x14ac:dyDescent="0.25">
      <c r="A117" s="1890"/>
      <c r="B117" s="1521"/>
      <c r="C117" s="216" t="str">
        <f>T!C11</f>
        <v>Moderately saline (5 to 25 ppt salinity).</v>
      </c>
      <c r="D117" s="44">
        <f>T!D11</f>
        <v>0</v>
      </c>
      <c r="E117" s="858">
        <v>2</v>
      </c>
      <c r="F117" s="45">
        <f>D117*E117</f>
        <v>0</v>
      </c>
      <c r="G117" s="926"/>
      <c r="H117" s="1521"/>
    </row>
    <row r="118" spans="1:8" ht="16.2" customHeight="1" x14ac:dyDescent="0.25">
      <c r="A118" s="1890"/>
      <c r="B118" s="1521"/>
      <c r="C118" s="216" t="str">
        <f>T!C12</f>
        <v>Brackish (0.5 to &lt;5 ppt salinity, "oligohaline").</v>
      </c>
      <c r="D118" s="44">
        <f>T!D12</f>
        <v>0</v>
      </c>
      <c r="E118" s="858">
        <v>3</v>
      </c>
      <c r="F118" s="45">
        <f>D118*E118</f>
        <v>0</v>
      </c>
      <c r="G118" s="926"/>
      <c r="H118" s="1521"/>
    </row>
    <row r="119" spans="1:8" ht="16.2" customHeight="1" x14ac:dyDescent="0.25">
      <c r="A119" s="1890"/>
      <c r="B119" s="1521"/>
      <c r="C119" s="216" t="str">
        <f>T!C13</f>
        <v>Fresh (&lt;0.5 ppt salinity).</v>
      </c>
      <c r="D119" s="44">
        <f>T!D13</f>
        <v>0</v>
      </c>
      <c r="E119" s="858">
        <v>2</v>
      </c>
      <c r="F119" s="45">
        <f>D119*E119</f>
        <v>0</v>
      </c>
      <c r="G119" s="926"/>
      <c r="H119" s="1521"/>
    </row>
    <row r="120" spans="1:8" ht="16.2" customHeight="1" thickBot="1" x14ac:dyDescent="0.3">
      <c r="A120" s="1891"/>
      <c r="B120" s="1523"/>
      <c r="C120" s="254" t="str">
        <f>T!C14</f>
        <v>Unknown.</v>
      </c>
      <c r="D120" s="17">
        <f>T!D14</f>
        <v>0</v>
      </c>
      <c r="E120" s="859"/>
      <c r="F120" s="927"/>
      <c r="G120" s="928"/>
      <c r="H120" s="1523"/>
    </row>
    <row r="121" spans="1:8" ht="30" customHeight="1" thickBot="1" x14ac:dyDescent="0.3">
      <c r="A121" s="1925" t="str">
        <f>T!A23</f>
        <v>T4</v>
      </c>
      <c r="B121" s="1896" t="str">
        <f>T!B23</f>
        <v>Width of Vegetated Zone at Daily High Tide (WidthHiT)</v>
      </c>
      <c r="C121" s="4" t="str">
        <f>T!C23</f>
        <v>At average daily HIGH tide condition, the width of the vegetated wetland that separates adjoining uplands (if any) from subtidal water within or adjoining the AA, is predominantly:</v>
      </c>
      <c r="D121" s="856"/>
      <c r="E121" s="860"/>
      <c r="F121" s="929"/>
      <c r="G121" s="857">
        <f>MAX(F122:F127)/MAX(E122:E127)</f>
        <v>0</v>
      </c>
      <c r="H121" s="1522" t="s">
        <v>754</v>
      </c>
    </row>
    <row r="122" spans="1:8" ht="16.2" customHeight="1" x14ac:dyDescent="0.25">
      <c r="A122" s="1890"/>
      <c r="B122" s="1623"/>
      <c r="C122" s="215" t="str">
        <f>T!C24</f>
        <v>&lt;5 ft, or no vegetation between upland and subtidal water.</v>
      </c>
      <c r="D122" s="44">
        <f>T!D24</f>
        <v>0</v>
      </c>
      <c r="E122" s="858">
        <v>0</v>
      </c>
      <c r="F122" s="45">
        <f t="shared" ref="F122:F127" si="2">D122*E122</f>
        <v>0</v>
      </c>
      <c r="G122" s="792"/>
      <c r="H122" s="1521"/>
    </row>
    <row r="123" spans="1:8" ht="16.2" customHeight="1" x14ac:dyDescent="0.25">
      <c r="A123" s="1890"/>
      <c r="B123" s="1623"/>
      <c r="C123" s="216" t="str">
        <f>T!C25</f>
        <v>5 to &lt;30 ft.</v>
      </c>
      <c r="D123" s="44">
        <f>T!D25</f>
        <v>0</v>
      </c>
      <c r="E123" s="858">
        <v>2</v>
      </c>
      <c r="F123" s="45">
        <f t="shared" si="2"/>
        <v>0</v>
      </c>
      <c r="G123" s="793"/>
      <c r="H123" s="1521"/>
    </row>
    <row r="124" spans="1:8" ht="16.2" customHeight="1" x14ac:dyDescent="0.25">
      <c r="A124" s="1890"/>
      <c r="B124" s="1623"/>
      <c r="C124" s="216" t="str">
        <f>T!C26</f>
        <v>30 to &lt;50 ft.</v>
      </c>
      <c r="D124" s="44">
        <f>T!D26</f>
        <v>0</v>
      </c>
      <c r="E124" s="858">
        <v>3</v>
      </c>
      <c r="F124" s="45">
        <f t="shared" si="2"/>
        <v>0</v>
      </c>
      <c r="G124" s="793"/>
      <c r="H124" s="1521"/>
    </row>
    <row r="125" spans="1:8" ht="16.2" customHeight="1" x14ac:dyDescent="0.25">
      <c r="A125" s="1890"/>
      <c r="B125" s="1623"/>
      <c r="C125" s="216" t="str">
        <f>T!C27</f>
        <v>50 to &lt;100 ft.</v>
      </c>
      <c r="D125" s="44">
        <f>T!D27</f>
        <v>0</v>
      </c>
      <c r="E125" s="858">
        <v>4</v>
      </c>
      <c r="F125" s="45">
        <f t="shared" si="2"/>
        <v>0</v>
      </c>
      <c r="G125" s="793"/>
      <c r="H125" s="1521"/>
    </row>
    <row r="126" spans="1:8" ht="16.2" customHeight="1" x14ac:dyDescent="0.25">
      <c r="A126" s="1890"/>
      <c r="B126" s="1623"/>
      <c r="C126" s="216" t="str">
        <f>T!C28</f>
        <v>100 to 300 ft.</v>
      </c>
      <c r="D126" s="44">
        <f>T!D28</f>
        <v>0</v>
      </c>
      <c r="E126" s="858">
        <v>5</v>
      </c>
      <c r="F126" s="45">
        <f t="shared" si="2"/>
        <v>0</v>
      </c>
      <c r="G126" s="793"/>
      <c r="H126" s="1521"/>
    </row>
    <row r="127" spans="1:8" ht="16.2" customHeight="1" thickBot="1" x14ac:dyDescent="0.3">
      <c r="A127" s="1926"/>
      <c r="B127" s="1897"/>
      <c r="C127" s="95" t="str">
        <f>T!C29</f>
        <v>&gt; 300 ft.</v>
      </c>
      <c r="D127" s="17">
        <f>T!D29</f>
        <v>0</v>
      </c>
      <c r="E127" s="861">
        <v>6</v>
      </c>
      <c r="F127" s="54">
        <f t="shared" si="2"/>
        <v>0</v>
      </c>
      <c r="G127" s="800"/>
      <c r="H127" s="1523"/>
    </row>
    <row r="128" spans="1:8" ht="30" customHeight="1" thickBot="1" x14ac:dyDescent="0.3">
      <c r="A128" s="1889" t="str">
        <f>T!A30</f>
        <v>T5</v>
      </c>
      <c r="B128" s="1622" t="str">
        <f>T!B30</f>
        <v>Width of Vegetated Zone at Daily Low Tide (WidthLoT)</v>
      </c>
      <c r="C128" s="75" t="str">
        <f>T!C30</f>
        <v>At average daily LOW tide condition, the width of the vegetated wetland that separates adjoining uplands (if any) from subtidal water within or adjoining the AA, is predominantly:</v>
      </c>
      <c r="D128" s="855"/>
      <c r="E128" s="856"/>
      <c r="F128" s="924"/>
      <c r="G128" s="857">
        <f>MAX(F129:F134)/MAX(E129:E134)</f>
        <v>0</v>
      </c>
      <c r="H128" s="1522" t="s">
        <v>124</v>
      </c>
    </row>
    <row r="129" spans="1:8" ht="16.2" customHeight="1" x14ac:dyDescent="0.25">
      <c r="A129" s="1890"/>
      <c r="B129" s="1623"/>
      <c r="C129" s="215" t="str">
        <f>T!C31</f>
        <v>&lt;5 ft, or no vegetation between upland and subtidal water.</v>
      </c>
      <c r="D129" s="44">
        <f>T!D31</f>
        <v>0</v>
      </c>
      <c r="E129" s="858">
        <v>0</v>
      </c>
      <c r="F129" s="45">
        <f t="shared" ref="F129:F134" si="3">D129*E129</f>
        <v>0</v>
      </c>
      <c r="G129" s="792"/>
      <c r="H129" s="1521"/>
    </row>
    <row r="130" spans="1:8" ht="16.2" customHeight="1" x14ac:dyDescent="0.25">
      <c r="A130" s="1890"/>
      <c r="B130" s="1623"/>
      <c r="C130" s="216" t="str">
        <f>T!C32</f>
        <v>5 to &lt;30 ft.</v>
      </c>
      <c r="D130" s="44">
        <f>T!D32</f>
        <v>0</v>
      </c>
      <c r="E130" s="858">
        <v>2</v>
      </c>
      <c r="F130" s="45">
        <f t="shared" si="3"/>
        <v>0</v>
      </c>
      <c r="G130" s="793"/>
      <c r="H130" s="1521"/>
    </row>
    <row r="131" spans="1:8" ht="16.2" customHeight="1" x14ac:dyDescent="0.25">
      <c r="A131" s="1890"/>
      <c r="B131" s="1623"/>
      <c r="C131" s="216" t="str">
        <f>T!C33</f>
        <v>30 to &lt;50 ft.</v>
      </c>
      <c r="D131" s="44">
        <f>T!D33</f>
        <v>0</v>
      </c>
      <c r="E131" s="858">
        <v>3</v>
      </c>
      <c r="F131" s="45">
        <f t="shared" si="3"/>
        <v>0</v>
      </c>
      <c r="G131" s="793"/>
      <c r="H131" s="1521"/>
    </row>
    <row r="132" spans="1:8" ht="16.2" customHeight="1" x14ac:dyDescent="0.25">
      <c r="A132" s="1890"/>
      <c r="B132" s="1623"/>
      <c r="C132" s="216" t="str">
        <f>T!C34</f>
        <v>50 to &lt;100 ft.</v>
      </c>
      <c r="D132" s="44">
        <f>T!D34</f>
        <v>0</v>
      </c>
      <c r="E132" s="858">
        <v>4</v>
      </c>
      <c r="F132" s="45">
        <f t="shared" si="3"/>
        <v>0</v>
      </c>
      <c r="G132" s="793"/>
      <c r="H132" s="1521"/>
    </row>
    <row r="133" spans="1:8" ht="16.2" customHeight="1" x14ac:dyDescent="0.25">
      <c r="A133" s="1890"/>
      <c r="B133" s="1623"/>
      <c r="C133" s="216" t="str">
        <f>T!C35</f>
        <v>100 to 300 ft.</v>
      </c>
      <c r="D133" s="44">
        <f>T!D35</f>
        <v>0</v>
      </c>
      <c r="E133" s="858">
        <v>5</v>
      </c>
      <c r="F133" s="45">
        <f t="shared" si="3"/>
        <v>0</v>
      </c>
      <c r="G133" s="793"/>
      <c r="H133" s="1521"/>
    </row>
    <row r="134" spans="1:8" ht="16.2" customHeight="1" thickBot="1" x14ac:dyDescent="0.3">
      <c r="A134" s="1891"/>
      <c r="B134" s="1624"/>
      <c r="C134" s="254" t="str">
        <f>T!C36</f>
        <v>&gt; 300 ft.</v>
      </c>
      <c r="D134" s="17">
        <f>T!D36</f>
        <v>0</v>
      </c>
      <c r="E134" s="859">
        <v>6</v>
      </c>
      <c r="F134" s="193">
        <f t="shared" si="3"/>
        <v>0</v>
      </c>
      <c r="G134" s="800"/>
      <c r="H134" s="1523"/>
    </row>
    <row r="135" spans="1:8" ht="21" customHeight="1" thickBot="1" x14ac:dyDescent="0.3">
      <c r="A135" s="1925" t="str">
        <f>T!A180</f>
        <v>T32</v>
      </c>
      <c r="B135" s="1896" t="str">
        <f>T!B180</f>
        <v>Bare Ground &amp; Accumulated Plant Litter (GcoverT)</v>
      </c>
      <c r="C135" s="75" t="str">
        <f>T!C180</f>
        <v>Viewed from 6 inches above the soil surface, the condition in most of the tidal wetland is:</v>
      </c>
      <c r="D135" s="855"/>
      <c r="E135" s="860"/>
      <c r="F135" s="929"/>
      <c r="G135" s="857">
        <f>IF((D140=1),"",MAX(F136:F140)/MAX(E136:E140))</f>
        <v>0</v>
      </c>
      <c r="H135" s="1521" t="s">
        <v>1539</v>
      </c>
    </row>
    <row r="136" spans="1:8" ht="51.75" customHeight="1" x14ac:dyDescent="0.25">
      <c r="A136" s="1890"/>
      <c r="B136" s="1623"/>
      <c r="C136" s="215"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136" s="47">
        <f>T!D181</f>
        <v>0</v>
      </c>
      <c r="E136" s="858">
        <v>4</v>
      </c>
      <c r="F136" s="45">
        <f>D136*E136</f>
        <v>0</v>
      </c>
      <c r="G136" s="792"/>
      <c r="H136" s="1521"/>
    </row>
    <row r="137" spans="1:8" ht="27" customHeight="1" x14ac:dyDescent="0.25">
      <c r="A137" s="1890"/>
      <c r="B137" s="1623"/>
      <c r="C137" s="216" t="str">
        <f>T!C182</f>
        <v>Some (5-20%) bare ground or remaining thatch is visible.  Herbaceous plants have moderate stem densities and do not closely hug the ground.</v>
      </c>
      <c r="D137" s="47">
        <f>T!D182</f>
        <v>0</v>
      </c>
      <c r="E137" s="858">
        <v>3</v>
      </c>
      <c r="F137" s="45">
        <f>D137*E137</f>
        <v>0</v>
      </c>
      <c r="G137" s="793"/>
      <c r="H137" s="1521"/>
    </row>
    <row r="138" spans="1:8" ht="27" customHeight="1" x14ac:dyDescent="0.25">
      <c r="A138" s="1890"/>
      <c r="B138" s="1623"/>
      <c r="C138" s="216" t="str">
        <f>T!C183</f>
        <v>Much (20-50%) bare ground or thatch is visible.  Low stem density and/or tall plants with little living ground cover during early growing season.</v>
      </c>
      <c r="D138" s="47">
        <f>T!D183</f>
        <v>0</v>
      </c>
      <c r="E138" s="858">
        <v>2</v>
      </c>
      <c r="F138" s="45">
        <f>D138*E138</f>
        <v>0</v>
      </c>
      <c r="G138" s="793"/>
      <c r="H138" s="1521"/>
    </row>
    <row r="139" spans="1:8" ht="16.2" customHeight="1" x14ac:dyDescent="0.25">
      <c r="A139" s="1890"/>
      <c r="B139" s="1623"/>
      <c r="C139" s="216" t="str">
        <f>T!C184</f>
        <v>Mostly (&gt;50%) bare ground or thatch.</v>
      </c>
      <c r="D139" s="47">
        <f>T!D184</f>
        <v>0</v>
      </c>
      <c r="E139" s="858">
        <v>1</v>
      </c>
      <c r="F139" s="45">
        <f>D139*E139</f>
        <v>0</v>
      </c>
      <c r="G139" s="793"/>
      <c r="H139" s="1521"/>
    </row>
    <row r="140" spans="1:8" ht="16.2" customHeight="1" thickBot="1" x14ac:dyDescent="0.3">
      <c r="A140" s="1926"/>
      <c r="B140" s="1897"/>
      <c r="C140" s="95" t="str">
        <f>T!C185</f>
        <v>Not applicable.  Nearly all of the AA remains inundated even at daily low tide.</v>
      </c>
      <c r="D140" s="17">
        <f>T!D185</f>
        <v>0</v>
      </c>
      <c r="E140" s="861"/>
      <c r="F140" s="54"/>
      <c r="G140" s="800"/>
      <c r="H140" s="1521"/>
    </row>
    <row r="141" spans="1:8" s="361" customFormat="1" ht="36" customHeight="1" thickBot="1" x14ac:dyDescent="0.3">
      <c r="A141" s="362" t="s">
        <v>126</v>
      </c>
      <c r="B141" s="363" t="s">
        <v>1463</v>
      </c>
      <c r="C141" s="442" t="s">
        <v>1271</v>
      </c>
      <c r="D141" s="930" t="s">
        <v>115</v>
      </c>
      <c r="E141" s="863" t="s">
        <v>771</v>
      </c>
      <c r="F141" s="363" t="s">
        <v>1467</v>
      </c>
      <c r="G141" s="824" t="s">
        <v>1273</v>
      </c>
      <c r="H141" s="363" t="s">
        <v>772</v>
      </c>
    </row>
    <row r="142" spans="1:8" ht="33" customHeight="1" thickBot="1" x14ac:dyDescent="0.3">
      <c r="A142" s="1796" t="str">
        <f>OF!A175</f>
        <v>OF32</v>
      </c>
      <c r="B142" s="1522" t="str">
        <f>OF!B175</f>
        <v>Drinking Water Source (DEQ) (DWsource)</v>
      </c>
      <c r="C142" s="836" t="str">
        <f>OF!C175</f>
        <v>According to ORWAP Map Viewer's Surface Water Drinking Source Water Areas layer and the Ground Water Drinking Source Water Areas layer, the AA is within:</v>
      </c>
      <c r="D142" s="549"/>
      <c r="E142" s="239"/>
      <c r="F142" s="258"/>
      <c r="G142" s="809">
        <f>MAX(F143:F145)/MAX(E143:E145)</f>
        <v>0</v>
      </c>
      <c r="H142" s="1522" t="s">
        <v>377</v>
      </c>
    </row>
    <row r="143" spans="1:8" ht="16.2" customHeight="1" x14ac:dyDescent="0.25">
      <c r="A143" s="1797"/>
      <c r="B143" s="1521"/>
      <c r="C143" s="11" t="str">
        <f>OF!C176</f>
        <v>The source area for a surface-water drinking water (DW) source.</v>
      </c>
      <c r="D143" s="44">
        <f>OF!D176</f>
        <v>0</v>
      </c>
      <c r="E143" s="67">
        <v>1</v>
      </c>
      <c r="F143" s="45">
        <f>D143*E143</f>
        <v>0</v>
      </c>
      <c r="G143" s="806"/>
      <c r="H143" s="1521"/>
    </row>
    <row r="144" spans="1:8" ht="16.2" customHeight="1" x14ac:dyDescent="0.25">
      <c r="A144" s="1797"/>
      <c r="B144" s="1521"/>
      <c r="C144" s="286" t="str">
        <f>OF!C177</f>
        <v>The source area for a groundwater drinking water source.</v>
      </c>
      <c r="D144" s="44">
        <f>OF!D177</f>
        <v>0</v>
      </c>
      <c r="E144" s="67">
        <v>1</v>
      </c>
      <c r="F144" s="45">
        <f>D144*E144</f>
        <v>0</v>
      </c>
      <c r="G144" s="800"/>
      <c r="H144" s="1521"/>
    </row>
    <row r="145" spans="1:8" ht="16.2" customHeight="1" thickBot="1" x14ac:dyDescent="0.3">
      <c r="A145" s="1798"/>
      <c r="B145" s="1523"/>
      <c r="C145" s="443" t="str">
        <f>OF!C178</f>
        <v>Neither of above.</v>
      </c>
      <c r="D145" s="17">
        <f>OF!D178</f>
        <v>0</v>
      </c>
      <c r="E145" s="245">
        <v>0</v>
      </c>
      <c r="F145" s="193">
        <f>D145*E145</f>
        <v>0</v>
      </c>
      <c r="G145" s="794"/>
      <c r="H145" s="1523"/>
    </row>
    <row r="146" spans="1:8" ht="21" customHeight="1" thickBot="1" x14ac:dyDescent="0.3">
      <c r="A146" s="1797" t="str">
        <f>OF!A179</f>
        <v>OF33</v>
      </c>
      <c r="B146" s="1521" t="str">
        <f>OF!B179</f>
        <v>Groundwater Risk Designations (GWrisk)</v>
      </c>
      <c r="C146" s="836" t="str">
        <f>OF!C179</f>
        <v>Based on maps in the ORWAP Manual, Appendix A, the AA is:  Select All that apply</v>
      </c>
      <c r="D146" s="549"/>
      <c r="E146" s="93"/>
      <c r="F146" s="825"/>
      <c r="G146" s="809">
        <f>MAX(F147:F149)/MAX(E147:E149)</f>
        <v>0</v>
      </c>
      <c r="H146" s="1521" t="s">
        <v>124</v>
      </c>
    </row>
    <row r="147" spans="1:8" ht="16.2" customHeight="1" x14ac:dyDescent="0.25">
      <c r="A147" s="1933"/>
      <c r="B147" s="1894"/>
      <c r="C147" s="11" t="str">
        <f>OF!C180</f>
        <v>Within a designated Groundwater Management Area (ODEQ).</v>
      </c>
      <c r="D147" s="44">
        <f>OF!D180</f>
        <v>0</v>
      </c>
      <c r="E147" s="67">
        <v>1</v>
      </c>
      <c r="F147" s="45">
        <f>D147*E147</f>
        <v>0</v>
      </c>
      <c r="G147" s="806"/>
      <c r="H147" s="1521"/>
    </row>
    <row r="148" spans="1:8" ht="21" customHeight="1" x14ac:dyDescent="0.25">
      <c r="A148" s="1933"/>
      <c r="B148" s="1894"/>
      <c r="C148" s="286" t="str">
        <f>OF!C181</f>
        <v xml:space="preserve">Within a designated Sole Source Aquifer area (EPA): the North Florence Dunal Aquifer.  </v>
      </c>
      <c r="D148" s="44">
        <f>OF!D181</f>
        <v>0</v>
      </c>
      <c r="E148" s="49">
        <v>1</v>
      </c>
      <c r="F148" s="45">
        <f>D148*E148</f>
        <v>0</v>
      </c>
      <c r="G148" s="800"/>
      <c r="H148" s="1521"/>
    </row>
    <row r="149" spans="1:8" ht="16.2" customHeight="1" thickBot="1" x14ac:dyDescent="0.3">
      <c r="A149" s="1933"/>
      <c r="B149" s="1894"/>
      <c r="C149" s="286" t="str">
        <f>OF!C182</f>
        <v>Neither of above.</v>
      </c>
      <c r="D149" s="198">
        <f>OF!D182</f>
        <v>0</v>
      </c>
      <c r="E149" s="67">
        <v>0</v>
      </c>
      <c r="F149" s="54">
        <f>D149*E149</f>
        <v>0</v>
      </c>
      <c r="G149" s="800"/>
      <c r="H149" s="1521"/>
    </row>
    <row r="150" spans="1:8" ht="45" customHeight="1" thickBot="1" x14ac:dyDescent="0.3">
      <c r="A150" s="1793" t="str">
        <f>F!A253</f>
        <v>F51</v>
      </c>
      <c r="B150" s="1522" t="str">
        <f>F!B253</f>
        <v>N Fixers (Nfix)</v>
      </c>
      <c r="C150" s="75" t="str">
        <f>F!C253</f>
        <v>The percentage of the vegetated area in the AA or along its water edge (whichever has more) that contains nitrogen-fixing plants (e.g., alder, baltic rush, scotch broom, lupine, clover, alfalfa, other legumes) is:</v>
      </c>
      <c r="D150" s="549"/>
      <c r="E150" s="210"/>
      <c r="F150" s="241"/>
      <c r="G150" s="828">
        <f>MAX(F151:F155)/MAX(E151:E155)</f>
        <v>0</v>
      </c>
      <c r="H150" s="1547" t="s">
        <v>849</v>
      </c>
    </row>
    <row r="151" spans="1:8" ht="16.2" customHeight="1" x14ac:dyDescent="0.25">
      <c r="A151" s="1794"/>
      <c r="B151" s="1521"/>
      <c r="C151" s="215" t="str">
        <f>F!C254</f>
        <v>&lt;1% or none.</v>
      </c>
      <c r="D151" s="44">
        <f>F!D254</f>
        <v>0</v>
      </c>
      <c r="E151" s="49">
        <v>0</v>
      </c>
      <c r="F151" s="45">
        <f>D151*E151</f>
        <v>0</v>
      </c>
      <c r="G151" s="806"/>
      <c r="H151" s="1548"/>
    </row>
    <row r="152" spans="1:8" ht="16.2" customHeight="1" x14ac:dyDescent="0.25">
      <c r="A152" s="1794"/>
      <c r="B152" s="1521"/>
      <c r="C152" s="216" t="str">
        <f>F!C255</f>
        <v>1 to &lt;25%.</v>
      </c>
      <c r="D152" s="44">
        <f>F!D255</f>
        <v>0</v>
      </c>
      <c r="E152" s="49">
        <v>1</v>
      </c>
      <c r="F152" s="45">
        <f>D152*E152</f>
        <v>0</v>
      </c>
      <c r="G152" s="800"/>
      <c r="H152" s="1548"/>
    </row>
    <row r="153" spans="1:8" ht="16.2" customHeight="1" x14ac:dyDescent="0.25">
      <c r="A153" s="1794"/>
      <c r="B153" s="1521"/>
      <c r="C153" s="216" t="str">
        <f>F!C256</f>
        <v>25 to &lt;50%.</v>
      </c>
      <c r="D153" s="44">
        <f>F!D256</f>
        <v>0</v>
      </c>
      <c r="E153" s="49">
        <v>2</v>
      </c>
      <c r="F153" s="45">
        <f>D153*E153</f>
        <v>0</v>
      </c>
      <c r="G153" s="886"/>
      <c r="H153" s="1940"/>
    </row>
    <row r="154" spans="1:8" ht="16.2" customHeight="1" x14ac:dyDescent="0.25">
      <c r="A154" s="1794"/>
      <c r="B154" s="1521"/>
      <c r="C154" s="216" t="str">
        <f>F!C257</f>
        <v>50 to 75%.</v>
      </c>
      <c r="D154" s="44">
        <f>F!D257</f>
        <v>0</v>
      </c>
      <c r="E154" s="49">
        <v>3</v>
      </c>
      <c r="F154" s="45">
        <f>D154*E154</f>
        <v>0</v>
      </c>
      <c r="G154" s="806"/>
      <c r="H154" s="1548"/>
    </row>
    <row r="155" spans="1:8" ht="16.2" customHeight="1" thickBot="1" x14ac:dyDescent="0.3">
      <c r="A155" s="1795"/>
      <c r="B155" s="1523"/>
      <c r="C155" s="254" t="str">
        <f>F!C258</f>
        <v>&gt;75%.</v>
      </c>
      <c r="D155" s="198">
        <f>F!D258</f>
        <v>0</v>
      </c>
      <c r="E155" s="245">
        <v>4</v>
      </c>
      <c r="F155" s="193">
        <f>D155*E155</f>
        <v>0</v>
      </c>
      <c r="G155" s="794"/>
      <c r="H155" s="1549"/>
    </row>
    <row r="156" spans="1:8" ht="21" customHeight="1" thickBot="1" x14ac:dyDescent="0.3">
      <c r="A156" s="1934" t="str">
        <f>F!A347</f>
        <v>F71</v>
      </c>
      <c r="B156" s="1582" t="str">
        <f>F!B347</f>
        <v>Domestic Wells (Wells)</v>
      </c>
      <c r="C156" s="4" t="str">
        <f>F!C347</f>
        <v>Wells or water bodies that currently provide drinking water are:</v>
      </c>
      <c r="D156" s="65"/>
      <c r="E156" s="65"/>
      <c r="F156" s="60"/>
      <c r="G156" s="828">
        <f>MAX(F157:F159)/MAX(E157:E159)</f>
        <v>0</v>
      </c>
      <c r="H156" s="1582" t="s">
        <v>124</v>
      </c>
    </row>
    <row r="157" spans="1:8" ht="16.2" customHeight="1" x14ac:dyDescent="0.25">
      <c r="A157" s="1934"/>
      <c r="B157" s="1582"/>
      <c r="C157" s="215" t="str">
        <f>F!C348</f>
        <v>&lt;300 ft and downslope from the AA or at same elevation.</v>
      </c>
      <c r="D157" s="44">
        <f>F!D348</f>
        <v>0</v>
      </c>
      <c r="E157" s="49">
        <v>2</v>
      </c>
      <c r="F157" s="45">
        <f>D157*E157</f>
        <v>0</v>
      </c>
      <c r="G157" s="792"/>
      <c r="H157" s="1582"/>
    </row>
    <row r="158" spans="1:8" ht="16.2" customHeight="1" x14ac:dyDescent="0.25">
      <c r="A158" s="1934"/>
      <c r="B158" s="1582"/>
      <c r="C158" s="216" t="str">
        <f>F!C349</f>
        <v>300 - 1500 ft and downslope or at same elevation.</v>
      </c>
      <c r="D158" s="44">
        <f>F!D349</f>
        <v>0</v>
      </c>
      <c r="E158" s="49">
        <v>1</v>
      </c>
      <c r="F158" s="45">
        <f>D158*E158</f>
        <v>0</v>
      </c>
      <c r="G158" s="793"/>
      <c r="H158" s="1582"/>
    </row>
    <row r="159" spans="1:8" ht="16.2" customHeight="1" thickBot="1" x14ac:dyDescent="0.3">
      <c r="A159" s="1934"/>
      <c r="B159" s="1582"/>
      <c r="C159" s="95" t="str">
        <f>F!C350</f>
        <v>&gt;1500 ft downslope, or none downslope, or no information.</v>
      </c>
      <c r="D159" s="17">
        <f>F!D350</f>
        <v>0</v>
      </c>
      <c r="E159" s="67">
        <v>0</v>
      </c>
      <c r="F159" s="54">
        <f>D159*E159</f>
        <v>0</v>
      </c>
      <c r="G159" s="800"/>
      <c r="H159" s="1582"/>
    </row>
    <row r="160" spans="1:8" ht="21" customHeight="1" thickBot="1" x14ac:dyDescent="0.3">
      <c r="A160" s="1941" t="str">
        <f>T!A5</f>
        <v>T1</v>
      </c>
      <c r="B160" s="1669" t="str">
        <f>T!B5</f>
        <v>Estuarine Position (EstPosT)</v>
      </c>
      <c r="C160" s="931" t="str">
        <f>T!C5</f>
        <v>The AA's relative position in the estuary is:</v>
      </c>
      <c r="D160" s="549"/>
      <c r="E160" s="210"/>
      <c r="F160" s="192"/>
      <c r="G160" s="829">
        <f>MAX(F161:F163)/MAX(E161:E163)</f>
        <v>0</v>
      </c>
      <c r="H160" s="1522" t="s">
        <v>838</v>
      </c>
    </row>
    <row r="161" spans="1:8" ht="27" customHeight="1" x14ac:dyDescent="0.25">
      <c r="A161" s="1942"/>
      <c r="B161" s="1691"/>
      <c r="C161" s="893" t="str">
        <f>T!C6</f>
        <v>Lower 1/3 (often on a bay and distant from the head-of-tide of a major river; includes most saline tidal wetlands).</v>
      </c>
      <c r="D161" s="47">
        <f>T!D6</f>
        <v>0</v>
      </c>
      <c r="E161" s="49">
        <v>2</v>
      </c>
      <c r="F161" s="45">
        <f>D161*E161</f>
        <v>0</v>
      </c>
      <c r="G161" s="792"/>
      <c r="H161" s="1521"/>
    </row>
    <row r="162" spans="1:8" ht="16.2" customHeight="1" x14ac:dyDescent="0.25">
      <c r="A162" s="1942"/>
      <c r="B162" s="1691"/>
      <c r="C162" s="894" t="str">
        <f>T!C7</f>
        <v>Mid 1/3.</v>
      </c>
      <c r="D162" s="47">
        <f>T!D7</f>
        <v>0</v>
      </c>
      <c r="E162" s="49">
        <v>1</v>
      </c>
      <c r="F162" s="45">
        <f>D162*E162</f>
        <v>0</v>
      </c>
      <c r="G162" s="793"/>
      <c r="H162" s="1521"/>
    </row>
    <row r="163" spans="1:8" ht="16.2" customHeight="1" thickBot="1" x14ac:dyDescent="0.3">
      <c r="A163" s="1943"/>
      <c r="B163" s="1692"/>
      <c r="C163" s="932" t="str">
        <f>T!C8</f>
        <v>Upper 1/3 (near the head-of-tide of a major river; includes most brackish and fresh tidal wetlands).</v>
      </c>
      <c r="D163" s="242">
        <f>T!D8</f>
        <v>0</v>
      </c>
      <c r="E163" s="245">
        <v>0</v>
      </c>
      <c r="F163" s="193">
        <f>D163*E163</f>
        <v>0</v>
      </c>
      <c r="G163" s="794"/>
      <c r="H163" s="1523"/>
    </row>
    <row r="164" spans="1:8" ht="21" customHeight="1" thickBot="1" x14ac:dyDescent="0.3">
      <c r="G164" s="15"/>
    </row>
    <row r="165" spans="1:8" ht="21" customHeight="1" x14ac:dyDescent="0.25">
      <c r="C165" s="1834" t="s">
        <v>610</v>
      </c>
      <c r="D165" s="1847" t="s">
        <v>207</v>
      </c>
      <c r="E165" s="1939"/>
      <c r="F165" s="1939"/>
      <c r="G165" s="897">
        <f>AVERAGE(WoodyPct5,_GDD5,Groundw5)</f>
        <v>0</v>
      </c>
      <c r="H165" s="933" t="s">
        <v>660</v>
      </c>
    </row>
    <row r="166" spans="1:8" ht="30" customHeight="1" x14ac:dyDescent="0.25">
      <c r="C166" s="1937"/>
      <c r="D166" s="1846" t="s">
        <v>641</v>
      </c>
      <c r="E166" s="1935"/>
      <c r="F166" s="1935"/>
      <c r="G166" s="898">
        <f>AVERAGE(Gradient5,WidthWet5,Gcover5,ThruFlow5)</f>
        <v>0</v>
      </c>
      <c r="H166" s="934" t="s">
        <v>2140</v>
      </c>
    </row>
    <row r="167" spans="1:8" ht="21" customHeight="1" x14ac:dyDescent="0.25">
      <c r="C167" s="1937"/>
      <c r="D167" s="1846" t="s">
        <v>1169</v>
      </c>
      <c r="E167" s="1935"/>
      <c r="F167" s="1935"/>
      <c r="G167" s="898">
        <f>AVERAGE(OutDura5,Constric5)</f>
        <v>0</v>
      </c>
      <c r="H167" s="934" t="s">
        <v>820</v>
      </c>
    </row>
    <row r="168" spans="1:8" ht="21" customHeight="1" x14ac:dyDescent="0.25">
      <c r="C168" s="1937"/>
      <c r="D168" s="1846" t="s">
        <v>642</v>
      </c>
      <c r="E168" s="1935"/>
      <c r="F168" s="1935"/>
      <c r="G168" s="898">
        <f>(3*AVERAGE(SoilTex5,Moss5,EmPct5) + AVERAGE(SoilDisturb5,NewWet5))/4</f>
        <v>0.375</v>
      </c>
      <c r="H168" s="934" t="s">
        <v>661</v>
      </c>
    </row>
    <row r="169" spans="1:8" ht="32.25" customHeight="1" x14ac:dyDescent="0.25">
      <c r="C169" s="1937"/>
      <c r="D169" s="1846" t="s">
        <v>599</v>
      </c>
      <c r="E169" s="1935"/>
      <c r="F169" s="1935"/>
      <c r="G169" s="898">
        <f>AVERAGE(SeasPct5, AVERAGE(WaterMixDry5,WaterMixWet5,Girreg5,Fluctu5,PermW5,EdgeShape5))</f>
        <v>0</v>
      </c>
      <c r="H169" s="934" t="s">
        <v>1288</v>
      </c>
    </row>
    <row r="170" spans="1:8" ht="21" customHeight="1" thickBot="1" x14ac:dyDescent="0.3">
      <c r="C170" s="1938"/>
      <c r="D170" s="1936" t="s">
        <v>614</v>
      </c>
      <c r="E170" s="1936"/>
      <c r="F170" s="1936"/>
      <c r="G170" s="936">
        <f>AVERAGE(GcoverT5, MAX(EstPosT5,SalinT5), AVERAGE(WidthHiT5,WidthLoT5))</f>
        <v>0</v>
      </c>
      <c r="H170" s="259" t="s">
        <v>847</v>
      </c>
    </row>
    <row r="171" spans="1:8" ht="33" customHeight="1" thickBot="1" x14ac:dyDescent="0.3">
      <c r="C171" s="1807" t="s">
        <v>24</v>
      </c>
      <c r="D171" s="1808"/>
      <c r="E171" s="1809"/>
      <c r="F171" s="250" t="s">
        <v>6</v>
      </c>
      <c r="G171" s="901">
        <f>10*(IF((Tidal=1),TidalScoreNR, IF((NoOutlet4=1),1, IF((NeverWater=1),AVERAGE(Warmth4,Organic4), (3*Redox4 +2*Connec5 + Warmth4 +Organic4 +Intercep4)/8))))</f>
        <v>0.46875</v>
      </c>
      <c r="H171" s="251" t="s">
        <v>1554</v>
      </c>
    </row>
    <row r="172" spans="1:8" ht="33" customHeight="1" thickBot="1" x14ac:dyDescent="0.3">
      <c r="B172" s="5"/>
      <c r="C172" s="1807" t="s">
        <v>25</v>
      </c>
      <c r="D172" s="1808"/>
      <c r="E172" s="1809"/>
      <c r="F172" s="250" t="s">
        <v>7</v>
      </c>
      <c r="G172" s="937">
        <f>10*(IF((Tidal=1),MAX(EstPosT5v,PRval/10,Nfix4v), MAX(PRval/10,Wells5v,GWrisk5,DWsource5v)))</f>
        <v>0</v>
      </c>
      <c r="H172" s="935" t="s">
        <v>1555</v>
      </c>
    </row>
    <row r="173" spans="1:8" ht="21" customHeight="1" thickBot="1" x14ac:dyDescent="0.3">
      <c r="B173" s="79"/>
      <c r="C173" s="500"/>
      <c r="D173" s="79"/>
      <c r="G173" s="15"/>
      <c r="H173" s="11"/>
    </row>
    <row r="174" spans="1:8" ht="21" customHeight="1" thickBot="1" x14ac:dyDescent="0.3">
      <c r="C174" s="2" t="s">
        <v>608</v>
      </c>
      <c r="H174" s="257" t="s">
        <v>859</v>
      </c>
    </row>
    <row r="175" spans="1:8" ht="27" customHeight="1" x14ac:dyDescent="0.25">
      <c r="H175" s="724" t="s">
        <v>943</v>
      </c>
    </row>
    <row r="176" spans="1:8" ht="42" customHeight="1" x14ac:dyDescent="0.25">
      <c r="H176" s="716" t="s">
        <v>1290</v>
      </c>
    </row>
    <row r="177" spans="8:8" ht="27" customHeight="1" x14ac:dyDescent="0.25">
      <c r="H177" s="725" t="s">
        <v>944</v>
      </c>
    </row>
    <row r="178" spans="8:8" ht="27" customHeight="1" x14ac:dyDescent="0.25">
      <c r="H178" s="716" t="s">
        <v>1291</v>
      </c>
    </row>
    <row r="179" spans="8:8" ht="42" customHeight="1" x14ac:dyDescent="0.25">
      <c r="H179" s="725" t="s">
        <v>945</v>
      </c>
    </row>
    <row r="180" spans="8:8" ht="27" customHeight="1" x14ac:dyDescent="0.25">
      <c r="H180" s="725" t="s">
        <v>946</v>
      </c>
    </row>
    <row r="181" spans="8:8" ht="42" customHeight="1" x14ac:dyDescent="0.25">
      <c r="H181" s="716" t="s">
        <v>1292</v>
      </c>
    </row>
    <row r="182" spans="8:8" ht="42" customHeight="1" x14ac:dyDescent="0.25">
      <c r="H182" s="725" t="s">
        <v>947</v>
      </c>
    </row>
    <row r="183" spans="8:8" ht="27" customHeight="1" x14ac:dyDescent="0.25">
      <c r="H183" s="725" t="s">
        <v>948</v>
      </c>
    </row>
    <row r="184" spans="8:8" ht="42" customHeight="1" x14ac:dyDescent="0.25">
      <c r="H184" s="725" t="s">
        <v>949</v>
      </c>
    </row>
    <row r="185" spans="8:8" ht="27" customHeight="1" x14ac:dyDescent="0.25">
      <c r="H185" s="725" t="s">
        <v>950</v>
      </c>
    </row>
    <row r="186" spans="8:8" ht="27" customHeight="1" x14ac:dyDescent="0.25">
      <c r="H186" s="725" t="s">
        <v>935</v>
      </c>
    </row>
    <row r="187" spans="8:8" ht="27" customHeight="1" x14ac:dyDescent="0.25">
      <c r="H187" s="725" t="s">
        <v>951</v>
      </c>
    </row>
    <row r="188" spans="8:8" ht="57" customHeight="1" x14ac:dyDescent="0.25">
      <c r="H188" s="716" t="s">
        <v>1283</v>
      </c>
    </row>
    <row r="189" spans="8:8" ht="42" customHeight="1" x14ac:dyDescent="0.25">
      <c r="H189" s="725" t="s">
        <v>952</v>
      </c>
    </row>
    <row r="190" spans="8:8" ht="27" customHeight="1" x14ac:dyDescent="0.25">
      <c r="H190" s="725" t="s">
        <v>953</v>
      </c>
    </row>
    <row r="191" spans="8:8" ht="27" customHeight="1" x14ac:dyDescent="0.25">
      <c r="H191" s="725" t="s">
        <v>920</v>
      </c>
    </row>
    <row r="192" spans="8:8" ht="27" customHeight="1" x14ac:dyDescent="0.25">
      <c r="H192" s="716" t="s">
        <v>1293</v>
      </c>
    </row>
    <row r="193" spans="8:8" ht="27" customHeight="1" x14ac:dyDescent="0.25">
      <c r="H193" s="725" t="s">
        <v>954</v>
      </c>
    </row>
    <row r="194" spans="8:8" ht="27" customHeight="1" x14ac:dyDescent="0.25">
      <c r="H194" s="725" t="s">
        <v>1294</v>
      </c>
    </row>
    <row r="195" spans="8:8" ht="27" customHeight="1" x14ac:dyDescent="0.25">
      <c r="H195" s="725" t="s">
        <v>955</v>
      </c>
    </row>
    <row r="196" spans="8:8" ht="42" customHeight="1" x14ac:dyDescent="0.25">
      <c r="H196" s="725" t="s">
        <v>956</v>
      </c>
    </row>
    <row r="197" spans="8:8" ht="27" customHeight="1" x14ac:dyDescent="0.25">
      <c r="H197" s="716" t="s">
        <v>1295</v>
      </c>
    </row>
    <row r="198" spans="8:8" ht="27" customHeight="1" x14ac:dyDescent="0.25">
      <c r="H198" s="725" t="s">
        <v>957</v>
      </c>
    </row>
    <row r="199" spans="8:8" ht="27" customHeight="1" x14ac:dyDescent="0.25">
      <c r="H199" s="716" t="s">
        <v>1296</v>
      </c>
    </row>
    <row r="200" spans="8:8" ht="42" customHeight="1" x14ac:dyDescent="0.25">
      <c r="H200" s="725" t="s">
        <v>958</v>
      </c>
    </row>
    <row r="201" spans="8:8" ht="27" customHeight="1" x14ac:dyDescent="0.25">
      <c r="H201" s="725" t="s">
        <v>959</v>
      </c>
    </row>
    <row r="202" spans="8:8" ht="42" customHeight="1" thickBot="1" x14ac:dyDescent="0.3">
      <c r="H202" s="726" t="s">
        <v>960</v>
      </c>
    </row>
  </sheetData>
  <sheetProtection password="C74A" sheet="1" objects="1" scenarios="1" formatCells="0" formatColumns="0" formatRows="0"/>
  <customSheetViews>
    <customSheetView guid="{B8E02330-2419-4DE6-AD01-7ACC7A5D18DD}" scale="75" topLeftCell="A162">
      <selection activeCell="A2" sqref="A2:H172"/>
      <pageMargins left="0.75" right="0.75" top="1" bottom="1" header="0.5" footer="0.5"/>
      <pageSetup orientation="portrait" horizontalDpi="300" verticalDpi="300" r:id="rId1"/>
      <headerFooter alignWithMargins="0"/>
    </customSheetView>
  </customSheetViews>
  <mergeCells count="98">
    <mergeCell ref="A3:A6"/>
    <mergeCell ref="H55:H59"/>
    <mergeCell ref="B55:B59"/>
    <mergeCell ref="A1:B1"/>
    <mergeCell ref="H7:H14"/>
    <mergeCell ref="H43:H48"/>
    <mergeCell ref="H20:H25"/>
    <mergeCell ref="H31:H37"/>
    <mergeCell ref="B3:B6"/>
    <mergeCell ref="B31:B37"/>
    <mergeCell ref="A55:A59"/>
    <mergeCell ref="A7:A14"/>
    <mergeCell ref="A15:A19"/>
    <mergeCell ref="B15:B19"/>
    <mergeCell ref="A20:A25"/>
    <mergeCell ref="B26:B30"/>
    <mergeCell ref="H121:H127"/>
    <mergeCell ref="H102:H108"/>
    <mergeCell ref="H115:H120"/>
    <mergeCell ref="H93:H96"/>
    <mergeCell ref="E1:H1"/>
    <mergeCell ref="H64:H69"/>
    <mergeCell ref="H81:H86"/>
    <mergeCell ref="H3:H6"/>
    <mergeCell ref="H15:H19"/>
    <mergeCell ref="H26:H30"/>
    <mergeCell ref="H38:H42"/>
    <mergeCell ref="H49:H54"/>
    <mergeCell ref="H60:H63"/>
    <mergeCell ref="H70:H74"/>
    <mergeCell ref="H75:H79"/>
    <mergeCell ref="A142:A145"/>
    <mergeCell ref="A135:A140"/>
    <mergeCell ref="C172:E172"/>
    <mergeCell ref="H156:H159"/>
    <mergeCell ref="D169:F169"/>
    <mergeCell ref="D167:F167"/>
    <mergeCell ref="D166:F166"/>
    <mergeCell ref="C171:E171"/>
    <mergeCell ref="H160:H163"/>
    <mergeCell ref="D170:F170"/>
    <mergeCell ref="C165:C170"/>
    <mergeCell ref="D168:F168"/>
    <mergeCell ref="D165:F165"/>
    <mergeCell ref="H150:H155"/>
    <mergeCell ref="A160:A163"/>
    <mergeCell ref="B160:B163"/>
    <mergeCell ref="B150:B155"/>
    <mergeCell ref="A146:A149"/>
    <mergeCell ref="B156:B159"/>
    <mergeCell ref="A156:A159"/>
    <mergeCell ref="A150:A155"/>
    <mergeCell ref="B146:B149"/>
    <mergeCell ref="H146:H149"/>
    <mergeCell ref="B81:B86"/>
    <mergeCell ref="B97:B101"/>
    <mergeCell ref="B93:B96"/>
    <mergeCell ref="B121:B127"/>
    <mergeCell ref="H135:H140"/>
    <mergeCell ref="H142:H145"/>
    <mergeCell ref="H128:H134"/>
    <mergeCell ref="B115:B120"/>
    <mergeCell ref="B102:B108"/>
    <mergeCell ref="B135:B140"/>
    <mergeCell ref="B128:B134"/>
    <mergeCell ref="B142:B145"/>
    <mergeCell ref="H97:H101"/>
    <mergeCell ref="H111:H114"/>
    <mergeCell ref="H87:H92"/>
    <mergeCell ref="A26:A30"/>
    <mergeCell ref="A128:A134"/>
    <mergeCell ref="A121:A127"/>
    <mergeCell ref="B70:B74"/>
    <mergeCell ref="B49:B54"/>
    <mergeCell ref="A49:A54"/>
    <mergeCell ref="A75:A79"/>
    <mergeCell ref="A81:A86"/>
    <mergeCell ref="A102:A108"/>
    <mergeCell ref="A97:A101"/>
    <mergeCell ref="B38:B42"/>
    <mergeCell ref="A93:A96"/>
    <mergeCell ref="B87:B92"/>
    <mergeCell ref="B7:B14"/>
    <mergeCell ref="A115:A120"/>
    <mergeCell ref="A87:A92"/>
    <mergeCell ref="A31:A37"/>
    <mergeCell ref="A111:A114"/>
    <mergeCell ref="B75:B79"/>
    <mergeCell ref="A38:A42"/>
    <mergeCell ref="B111:B114"/>
    <mergeCell ref="A43:A48"/>
    <mergeCell ref="A70:A74"/>
    <mergeCell ref="B60:B63"/>
    <mergeCell ref="B43:B48"/>
    <mergeCell ref="A60:A63"/>
    <mergeCell ref="B20:B25"/>
    <mergeCell ref="A64:A69"/>
    <mergeCell ref="B64:B69"/>
  </mergeCells>
  <phoneticPr fontId="3" type="noConversion"/>
  <pageMargins left="0.75" right="0.75" top="1" bottom="1" header="0.5" footer="0.5"/>
  <pageSetup orientation="portrait" horizontalDpi="300" verticalDpi="3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H262"/>
  <sheetViews>
    <sheetView zoomScaleNormal="100" workbookViewId="0">
      <selection activeCell="G219" sqref="G219:G226"/>
    </sheetView>
  </sheetViews>
  <sheetFormatPr defaultColWidth="9.33203125" defaultRowHeight="13.8" x14ac:dyDescent="0.25"/>
  <cols>
    <col min="1" max="1" width="5.77734375" style="35" customWidth="1"/>
    <col min="2" max="2" width="18.77734375" style="35" customWidth="1"/>
    <col min="3" max="3" width="75.77734375" style="2" customWidth="1"/>
    <col min="4" max="4" width="6.77734375" style="48" customWidth="1"/>
    <col min="5" max="5" width="9.33203125" style="48" customWidth="1"/>
    <col min="6" max="6" width="11.109375" style="48" customWidth="1"/>
    <col min="7" max="7" width="13.6640625" style="8" customWidth="1"/>
    <col min="8" max="8" width="75.77734375" style="2" customWidth="1"/>
    <col min="9" max="16384" width="9.33203125" style="3"/>
  </cols>
  <sheetData>
    <row r="1" spans="1:8" ht="48" customHeight="1" thickBot="1" x14ac:dyDescent="0.3">
      <c r="A1" s="1826" t="s">
        <v>583</v>
      </c>
      <c r="B1" s="1827"/>
      <c r="C1" s="151" t="s">
        <v>582</v>
      </c>
      <c r="D1" s="945" t="s">
        <v>1185</v>
      </c>
      <c r="E1" s="1958"/>
      <c r="F1" s="1959"/>
      <c r="G1" s="1959"/>
      <c r="H1" s="1959"/>
    </row>
    <row r="2" spans="1:8" s="361" customFormat="1" ht="43.5" customHeight="1" thickBot="1" x14ac:dyDescent="0.3">
      <c r="A2" s="946" t="s">
        <v>126</v>
      </c>
      <c r="B2" s="786" t="s">
        <v>1458</v>
      </c>
      <c r="C2" s="788" t="s">
        <v>1271</v>
      </c>
      <c r="D2" s="787" t="s">
        <v>115</v>
      </c>
      <c r="E2" s="789" t="s">
        <v>771</v>
      </c>
      <c r="F2" s="787" t="s">
        <v>1462</v>
      </c>
      <c r="G2" s="790" t="s">
        <v>1273</v>
      </c>
      <c r="H2" s="787" t="s">
        <v>772</v>
      </c>
    </row>
    <row r="3" spans="1:8" s="2" customFormat="1" ht="30" customHeight="1" thickBot="1" x14ac:dyDescent="0.3">
      <c r="A3" s="1909" t="str">
        <f>OF!A53</f>
        <v>OF9</v>
      </c>
      <c r="B3" s="1521" t="str">
        <f>OF!B53</f>
        <v>Perennial Cover Percentage (PerCovPct)</v>
      </c>
      <c r="C3" s="468" t="str">
        <f>OF!C53</f>
        <v>Within a 2-mile radius of the AA center, the percentage of land that has perennial cover is:</v>
      </c>
      <c r="D3" s="549"/>
      <c r="E3" s="65"/>
      <c r="F3" s="46"/>
      <c r="G3" s="947">
        <f>MAX(F4:F8)/MAX(E4:E8)</f>
        <v>0</v>
      </c>
      <c r="H3" s="1521" t="s">
        <v>412</v>
      </c>
    </row>
    <row r="4" spans="1:8" s="2" customFormat="1" ht="16.2" customHeight="1" x14ac:dyDescent="0.25">
      <c r="A4" s="1909"/>
      <c r="B4" s="1521"/>
      <c r="C4" s="449" t="str">
        <f>OF!C54</f>
        <v>&lt;5% of the land.</v>
      </c>
      <c r="D4" s="44">
        <f>OF!D54</f>
        <v>0</v>
      </c>
      <c r="E4" s="49">
        <v>1</v>
      </c>
      <c r="F4" s="45">
        <f>D4*E4</f>
        <v>0</v>
      </c>
      <c r="G4" s="793"/>
      <c r="H4" s="1521"/>
    </row>
    <row r="5" spans="1:8" s="2" customFormat="1" ht="16.2" customHeight="1" x14ac:dyDescent="0.25">
      <c r="A5" s="1909"/>
      <c r="B5" s="1521"/>
      <c r="C5" s="450" t="str">
        <f>OF!C55</f>
        <v>5 to &lt;20% of the land.</v>
      </c>
      <c r="D5" s="44">
        <f>OF!D55</f>
        <v>0</v>
      </c>
      <c r="E5" s="49">
        <v>2</v>
      </c>
      <c r="F5" s="45">
        <f>D5*E5</f>
        <v>0</v>
      </c>
      <c r="G5" s="793"/>
      <c r="H5" s="1521"/>
    </row>
    <row r="6" spans="1:8" s="2" customFormat="1" ht="16.2" customHeight="1" x14ac:dyDescent="0.25">
      <c r="A6" s="1909"/>
      <c r="B6" s="1521"/>
      <c r="C6" s="450" t="str">
        <f>OF!C56</f>
        <v>20 to &lt;60% of the land.</v>
      </c>
      <c r="D6" s="44">
        <f>OF!D56</f>
        <v>0</v>
      </c>
      <c r="E6" s="49">
        <v>3</v>
      </c>
      <c r="F6" s="45">
        <f>D6*E6</f>
        <v>0</v>
      </c>
      <c r="G6" s="793"/>
      <c r="H6" s="1521"/>
    </row>
    <row r="7" spans="1:8" s="2" customFormat="1" ht="16.2" customHeight="1" x14ac:dyDescent="0.25">
      <c r="A7" s="1909"/>
      <c r="B7" s="1521"/>
      <c r="C7" s="450" t="str">
        <f>OF!C57</f>
        <v>60 to 90% of the land.</v>
      </c>
      <c r="D7" s="44">
        <f>OF!D57</f>
        <v>0</v>
      </c>
      <c r="E7" s="49">
        <v>4</v>
      </c>
      <c r="F7" s="45">
        <f>D7*E7</f>
        <v>0</v>
      </c>
      <c r="G7" s="793"/>
      <c r="H7" s="1521"/>
    </row>
    <row r="8" spans="1:8" s="2" customFormat="1" ht="16.2" customHeight="1" thickBot="1" x14ac:dyDescent="0.3">
      <c r="A8" s="1909"/>
      <c r="B8" s="1521"/>
      <c r="C8" s="286" t="str">
        <f>OF!C58</f>
        <v>&gt;90% of the land.</v>
      </c>
      <c r="D8" s="198">
        <f>OF!D58</f>
        <v>0</v>
      </c>
      <c r="E8" s="67">
        <v>6</v>
      </c>
      <c r="F8" s="54">
        <f>D8*E8</f>
        <v>0</v>
      </c>
      <c r="G8" s="800"/>
      <c r="H8" s="1521"/>
    </row>
    <row r="9" spans="1:8" s="2" customFormat="1" ht="30" customHeight="1" thickBot="1" x14ac:dyDescent="0.3">
      <c r="A9" s="1945" t="str">
        <f>OF!A59</f>
        <v>OF10</v>
      </c>
      <c r="B9" s="1669" t="str">
        <f>OF!B59</f>
        <v>Forest Percentage (ForestPct)</v>
      </c>
      <c r="C9" s="219" t="str">
        <f>OF!C59</f>
        <v>Within a 2-mile radius of the AA center, the cumulative amount of forest (regardless of forest patch sizes, and including any in the AA) is:</v>
      </c>
      <c r="D9" s="65"/>
      <c r="E9" s="210"/>
      <c r="F9" s="192"/>
      <c r="G9" s="948">
        <f>MAX(F10:F14)/MAX(E10:E14)</f>
        <v>0</v>
      </c>
      <c r="H9" s="1669" t="s">
        <v>413</v>
      </c>
    </row>
    <row r="10" spans="1:8" s="2" customFormat="1" ht="16.2" customHeight="1" x14ac:dyDescent="0.25">
      <c r="A10" s="1946"/>
      <c r="B10" s="1691"/>
      <c r="C10" s="439" t="str">
        <f>OF!C60</f>
        <v>&lt;5% of the circle.</v>
      </c>
      <c r="D10" s="47">
        <f>OF!D60</f>
        <v>0</v>
      </c>
      <c r="E10" s="49">
        <v>1</v>
      </c>
      <c r="F10" s="45">
        <f>D10*E10</f>
        <v>0</v>
      </c>
      <c r="G10" s="793"/>
      <c r="H10" s="1691"/>
    </row>
    <row r="11" spans="1:8" s="2" customFormat="1" ht="16.2" customHeight="1" x14ac:dyDescent="0.25">
      <c r="A11" s="1946"/>
      <c r="B11" s="1691"/>
      <c r="C11" s="440" t="str">
        <f>OF!C61</f>
        <v>5 to &lt;20%.</v>
      </c>
      <c r="D11" s="47">
        <f>OF!D61</f>
        <v>0</v>
      </c>
      <c r="E11" s="49">
        <v>2</v>
      </c>
      <c r="F11" s="45">
        <f>D11*E11</f>
        <v>0</v>
      </c>
      <c r="G11" s="793"/>
      <c r="H11" s="1691"/>
    </row>
    <row r="12" spans="1:8" s="2" customFormat="1" ht="16.2" customHeight="1" x14ac:dyDescent="0.25">
      <c r="A12" s="1946"/>
      <c r="B12" s="1691"/>
      <c r="C12" s="440" t="str">
        <f>OF!C62</f>
        <v>20 to &lt;50%.</v>
      </c>
      <c r="D12" s="47">
        <f>OF!D62</f>
        <v>0</v>
      </c>
      <c r="E12" s="49">
        <v>3</v>
      </c>
      <c r="F12" s="45">
        <f>D12*E12</f>
        <v>0</v>
      </c>
      <c r="G12" s="793"/>
      <c r="H12" s="1691"/>
    </row>
    <row r="13" spans="1:8" s="2" customFormat="1" ht="16.2" customHeight="1" x14ac:dyDescent="0.25">
      <c r="A13" s="1946"/>
      <c r="B13" s="1691"/>
      <c r="C13" s="440" t="str">
        <f>OF!C63</f>
        <v>50 to 80%.</v>
      </c>
      <c r="D13" s="47">
        <f>OF!D63</f>
        <v>0</v>
      </c>
      <c r="E13" s="49">
        <v>4</v>
      </c>
      <c r="F13" s="45">
        <f>D13*E13</f>
        <v>0</v>
      </c>
      <c r="G13" s="793"/>
      <c r="H13" s="1691"/>
    </row>
    <row r="14" spans="1:8" s="2" customFormat="1" ht="16.2" customHeight="1" thickBot="1" x14ac:dyDescent="0.3">
      <c r="A14" s="1946"/>
      <c r="B14" s="1691"/>
      <c r="C14" s="453" t="str">
        <f>OF!C64</f>
        <v>&gt;80%.</v>
      </c>
      <c r="D14" s="80">
        <f>OF!D64</f>
        <v>0</v>
      </c>
      <c r="E14" s="67">
        <v>6</v>
      </c>
      <c r="F14" s="54">
        <f>D14*E14</f>
        <v>0</v>
      </c>
      <c r="G14" s="794"/>
      <c r="H14" s="1692"/>
    </row>
    <row r="15" spans="1:8" s="2" customFormat="1" ht="58.95" customHeight="1" thickBot="1" x14ac:dyDescent="0.3">
      <c r="A15" s="949" t="str">
        <f>OF!A98</f>
        <v>OF16</v>
      </c>
      <c r="B15" s="114" t="str">
        <f>OF!B98</f>
        <v>Conservation Designations of the AA or Local Area (ConDesig)</v>
      </c>
      <c r="C15" s="466" t="str">
        <f>OF!C99</f>
        <v>The AA is within or connected to a stream or other water body and this stream or water body has been designated as ESH within 0.5 miles of the AA, according to the Essential Salmonid Habitat (ESH) layer.</v>
      </c>
      <c r="D15" s="220">
        <f>OF!D99</f>
        <v>0</v>
      </c>
      <c r="E15" s="260"/>
      <c r="F15" s="950"/>
      <c r="G15" s="951">
        <f>D15</f>
        <v>0</v>
      </c>
      <c r="H15" s="712" t="s">
        <v>417</v>
      </c>
    </row>
    <row r="16" spans="1:8" ht="75" customHeight="1" thickBot="1" x14ac:dyDescent="0.3">
      <c r="A16" s="1800" t="str">
        <f>OF!A152</f>
        <v>OF28</v>
      </c>
      <c r="B16" s="1521" t="str">
        <f>OF!B152</f>
        <v>Input Water - Recognized Quality Issues (WQin)</v>
      </c>
      <c r="C16" s="468"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16" s="549"/>
      <c r="E16" s="65"/>
      <c r="F16" s="60"/>
      <c r="G16" s="948">
        <f>IF((OF!D159=1),"",IF((D17+D18+D19=0),1,0))</f>
        <v>1</v>
      </c>
      <c r="H16" s="1522" t="s">
        <v>1596</v>
      </c>
    </row>
    <row r="17" spans="1:8" ht="16.2" customHeight="1" x14ac:dyDescent="0.25">
      <c r="A17" s="1800"/>
      <c r="B17" s="1521"/>
      <c r="C17" s="11" t="str">
        <f>OF!C153</f>
        <v>Total suspended solids (TSS), sedimentation, or turbidity.</v>
      </c>
      <c r="D17" s="44">
        <f>OF!D153</f>
        <v>0</v>
      </c>
      <c r="E17" s="65"/>
      <c r="F17" s="45"/>
      <c r="G17" s="793"/>
      <c r="H17" s="1521"/>
    </row>
    <row r="18" spans="1:8" ht="16.2" customHeight="1" x14ac:dyDescent="0.25">
      <c r="A18" s="1800"/>
      <c r="B18" s="1521"/>
      <c r="C18" s="286" t="str">
        <f>OF!C156</f>
        <v>Petrochemicals, heavy metals (iron, manganese, lead, zinc, etc.), other toxins.</v>
      </c>
      <c r="D18" s="44">
        <f>OF!D156</f>
        <v>0</v>
      </c>
      <c r="E18" s="65"/>
      <c r="F18" s="45"/>
      <c r="G18" s="793"/>
      <c r="H18" s="1521"/>
    </row>
    <row r="19" spans="1:8" ht="16.2" customHeight="1" thickBot="1" x14ac:dyDescent="0.3">
      <c r="A19" s="1801"/>
      <c r="B19" s="1523"/>
      <c r="C19" s="443" t="str">
        <f>OF!C157</f>
        <v>Temperature or dissolved oxygen.</v>
      </c>
      <c r="D19" s="198">
        <f>OF!D157</f>
        <v>0</v>
      </c>
      <c r="E19" s="479"/>
      <c r="F19" s="193"/>
      <c r="G19" s="909"/>
      <c r="H19" s="1523"/>
    </row>
    <row r="20" spans="1:8" ht="21" customHeight="1" thickBot="1" x14ac:dyDescent="0.3">
      <c r="A20" s="1909" t="str">
        <f>OF!A159</f>
        <v>OF29</v>
      </c>
      <c r="B20" s="1521" t="str">
        <f>OF!B159</f>
        <v>Duration of Connection Beween Problem Area &amp; the AA (ConnecUp)</v>
      </c>
      <c r="C20" s="468" t="str">
        <f>OF!C159</f>
        <v>The upstream problem area mentioned above (OF28) has a surface water connection to the AA:</v>
      </c>
      <c r="D20" s="549"/>
      <c r="E20" s="65"/>
      <c r="F20" s="46"/>
      <c r="G20" s="947" t="str">
        <f>IF((D17+D18+D19&gt;0),MAX(F21:F23)/MAX(E21:E23),"")</f>
        <v/>
      </c>
      <c r="H20" s="1521" t="s">
        <v>1593</v>
      </c>
    </row>
    <row r="21" spans="1:8" ht="16.2" customHeight="1" x14ac:dyDescent="0.25">
      <c r="A21" s="1909"/>
      <c r="B21" s="1521"/>
      <c r="C21" s="11" t="str">
        <f>OF!C160</f>
        <v>For 9 or more continuous months annually.</v>
      </c>
      <c r="D21" s="44">
        <f>OF!D160</f>
        <v>0</v>
      </c>
      <c r="E21" s="952">
        <v>0</v>
      </c>
      <c r="F21" s="45">
        <f>D21*E21</f>
        <v>0</v>
      </c>
      <c r="G21" s="793"/>
      <c r="H21" s="1521"/>
    </row>
    <row r="22" spans="1:8" ht="16.2" customHeight="1" x14ac:dyDescent="0.25">
      <c r="A22" s="1909"/>
      <c r="B22" s="1521"/>
      <c r="C22" s="286" t="str">
        <f>OF!C161</f>
        <v>Intermittently (at least once annually, but for less than 9 months continually).</v>
      </c>
      <c r="D22" s="44">
        <f>OF!D161</f>
        <v>0</v>
      </c>
      <c r="E22" s="952">
        <v>1</v>
      </c>
      <c r="F22" s="45">
        <f>D22*E22</f>
        <v>0</v>
      </c>
      <c r="G22" s="793"/>
      <c r="H22" s="1521"/>
    </row>
    <row r="23" spans="1:8" ht="16.2" customHeight="1" thickBot="1" x14ac:dyDescent="0.3">
      <c r="A23" s="1909"/>
      <c r="B23" s="1521"/>
      <c r="C23" s="286" t="str">
        <f>OF!C162</f>
        <v>Never (or less than annually).</v>
      </c>
      <c r="D23" s="17">
        <f>OF!D162</f>
        <v>0</v>
      </c>
      <c r="E23" s="952">
        <v>3</v>
      </c>
      <c r="F23" s="54">
        <f>D23*E23</f>
        <v>0</v>
      </c>
      <c r="G23" s="800"/>
      <c r="H23" s="1521"/>
    </row>
    <row r="24" spans="1:8" ht="75" customHeight="1" thickBot="1" x14ac:dyDescent="0.3">
      <c r="A24" s="1799" t="str">
        <f>OF!A163</f>
        <v>OF30</v>
      </c>
      <c r="B24" s="1522" t="str">
        <f>OF!B163</f>
        <v>Downslope Water Quality Issues (ContamDown)</v>
      </c>
      <c r="C24" s="466" t="str">
        <f>OF!C163</f>
        <v xml:space="preserve">According to ORWAP Map Viewer's  Water Quality Streams layer and Water Quality Lake map layer, ALL of the following are true: (a) within 1 mile downhill or downstream from the AA's edge, a water body is labeled as being 303d, Water Quality Limited (categories 3B-5); Potential Concern; or TMDL Approved AND  (b) the problem concerns one or more of the parameters listed below.  Select All that apply. </v>
      </c>
      <c r="D24" s="549"/>
      <c r="E24" s="210"/>
      <c r="F24" s="192"/>
      <c r="G24" s="948">
        <f>IF((OF!D170=1),"",IF((D25+D26=0),1,0))</f>
        <v>1</v>
      </c>
      <c r="H24" s="1522" t="s">
        <v>1592</v>
      </c>
    </row>
    <row r="25" spans="1:8" ht="16.2" customHeight="1" x14ac:dyDescent="0.25">
      <c r="A25" s="1800"/>
      <c r="B25" s="1521"/>
      <c r="C25" s="11" t="str">
        <f>OF!C167</f>
        <v>Petrochemicals, heavy metals (iron, manganese, lead, zinc, etc.), other toxins.</v>
      </c>
      <c r="D25" s="44">
        <f>OF!D167</f>
        <v>0</v>
      </c>
      <c r="E25" s="65"/>
      <c r="F25" s="45"/>
      <c r="G25" s="793"/>
      <c r="H25" s="1521"/>
    </row>
    <row r="26" spans="1:8" ht="16.2" customHeight="1" thickBot="1" x14ac:dyDescent="0.3">
      <c r="A26" s="1801"/>
      <c r="B26" s="1523"/>
      <c r="C26" s="443" t="str">
        <f>OF!C168</f>
        <v>Temperature or dissolved oxygen.</v>
      </c>
      <c r="D26" s="17">
        <f>OF!D168</f>
        <v>0</v>
      </c>
      <c r="E26" s="479"/>
      <c r="F26" s="193"/>
      <c r="G26" s="909"/>
      <c r="H26" s="1523"/>
    </row>
    <row r="27" spans="1:8" ht="18.600000000000001" customHeight="1" thickBot="1" x14ac:dyDescent="0.3">
      <c r="A27" s="1909" t="str">
        <f>OF!A170</f>
        <v>OF31</v>
      </c>
      <c r="B27" s="1521" t="str">
        <f>OF!B170</f>
        <v>Duration of Connection Beween AA &amp; Water Quality Problem Area (ConnDown)</v>
      </c>
      <c r="C27" s="114" t="str">
        <f>OF!C170</f>
        <v xml:space="preserve">The connection between the downstream problem area mentioned above (OF30) and the AA: </v>
      </c>
      <c r="D27" s="210"/>
      <c r="E27" s="65"/>
      <c r="F27" s="46"/>
      <c r="G27" s="947" t="str">
        <f>IF((D25+D26&gt;0),MAX(F28:F31)/MAX(E28:E31),"")</f>
        <v/>
      </c>
      <c r="H27" s="1521" t="s">
        <v>1594</v>
      </c>
    </row>
    <row r="28" spans="1:8" ht="16.2" customHeight="1" x14ac:dyDescent="0.25">
      <c r="A28" s="1909"/>
      <c r="B28" s="1521"/>
      <c r="C28" s="11" t="str">
        <f>OF!C171</f>
        <v>Is a stream or water body that connects these areas for 9 or more continuous months annually.</v>
      </c>
      <c r="D28" s="44">
        <f>OF!D171</f>
        <v>0</v>
      </c>
      <c r="E28" s="65">
        <v>0</v>
      </c>
      <c r="F28" s="45">
        <f>D28*E28</f>
        <v>0</v>
      </c>
      <c r="G28" s="793"/>
      <c r="H28" s="1521"/>
    </row>
    <row r="29" spans="1:8" ht="27" customHeight="1" x14ac:dyDescent="0.25">
      <c r="A29" s="1909"/>
      <c r="B29" s="1521"/>
      <c r="C29" s="286" t="str">
        <f>OF!C172</f>
        <v>Is a stream or water body that connects these areas intermittently (at least once annually, but for less than 9 months continually).</v>
      </c>
      <c r="D29" s="44">
        <f>OF!D172</f>
        <v>0</v>
      </c>
      <c r="E29" s="65">
        <v>2</v>
      </c>
      <c r="F29" s="45">
        <f>D29*E29</f>
        <v>0</v>
      </c>
      <c r="G29" s="793"/>
      <c r="H29" s="1521"/>
    </row>
    <row r="30" spans="1:8" ht="30" customHeight="1" x14ac:dyDescent="0.25">
      <c r="A30" s="1909"/>
      <c r="B30" s="1521"/>
      <c r="C30" s="286" t="str">
        <f>OF!C173</f>
        <v>Is a probable groundwater connection, or connection via direct runoff only (no channel connection).</v>
      </c>
      <c r="D30" s="44">
        <f>OF!D173</f>
        <v>0</v>
      </c>
      <c r="E30" s="65">
        <v>4</v>
      </c>
      <c r="F30" s="45">
        <v>0</v>
      </c>
      <c r="G30" s="793"/>
      <c r="H30" s="1521"/>
    </row>
    <row r="31" spans="1:8" ht="27" customHeight="1" thickBot="1" x14ac:dyDescent="0.3">
      <c r="A31" s="1909"/>
      <c r="B31" s="1521"/>
      <c r="C31" s="286" t="str">
        <f>OF!C174</f>
        <v>Never exists (a topographic ridge probably prevents all the AA's runoff and groundwater from reaching the problem area).</v>
      </c>
      <c r="D31" s="17">
        <f>OF!D174</f>
        <v>0</v>
      </c>
      <c r="E31" s="93">
        <v>5</v>
      </c>
      <c r="F31" s="54">
        <f>D31*E31</f>
        <v>0</v>
      </c>
      <c r="G31" s="800"/>
      <c r="H31" s="1521"/>
    </row>
    <row r="32" spans="1:8" ht="30" customHeight="1" thickBot="1" x14ac:dyDescent="0.3">
      <c r="A32" s="1799" t="str">
        <f>OF!A183</f>
        <v>OF34</v>
      </c>
      <c r="B32" s="1522" t="str">
        <f>OF!B183</f>
        <v>Relative Elevation in Watershed (Elev)</v>
      </c>
      <c r="C32" s="114" t="str">
        <f>OF!C183</f>
        <v>In the ORWAP Map Viewer, based on the Hydrologic Boundaries 4th Level (HUC 8) layer (under Watersheds), determine if the AA is:          (See Column E)</v>
      </c>
      <c r="D32" s="210"/>
      <c r="E32" s="856"/>
      <c r="F32" s="953"/>
      <c r="G32" s="948">
        <f>MAX(F33:F35)/MAX(E33:E35)</f>
        <v>0</v>
      </c>
      <c r="H32" s="1522" t="s">
        <v>423</v>
      </c>
    </row>
    <row r="33" spans="1:8" ht="16.2" customHeight="1" x14ac:dyDescent="0.25">
      <c r="A33" s="1800"/>
      <c r="B33" s="1521"/>
      <c r="C33" s="449" t="str">
        <f>OF!C184</f>
        <v>In the upper one-third of its watershed.</v>
      </c>
      <c r="D33" s="44">
        <f>OF!D184</f>
        <v>0</v>
      </c>
      <c r="E33" s="848">
        <v>1</v>
      </c>
      <c r="F33" s="45">
        <f>D33*E33</f>
        <v>0</v>
      </c>
      <c r="G33" s="792"/>
      <c r="H33" s="1521"/>
    </row>
    <row r="34" spans="1:8" ht="16.2" customHeight="1" x14ac:dyDescent="0.25">
      <c r="A34" s="1800"/>
      <c r="B34" s="1521"/>
      <c r="C34" s="450" t="str">
        <f>OF!C185</f>
        <v>In the middle one-third of its watershed.</v>
      </c>
      <c r="D34" s="44">
        <f>OF!D185</f>
        <v>0</v>
      </c>
      <c r="E34" s="848">
        <v>2</v>
      </c>
      <c r="F34" s="45">
        <f>D34*E34</f>
        <v>0</v>
      </c>
      <c r="G34" s="793"/>
      <c r="H34" s="1521"/>
    </row>
    <row r="35" spans="1:8" ht="16.2" customHeight="1" thickBot="1" x14ac:dyDescent="0.3">
      <c r="A35" s="1801"/>
      <c r="B35" s="1523"/>
      <c r="C35" s="443" t="str">
        <f>OF!C186</f>
        <v>In the lower one-third of its watershed.</v>
      </c>
      <c r="D35" s="17">
        <f>OF!D186</f>
        <v>0</v>
      </c>
      <c r="E35" s="859">
        <v>3</v>
      </c>
      <c r="F35" s="193">
        <f>D35*E35</f>
        <v>0</v>
      </c>
      <c r="G35" s="909"/>
      <c r="H35" s="1523"/>
    </row>
    <row r="36" spans="1:8" s="2" customFormat="1" ht="30" customHeight="1" thickBot="1" x14ac:dyDescent="0.3">
      <c r="A36" s="1909" t="str">
        <f>OF!A192</f>
        <v>OF36</v>
      </c>
      <c r="B36" s="1521" t="str">
        <f>OF!B192</f>
        <v>Unvegetated % in the RCA (ImpervRCA)</v>
      </c>
      <c r="C36" s="465" t="str">
        <f>OF!C192</f>
        <v>The proportion of the RCA comprised of buildings, roads, parking lots, exposed bedrock, and other surface that is usually unvegetated at the time of peak annual runoff is about:</v>
      </c>
      <c r="D36" s="549"/>
      <c r="E36" s="65"/>
      <c r="F36" s="46"/>
      <c r="G36" s="947">
        <f>IF((NoRCA=1),"",MAX(F37:F39)/MAX(E37:E39))</f>
        <v>0</v>
      </c>
      <c r="H36" s="1521" t="s">
        <v>414</v>
      </c>
    </row>
    <row r="37" spans="1:8" s="2" customFormat="1" ht="16.2" customHeight="1" x14ac:dyDescent="0.25">
      <c r="A37" s="1909"/>
      <c r="B37" s="1521"/>
      <c r="C37" s="215" t="str">
        <f>OF!C193</f>
        <v>&lt;10%.</v>
      </c>
      <c r="D37" s="44">
        <f>OF!D193</f>
        <v>0</v>
      </c>
      <c r="E37" s="49">
        <v>2</v>
      </c>
      <c r="F37" s="45">
        <f>D37*E37</f>
        <v>0</v>
      </c>
      <c r="G37" s="793"/>
      <c r="H37" s="1521"/>
    </row>
    <row r="38" spans="1:8" s="2" customFormat="1" ht="16.2" customHeight="1" x14ac:dyDescent="0.25">
      <c r="A38" s="1909"/>
      <c r="B38" s="1521"/>
      <c r="C38" s="216" t="str">
        <f>OF!C194</f>
        <v>10 to 25%.</v>
      </c>
      <c r="D38" s="44">
        <f>OF!D194</f>
        <v>0</v>
      </c>
      <c r="E38" s="49">
        <v>1</v>
      </c>
      <c r="F38" s="45">
        <f>D38*E38</f>
        <v>0</v>
      </c>
      <c r="G38" s="793"/>
      <c r="H38" s="1521"/>
    </row>
    <row r="39" spans="1:8" s="2" customFormat="1" ht="16.2" customHeight="1" thickBot="1" x14ac:dyDescent="0.3">
      <c r="A39" s="1909"/>
      <c r="B39" s="1521"/>
      <c r="C39" s="95" t="str">
        <f>OF!C195</f>
        <v>&gt;25%.</v>
      </c>
      <c r="D39" s="198">
        <f>OF!D195</f>
        <v>0</v>
      </c>
      <c r="E39" s="67">
        <v>0</v>
      </c>
      <c r="F39" s="54">
        <f>D39*E39</f>
        <v>0</v>
      </c>
      <c r="G39" s="800"/>
      <c r="H39" s="1521"/>
    </row>
    <row r="40" spans="1:8" s="2" customFormat="1" ht="30" customHeight="1" thickBot="1" x14ac:dyDescent="0.3">
      <c r="A40" s="1799" t="str">
        <f>OF!A212</f>
        <v>OF40</v>
      </c>
      <c r="B40" s="1522" t="str">
        <f>OF!B212</f>
        <v>Unvegetated % in the SCA (ImpervSCA)</v>
      </c>
      <c r="C40" s="226" t="str">
        <f>OF!C212</f>
        <v>The proportion of the SCA comprised of buildings, roads, parking lots, exposed bedrock, and other surface that is usually unvegetated at the time of peak annual runoff is about :</v>
      </c>
      <c r="D40" s="549"/>
      <c r="E40" s="210"/>
      <c r="F40" s="192"/>
      <c r="G40" s="948">
        <f>IF((NoSCA=1),"",IF((NoSCA1=1),"", MAX(F41:F43)/MAX(E41:E43)))</f>
        <v>0</v>
      </c>
      <c r="H40" s="1522" t="s">
        <v>124</v>
      </c>
    </row>
    <row r="41" spans="1:8" s="2" customFormat="1" ht="16.2" customHeight="1" x14ac:dyDescent="0.25">
      <c r="A41" s="1800"/>
      <c r="B41" s="1521"/>
      <c r="C41" s="215" t="str">
        <f>OF!C213</f>
        <v>&lt;10%.</v>
      </c>
      <c r="D41" s="44">
        <f>OF!D213</f>
        <v>0</v>
      </c>
      <c r="E41" s="49">
        <v>3</v>
      </c>
      <c r="F41" s="45">
        <f>D41*E41</f>
        <v>0</v>
      </c>
      <c r="G41" s="793"/>
      <c r="H41" s="1521"/>
    </row>
    <row r="42" spans="1:8" s="2" customFormat="1" ht="16.2" customHeight="1" x14ac:dyDescent="0.25">
      <c r="A42" s="1800"/>
      <c r="B42" s="1521"/>
      <c r="C42" s="216" t="str">
        <f>OF!C214</f>
        <v>10 to 25%.</v>
      </c>
      <c r="D42" s="44">
        <f>OF!D214</f>
        <v>0</v>
      </c>
      <c r="E42" s="49">
        <v>2</v>
      </c>
      <c r="F42" s="45">
        <f>D42*E42</f>
        <v>0</v>
      </c>
      <c r="G42" s="793"/>
      <c r="H42" s="1521"/>
    </row>
    <row r="43" spans="1:8" s="2" customFormat="1" ht="16.2" customHeight="1" thickBot="1" x14ac:dyDescent="0.3">
      <c r="A43" s="1801"/>
      <c r="B43" s="1523"/>
      <c r="C43" s="254" t="str">
        <f>OF!C215</f>
        <v>&gt;25%.</v>
      </c>
      <c r="D43" s="17">
        <f>OF!D215</f>
        <v>0</v>
      </c>
      <c r="E43" s="245">
        <v>0</v>
      </c>
      <c r="F43" s="193">
        <f>D43*E43</f>
        <v>0</v>
      </c>
      <c r="G43" s="794"/>
      <c r="H43" s="1523"/>
    </row>
    <row r="44" spans="1:8" s="2" customFormat="1" ht="30" customHeight="1" thickBot="1" x14ac:dyDescent="0.3">
      <c r="A44" s="1803" t="str">
        <f>F!A7</f>
        <v>F3</v>
      </c>
      <c r="B44" s="1521" t="str">
        <f>F!B7</f>
        <v>Water Regime (Hydropd)</v>
      </c>
      <c r="C44" s="468" t="str">
        <f>F!C7</f>
        <v>The water regime (hydroperiod) of the most permanent (usually deepest) part of the AA is:  Select only ONE. 
[To meet any of the definitions other than Ephemeral, there must be &gt;100 sq ft of surface water for the duration described, otherwise mark the type listed above it.]</v>
      </c>
      <c r="D44" s="549"/>
      <c r="E44" s="65"/>
      <c r="F44" s="60"/>
      <c r="G44" s="954">
        <f>MAX(F45:F49)/MAX(E45:E49)</f>
        <v>0</v>
      </c>
      <c r="H44" s="1521" t="s">
        <v>408</v>
      </c>
    </row>
    <row r="45" spans="1:8" s="2" customFormat="1" ht="42" customHeight="1" x14ac:dyDescent="0.25">
      <c r="A45" s="1803"/>
      <c r="B45" s="1521"/>
      <c r="C45" s="449" t="str">
        <f>F!C8</f>
        <v>Ephemeral.  Surface water in the wettest part of the AA is present for fewer than 7 consecutive days during an average growing season.  Includes some of the areas mapped as Saturated Nontidal in the ORWAP Map Viewer (which is not comprehensive).  Enter 1 and SKIP to F25.</v>
      </c>
      <c r="D45" s="44">
        <f>F!D8</f>
        <v>0</v>
      </c>
      <c r="E45" s="65">
        <v>0</v>
      </c>
      <c r="F45" s="45">
        <f>D45*E45</f>
        <v>0</v>
      </c>
      <c r="G45" s="793"/>
      <c r="H45" s="1521"/>
    </row>
    <row r="46" spans="1:8" s="2" customFormat="1" ht="64.5" customHeight="1" x14ac:dyDescent="0.25">
      <c r="A46" s="1803"/>
      <c r="B46" s="1521"/>
      <c r="C46" s="450" t="str">
        <f>F!C9</f>
        <v xml:space="preserve">Temporary.  Surface water present for 1-4 weeks consecutively during an average growing season, OR if persists for longer, it is almost entirely in scattered pools, each smaller than 1 sq.m.  Dries up completely during part of most average years.  Includes some of the areas mapped as Saturated Nontidal in the ORWAP Map Viewer (which is not comprehensive). Enter 1 and SKIP to F25. </v>
      </c>
      <c r="D46" s="44">
        <f>F!D9</f>
        <v>0</v>
      </c>
      <c r="E46" s="65">
        <v>1</v>
      </c>
      <c r="F46" s="45">
        <f>D46*E46</f>
        <v>0</v>
      </c>
      <c r="G46" s="793"/>
      <c r="H46" s="1521"/>
    </row>
    <row r="47" spans="1:8" s="2" customFormat="1" ht="54" customHeight="1" x14ac:dyDescent="0.25">
      <c r="A47" s="1803"/>
      <c r="B47" s="1521"/>
      <c r="C47" s="450" t="str">
        <f>F!C10</f>
        <v>Seasonal.  Surface water present for 5-17 weeks (1-4 months) consecutively during an average growing season, but dries up completely during part of most average years.  Includes some of the areas mapped as Seasonal Nontidal in the ORWAP Map Viewer (which is not comprehensive). Enter 1 and SKIP to F5.</v>
      </c>
      <c r="D47" s="44">
        <f>F!D10</f>
        <v>0</v>
      </c>
      <c r="E47" s="65">
        <v>2</v>
      </c>
      <c r="F47" s="45">
        <f>D47*E47</f>
        <v>0</v>
      </c>
      <c r="G47" s="793"/>
      <c r="H47" s="1521"/>
    </row>
    <row r="48" spans="1:8" s="2" customFormat="1" ht="54" customHeight="1" x14ac:dyDescent="0.25">
      <c r="A48" s="1803"/>
      <c r="B48" s="1521"/>
      <c r="C48" s="450" t="str">
        <f>F!C11</f>
        <v>Semi-Persistent.  Surface water present for more than 17 weeks (4 months) consecutively during an average growing season, but dries up completely during part of most average years.  Includes some of the areas mapped as Seasonal Nontidal in the ORWAP Map Viewer (which is not comprehensive). Enter 1 and SKIP to F5.</v>
      </c>
      <c r="D48" s="44">
        <f>F!D11</f>
        <v>0</v>
      </c>
      <c r="E48" s="65">
        <v>3</v>
      </c>
      <c r="F48" s="45">
        <f>D48*E48</f>
        <v>0</v>
      </c>
      <c r="G48" s="793"/>
      <c r="H48" s="1521"/>
    </row>
    <row r="49" spans="1:8" s="2" customFormat="1" ht="42" customHeight="1" thickBot="1" x14ac:dyDescent="0.3">
      <c r="A49" s="1803"/>
      <c r="B49" s="1521"/>
      <c r="C49" s="286" t="str">
        <f>F!C12</f>
        <v>Permanent.  Does not dry up completely during most average years. Includes some of the areas mapped as Persistent Nontidal in the ORWAP Map Viewer (which is not comprehensive).  Enter 1 and continue.</v>
      </c>
      <c r="D49" s="198">
        <f>F!D12</f>
        <v>0</v>
      </c>
      <c r="E49" s="93">
        <v>5</v>
      </c>
      <c r="F49" s="54">
        <f>D49*E49</f>
        <v>0</v>
      </c>
      <c r="G49" s="800"/>
      <c r="H49" s="1521"/>
    </row>
    <row r="50" spans="1:8" ht="30" customHeight="1" thickBot="1" x14ac:dyDescent="0.3">
      <c r="A50" s="1804" t="str">
        <f>F!A18</f>
        <v>F5</v>
      </c>
      <c r="B50" s="1522" t="str">
        <f>F!B18</f>
        <v>Depth Class (Predominant)  (DepthDom)</v>
      </c>
      <c r="C50" s="226" t="str">
        <f>F!C18</f>
        <v>When water is present in the AA, the depth most of the time in most of inundated area is: 
[Note: NOT necessarily the maximum spatial or annual depth]</v>
      </c>
      <c r="D50" s="549"/>
      <c r="E50" s="210"/>
      <c r="F50" s="955"/>
      <c r="G50" s="815">
        <f>IF((NeverWater+TempWet&gt;0),"",MAX(F51:F55)/MAX(E51:E55))</f>
        <v>0</v>
      </c>
      <c r="H50" s="1599" t="s">
        <v>1615</v>
      </c>
    </row>
    <row r="51" spans="1:8" ht="16.2" customHeight="1" x14ac:dyDescent="0.25">
      <c r="A51" s="1805"/>
      <c r="B51" s="1521"/>
      <c r="C51" s="215" t="str">
        <f>F!C19</f>
        <v>&gt;0 to &lt;0.5 ft.</v>
      </c>
      <c r="D51" s="44">
        <f>F!D19</f>
        <v>0</v>
      </c>
      <c r="E51" s="49">
        <v>0</v>
      </c>
      <c r="F51" s="45">
        <f>D51*E51</f>
        <v>0</v>
      </c>
      <c r="G51" s="956"/>
      <c r="H51" s="1582"/>
    </row>
    <row r="52" spans="1:8" ht="16.2" customHeight="1" x14ac:dyDescent="0.25">
      <c r="A52" s="1805"/>
      <c r="B52" s="1521"/>
      <c r="C52" s="216" t="str">
        <f>F!C20</f>
        <v>0.5 to &lt; 1 ft deep.</v>
      </c>
      <c r="D52" s="44">
        <f>F!D20</f>
        <v>0</v>
      </c>
      <c r="E52" s="49">
        <v>1</v>
      </c>
      <c r="F52" s="45">
        <f>D52*E52</f>
        <v>0</v>
      </c>
      <c r="G52" s="957"/>
      <c r="H52" s="1582"/>
    </row>
    <row r="53" spans="1:8" ht="16.2" customHeight="1" x14ac:dyDescent="0.25">
      <c r="A53" s="1805"/>
      <c r="B53" s="1521"/>
      <c r="C53" s="216" t="str">
        <f>F!C21</f>
        <v>1 to &lt;3 ft deep.</v>
      </c>
      <c r="D53" s="44">
        <f>F!D21</f>
        <v>0</v>
      </c>
      <c r="E53" s="49">
        <v>2</v>
      </c>
      <c r="F53" s="45">
        <f>D53*E53</f>
        <v>0</v>
      </c>
      <c r="G53" s="957"/>
      <c r="H53" s="1582"/>
    </row>
    <row r="54" spans="1:8" ht="16.2" customHeight="1" x14ac:dyDescent="0.25">
      <c r="A54" s="1805"/>
      <c r="B54" s="1521"/>
      <c r="C54" s="216" t="str">
        <f>F!C22</f>
        <v>3 to 6 ft deep.</v>
      </c>
      <c r="D54" s="44">
        <f>F!D22</f>
        <v>0</v>
      </c>
      <c r="E54" s="49">
        <v>3</v>
      </c>
      <c r="F54" s="45">
        <f>D54*E54</f>
        <v>0</v>
      </c>
      <c r="G54" s="957"/>
      <c r="H54" s="1582"/>
    </row>
    <row r="55" spans="1:8" ht="16.2" customHeight="1" thickBot="1" x14ac:dyDescent="0.3">
      <c r="A55" s="1806"/>
      <c r="B55" s="1523"/>
      <c r="C55" s="254" t="str">
        <f>F!C23</f>
        <v>&gt;6 ft deep.</v>
      </c>
      <c r="D55" s="198">
        <f>F!D23</f>
        <v>0</v>
      </c>
      <c r="E55" s="245">
        <v>4</v>
      </c>
      <c r="F55" s="193">
        <f>D55*E55</f>
        <v>0</v>
      </c>
      <c r="G55" s="958"/>
      <c r="H55" s="1600"/>
    </row>
    <row r="56" spans="1:8" ht="21" customHeight="1" thickBot="1" x14ac:dyDescent="0.3">
      <c r="A56" s="1803" t="str">
        <f>F!A35</f>
        <v>F8</v>
      </c>
      <c r="B56" s="1521" t="str">
        <f>F!B35</f>
        <v>% Emergent Plants (EmPct)</v>
      </c>
      <c r="C56" s="4" t="str">
        <f>F!C35</f>
        <v>Emergent plants occupy an annual maximum of:</v>
      </c>
      <c r="D56" s="65"/>
      <c r="E56" s="65"/>
      <c r="F56" s="46"/>
      <c r="G56" s="954">
        <f>IF((NeverWater=1),"", IF((NoEm=1),"",MAX(F57:F61)/MAX(E57:E61)))</f>
        <v>0</v>
      </c>
      <c r="H56" s="1521" t="s">
        <v>1679</v>
      </c>
    </row>
    <row r="57" spans="1:8" ht="16.2" customHeight="1" x14ac:dyDescent="0.25">
      <c r="A57" s="1803"/>
      <c r="B57" s="1521"/>
      <c r="C57" s="215" t="str">
        <f>F!C36</f>
        <v>&lt;5% of the parts of the AA that are inundated for &gt;7 days at some time of the year.</v>
      </c>
      <c r="D57" s="44">
        <f>F!D36</f>
        <v>0</v>
      </c>
      <c r="E57" s="49">
        <v>0</v>
      </c>
      <c r="F57" s="45">
        <f>D57*E57</f>
        <v>0</v>
      </c>
      <c r="G57" s="957"/>
      <c r="H57" s="1521"/>
    </row>
    <row r="58" spans="1:8" ht="16.2" customHeight="1" x14ac:dyDescent="0.25">
      <c r="A58" s="1803"/>
      <c r="B58" s="1521"/>
      <c r="C58" s="216" t="str">
        <f>F!C37</f>
        <v>5 to &lt;30% of the parts of the AA that are inundated for &gt;7 days at some time of the year.</v>
      </c>
      <c r="D58" s="44">
        <f>F!D37</f>
        <v>0</v>
      </c>
      <c r="E58" s="49">
        <v>2</v>
      </c>
      <c r="F58" s="45">
        <f>D58*E58</f>
        <v>0</v>
      </c>
      <c r="G58" s="957"/>
      <c r="H58" s="1521"/>
    </row>
    <row r="59" spans="1:8" ht="16.2" customHeight="1" x14ac:dyDescent="0.25">
      <c r="A59" s="1803"/>
      <c r="B59" s="1521"/>
      <c r="C59" s="216" t="str">
        <f>F!C38</f>
        <v>30 to &lt;60% of the parts of the AA that are inundated for &gt;7 days at some time of the year.</v>
      </c>
      <c r="D59" s="44">
        <f>F!D38</f>
        <v>0</v>
      </c>
      <c r="E59" s="49">
        <v>3</v>
      </c>
      <c r="F59" s="45">
        <f>D59*E59</f>
        <v>0</v>
      </c>
      <c r="G59" s="957"/>
      <c r="H59" s="1521"/>
    </row>
    <row r="60" spans="1:8" ht="16.2" customHeight="1" x14ac:dyDescent="0.25">
      <c r="A60" s="1803"/>
      <c r="B60" s="1521"/>
      <c r="C60" s="216" t="str">
        <f>F!C39</f>
        <v>60 to 95% of the parts of the AA that are inundated for &gt;7 days at some time of the year.</v>
      </c>
      <c r="D60" s="44">
        <f>F!D39</f>
        <v>0</v>
      </c>
      <c r="E60" s="49">
        <v>3</v>
      </c>
      <c r="F60" s="45">
        <f>D60*E60</f>
        <v>0</v>
      </c>
      <c r="G60" s="959"/>
      <c r="H60" s="1521"/>
    </row>
    <row r="61" spans="1:8" ht="16.2" customHeight="1" thickBot="1" x14ac:dyDescent="0.3">
      <c r="A61" s="1803"/>
      <c r="B61" s="1521"/>
      <c r="C61" s="95" t="str">
        <f>F!C40</f>
        <v>&gt;95% of the parts of the AA that are inundated for &gt;7 days at some time of the year.</v>
      </c>
      <c r="D61" s="198">
        <f>F!D40</f>
        <v>0</v>
      </c>
      <c r="E61" s="67">
        <v>1</v>
      </c>
      <c r="F61" s="54">
        <f>D61*E61</f>
        <v>0</v>
      </c>
      <c r="G61" s="959"/>
      <c r="H61" s="1521"/>
    </row>
    <row r="62" spans="1:8" ht="45" customHeight="1" thickBot="1" x14ac:dyDescent="0.3">
      <c r="A62" s="1804" t="str">
        <f>F!A46</f>
        <v>F10</v>
      </c>
      <c r="B62" s="1522" t="str">
        <f>F!B46</f>
        <v>Water Shading by AA's Woody Vegetation - Driest  (WoodyDryShade)</v>
      </c>
      <c r="C62" s="466" t="str">
        <f>F!C46</f>
        <v>During an average growing season, when water levels are lowest (but surface water still occupies &gt;400 sq ft or &gt;1% of the AA), the percentage of the remaining surface water within the AA that is shaded by trees and/or shrubs located within the AA is:</v>
      </c>
      <c r="D62" s="549"/>
      <c r="E62" s="210"/>
      <c r="F62" s="955"/>
      <c r="G62" s="815">
        <f>IF((NeverWater+TempWet&gt;0),"",IF((HistOpenland=1),"",MAX(F63:F68)/MAX(E63:E68)))</f>
        <v>0</v>
      </c>
      <c r="H62" s="1547" t="s">
        <v>1616</v>
      </c>
    </row>
    <row r="63" spans="1:8" ht="16.2" customHeight="1" x14ac:dyDescent="0.25">
      <c r="A63" s="1805"/>
      <c r="B63" s="1521"/>
      <c r="C63" s="11" t="str">
        <f>F!C47</f>
        <v>&lt;5% of the water, and fewer than 10 woody plants taller than 3 ft shade it, or all surface water is flowing.</v>
      </c>
      <c r="D63" s="44">
        <f>F!D47</f>
        <v>0</v>
      </c>
      <c r="E63" s="49">
        <v>0</v>
      </c>
      <c r="F63" s="45">
        <f t="shared" ref="F63:F68" si="0">D63*E63</f>
        <v>0</v>
      </c>
      <c r="G63" s="792"/>
      <c r="H63" s="1548"/>
    </row>
    <row r="64" spans="1:8" ht="16.2" customHeight="1" x14ac:dyDescent="0.25">
      <c r="A64" s="1805"/>
      <c r="B64" s="1521"/>
      <c r="C64" s="286" t="str">
        <f>F!C48</f>
        <v>&lt;5% of the water, but more than 10 woody plants taller than 3 ft shade it.</v>
      </c>
      <c r="D64" s="44">
        <f>F!D48</f>
        <v>0</v>
      </c>
      <c r="E64" s="49">
        <v>1</v>
      </c>
      <c r="F64" s="45">
        <f t="shared" si="0"/>
        <v>0</v>
      </c>
      <c r="G64" s="793"/>
      <c r="H64" s="1548"/>
    </row>
    <row r="65" spans="1:8" ht="16.2" customHeight="1" x14ac:dyDescent="0.25">
      <c r="A65" s="1805"/>
      <c r="B65" s="1521"/>
      <c r="C65" s="286" t="str">
        <f>F!C49</f>
        <v>5 to &lt;25% of the water.</v>
      </c>
      <c r="D65" s="44">
        <f>F!D49</f>
        <v>0</v>
      </c>
      <c r="E65" s="49">
        <v>2</v>
      </c>
      <c r="F65" s="45">
        <f t="shared" si="0"/>
        <v>0</v>
      </c>
      <c r="G65" s="793"/>
      <c r="H65" s="1548"/>
    </row>
    <row r="66" spans="1:8" ht="16.2" customHeight="1" x14ac:dyDescent="0.25">
      <c r="A66" s="1805"/>
      <c r="B66" s="1521"/>
      <c r="C66" s="286" t="str">
        <f>F!C50</f>
        <v>25 to &lt;50% of the water.</v>
      </c>
      <c r="D66" s="44">
        <f>F!D50</f>
        <v>0</v>
      </c>
      <c r="E66" s="49">
        <v>3</v>
      </c>
      <c r="F66" s="45">
        <f t="shared" si="0"/>
        <v>0</v>
      </c>
      <c r="G66" s="793"/>
      <c r="H66" s="1548"/>
    </row>
    <row r="67" spans="1:8" ht="16.2" customHeight="1" x14ac:dyDescent="0.25">
      <c r="A67" s="1805"/>
      <c r="B67" s="1521"/>
      <c r="C67" s="286" t="str">
        <f>F!C51</f>
        <v>50 to 95% of the water.</v>
      </c>
      <c r="D67" s="44">
        <f>F!D51</f>
        <v>0</v>
      </c>
      <c r="E67" s="49">
        <v>4</v>
      </c>
      <c r="F67" s="45">
        <f t="shared" si="0"/>
        <v>0</v>
      </c>
      <c r="G67" s="793"/>
      <c r="H67" s="1548"/>
    </row>
    <row r="68" spans="1:8" ht="16.2" customHeight="1" thickBot="1" x14ac:dyDescent="0.3">
      <c r="A68" s="1806"/>
      <c r="B68" s="1523"/>
      <c r="C68" s="443" t="str">
        <f>F!C52</f>
        <v>&gt;95% of the water.</v>
      </c>
      <c r="D68" s="17">
        <f>F!D52</f>
        <v>0</v>
      </c>
      <c r="E68" s="245">
        <v>5</v>
      </c>
      <c r="F68" s="193">
        <f t="shared" si="0"/>
        <v>0</v>
      </c>
      <c r="G68" s="794"/>
      <c r="H68" s="1549"/>
    </row>
    <row r="69" spans="1:8" ht="45" customHeight="1" thickBot="1" x14ac:dyDescent="0.3">
      <c r="A69" s="1804" t="str">
        <f>F!A83</f>
        <v>F16</v>
      </c>
      <c r="B69" s="1522" t="str">
        <f>F!B83</f>
        <v>All Ponded Water as a Percentage (Driest)  (PondWpctDry)</v>
      </c>
      <c r="C69" s="226" t="str">
        <f>F!C83</f>
        <v>When water levels are lowest, during a normal year, but surface water still occupies &gt;1,076 sq feet (100 sq meter) OR  &gt;1% of the AA (whichever is more), the water that is ponded (either visible or concealed by vegetation) in the AA occupies:</v>
      </c>
      <c r="D69" s="549"/>
      <c r="E69" s="210"/>
      <c r="F69" s="241"/>
      <c r="G69" s="815">
        <f>IF((NeverWater+TempWet&gt;0),"",IF((NoPond=1),"",MAX(F70:F75)/MAX(E70:E75)))</f>
        <v>0</v>
      </c>
      <c r="H69" s="1599" t="s">
        <v>1617</v>
      </c>
    </row>
    <row r="70" spans="1:8" ht="28.5" customHeight="1" x14ac:dyDescent="0.25">
      <c r="A70" s="1805"/>
      <c r="B70" s="1521"/>
      <c r="C70" s="215" t="str">
        <f>F!C84</f>
        <v xml:space="preserve">&lt;1% or none. Surface water is completely or nearly absent then, or is entirely flowing. Enter 1 and SKIP TO F22. </v>
      </c>
      <c r="D70" s="44">
        <f>F!D84</f>
        <v>0</v>
      </c>
      <c r="E70" s="49">
        <v>4</v>
      </c>
      <c r="F70" s="45">
        <f t="shared" ref="F70:F75" si="1">D70*E70</f>
        <v>0</v>
      </c>
      <c r="G70" s="957"/>
      <c r="H70" s="1582"/>
    </row>
    <row r="71" spans="1:8" ht="16.2" customHeight="1" x14ac:dyDescent="0.25">
      <c r="A71" s="1805"/>
      <c r="B71" s="1521"/>
      <c r="C71" s="216" t="str">
        <f>F!C85</f>
        <v>1 to 5% of the AA.</v>
      </c>
      <c r="D71" s="44">
        <f>F!D85</f>
        <v>0</v>
      </c>
      <c r="E71" s="49">
        <v>5</v>
      </c>
      <c r="F71" s="45">
        <f t="shared" si="1"/>
        <v>0</v>
      </c>
      <c r="G71" s="957"/>
      <c r="H71" s="1582"/>
    </row>
    <row r="72" spans="1:8" ht="16.2" customHeight="1" x14ac:dyDescent="0.25">
      <c r="A72" s="1805"/>
      <c r="B72" s="1521"/>
      <c r="C72" s="216" t="str">
        <f>F!C86</f>
        <v>5 to &lt;30% of the AA.</v>
      </c>
      <c r="D72" s="44">
        <f>F!D86</f>
        <v>0</v>
      </c>
      <c r="E72" s="49">
        <v>3</v>
      </c>
      <c r="F72" s="45">
        <f t="shared" si="1"/>
        <v>0</v>
      </c>
      <c r="G72" s="957"/>
      <c r="H72" s="1582"/>
    </row>
    <row r="73" spans="1:8" ht="16.2" customHeight="1" x14ac:dyDescent="0.25">
      <c r="A73" s="1805"/>
      <c r="B73" s="1521"/>
      <c r="C73" s="216" t="str">
        <f>F!C87</f>
        <v>30 to &lt;70% of the AA.</v>
      </c>
      <c r="D73" s="44">
        <f>F!D87</f>
        <v>0</v>
      </c>
      <c r="E73" s="49">
        <v>2</v>
      </c>
      <c r="F73" s="45">
        <f t="shared" si="1"/>
        <v>0</v>
      </c>
      <c r="G73" s="957"/>
      <c r="H73" s="1582"/>
    </row>
    <row r="74" spans="1:8" ht="16.2" customHeight="1" x14ac:dyDescent="0.25">
      <c r="A74" s="1805"/>
      <c r="B74" s="1521"/>
      <c r="C74" s="216" t="str">
        <f>F!C88</f>
        <v>70 to 95% of the AA.</v>
      </c>
      <c r="D74" s="44">
        <f>F!D88</f>
        <v>0</v>
      </c>
      <c r="E74" s="49">
        <v>1</v>
      </c>
      <c r="F74" s="45">
        <f t="shared" si="1"/>
        <v>0</v>
      </c>
      <c r="G74" s="957"/>
      <c r="H74" s="1582"/>
    </row>
    <row r="75" spans="1:8" ht="16.2" customHeight="1" thickBot="1" x14ac:dyDescent="0.3">
      <c r="A75" s="1806"/>
      <c r="B75" s="1523"/>
      <c r="C75" s="254" t="str">
        <f>F!C89</f>
        <v>&gt;95% of the AA.</v>
      </c>
      <c r="D75" s="17">
        <f>F!D89</f>
        <v>0</v>
      </c>
      <c r="E75" s="245">
        <v>0</v>
      </c>
      <c r="F75" s="193">
        <f t="shared" si="1"/>
        <v>0</v>
      </c>
      <c r="G75" s="958"/>
      <c r="H75" s="1600"/>
    </row>
    <row r="76" spans="1:8" ht="45" customHeight="1" thickBot="1" x14ac:dyDescent="0.3">
      <c r="A76" s="833" t="str">
        <f>F!A105</f>
        <v>F19</v>
      </c>
      <c r="B76" s="114" t="str">
        <f>F!B105</f>
        <v>Floating Algae &amp; Duckweed (Algae)</v>
      </c>
      <c r="C76" s="466" t="str">
        <f>F!C105</f>
        <v>At some time of the year, most of the AA's otherwise-unshaded water surface is covered by floating mats of algae, or small (&lt;1 inch) floating plants such as duckweed, Azolla, Wolffia, or Riccia.  Enter 1, if true.</v>
      </c>
      <c r="D76" s="834">
        <f>F!D105</f>
        <v>0</v>
      </c>
      <c r="E76" s="260"/>
      <c r="F76" s="835"/>
      <c r="G76" s="804">
        <f>IF((NeverWater+TempWet&gt;0),"",IF((NoPond2=1),"",IF((NoPondOW2=1),"",1-D76)))</f>
        <v>1</v>
      </c>
      <c r="H76" s="114" t="s">
        <v>1695</v>
      </c>
    </row>
    <row r="77" spans="1:8" ht="48" customHeight="1" thickBot="1" x14ac:dyDescent="0.3">
      <c r="A77" s="1867" t="str">
        <f>F!A134</f>
        <v>F26</v>
      </c>
      <c r="B77" s="1669" t="str">
        <f>F!B134</f>
        <v>% Only Saturated or Seasonally Flooded (SeasPct)</v>
      </c>
      <c r="C77" s="960"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77" s="549"/>
      <c r="E77" s="210"/>
      <c r="F77" s="241"/>
      <c r="G77" s="815">
        <f>MAX(F78:F82)/MAX(E78:E82)</f>
        <v>0</v>
      </c>
      <c r="H77" s="1522" t="s">
        <v>845</v>
      </c>
    </row>
    <row r="78" spans="1:8" ht="21" customHeight="1" x14ac:dyDescent="0.25">
      <c r="A78" s="1868"/>
      <c r="B78" s="1691"/>
      <c r="C78" s="893" t="str">
        <f>F!C135</f>
        <v>&lt;5% of the AA, or none (i.e., all water persists for &gt;4 months).</v>
      </c>
      <c r="D78" s="47">
        <f>F!D135</f>
        <v>0</v>
      </c>
      <c r="E78" s="65">
        <v>1</v>
      </c>
      <c r="F78" s="45">
        <f>D78*E78</f>
        <v>0</v>
      </c>
      <c r="G78" s="793"/>
      <c r="H78" s="1521"/>
    </row>
    <row r="79" spans="1:8" ht="21" customHeight="1" x14ac:dyDescent="0.25">
      <c r="A79" s="1868"/>
      <c r="B79" s="1691"/>
      <c r="C79" s="894" t="str">
        <f>F!C136</f>
        <v>5 to &lt;25% of the AA.</v>
      </c>
      <c r="D79" s="47">
        <f>F!D136</f>
        <v>0</v>
      </c>
      <c r="E79" s="65">
        <v>2</v>
      </c>
      <c r="F79" s="45">
        <f>D79*E79</f>
        <v>0</v>
      </c>
      <c r="G79" s="793"/>
      <c r="H79" s="1521"/>
    </row>
    <row r="80" spans="1:8" ht="21" customHeight="1" x14ac:dyDescent="0.25">
      <c r="A80" s="1868"/>
      <c r="B80" s="1691"/>
      <c r="C80" s="894" t="str">
        <f>F!C137</f>
        <v>25 to &lt;50% of the AA.</v>
      </c>
      <c r="D80" s="47">
        <f>F!D137</f>
        <v>0</v>
      </c>
      <c r="E80" s="65">
        <v>3</v>
      </c>
      <c r="F80" s="45">
        <f>D80*E80</f>
        <v>0</v>
      </c>
      <c r="G80" s="793"/>
      <c r="H80" s="1521"/>
    </row>
    <row r="81" spans="1:8" ht="21" customHeight="1" x14ac:dyDescent="0.25">
      <c r="A81" s="1868"/>
      <c r="B81" s="1691"/>
      <c r="C81" s="894" t="str">
        <f>F!C138</f>
        <v>50 to 75% of the AA.</v>
      </c>
      <c r="D81" s="47">
        <f>F!D138</f>
        <v>0</v>
      </c>
      <c r="E81" s="65">
        <v>4</v>
      </c>
      <c r="F81" s="45">
        <f>D81*E81</f>
        <v>0</v>
      </c>
      <c r="G81" s="793"/>
      <c r="H81" s="1521"/>
    </row>
    <row r="82" spans="1:8" ht="21" customHeight="1" thickBot="1" x14ac:dyDescent="0.3">
      <c r="A82" s="1869"/>
      <c r="B82" s="1692"/>
      <c r="C82" s="932" t="str">
        <f>F!C139</f>
        <v>&gt;75% of the AA.</v>
      </c>
      <c r="D82" s="80">
        <f>F!D139</f>
        <v>0</v>
      </c>
      <c r="E82" s="479">
        <v>5</v>
      </c>
      <c r="F82" s="193">
        <f>D82*E82</f>
        <v>0</v>
      </c>
      <c r="G82" s="794"/>
      <c r="H82" s="1523"/>
    </row>
    <row r="83" spans="1:8" ht="21" customHeight="1" thickBot="1" x14ac:dyDescent="0.3">
      <c r="A83" s="1804" t="str">
        <f>F!A145</f>
        <v>F28</v>
      </c>
      <c r="B83" s="1522" t="str">
        <f>F!B145</f>
        <v>Fish &amp; Waterborne Pests (FishAcc)</v>
      </c>
      <c r="C83" s="466" t="str">
        <f>F!C145</f>
        <v>Select All that apply:</v>
      </c>
      <c r="D83" s="549"/>
      <c r="E83" s="210"/>
      <c r="F83" s="192"/>
      <c r="G83" s="815">
        <f>D84</f>
        <v>0</v>
      </c>
      <c r="H83" s="1522" t="s">
        <v>686</v>
      </c>
    </row>
    <row r="84" spans="1:8" ht="30.75" customHeight="1" thickBot="1" x14ac:dyDescent="0.3">
      <c r="A84" s="1806"/>
      <c r="B84" s="1523"/>
      <c r="C84" s="468" t="str">
        <f>F!C148</f>
        <v>Fish (native or stocked) are known to be present in the AA, or can access it during at least one day annually.</v>
      </c>
      <c r="D84" s="17">
        <f>F!D148</f>
        <v>0</v>
      </c>
      <c r="E84" s="245"/>
      <c r="F84" s="193"/>
      <c r="G84" s="958"/>
      <c r="H84" s="1523"/>
    </row>
    <row r="85" spans="1:8" s="2" customFormat="1" ht="30" customHeight="1" thickBot="1" x14ac:dyDescent="0.3">
      <c r="A85" s="1803" t="str">
        <f>F!A150</f>
        <v>F29</v>
      </c>
      <c r="B85" s="1521" t="str">
        <f>F!B150</f>
        <v>Non-native Aquatic Animals (PestAnim)</v>
      </c>
      <c r="C85" s="465" t="str">
        <f>F!C150</f>
        <v>The following are known or likely to have reproducing populations in this AA, its wetland, or in water bodies within 300 ft that connect to the AA at least seasonally.  Select All that apply:</v>
      </c>
      <c r="D85" s="549"/>
      <c r="E85" s="65"/>
      <c r="F85" s="60"/>
      <c r="G85" s="954">
        <f>IF((NeverWater+TempWet&gt;0),"",1-MAX(D86:D87))</f>
        <v>1</v>
      </c>
      <c r="H85" s="1521" t="s">
        <v>410</v>
      </c>
    </row>
    <row r="86" spans="1:8" s="2" customFormat="1" ht="16.2" customHeight="1" x14ac:dyDescent="0.25">
      <c r="A86" s="1803"/>
      <c r="B86" s="1521"/>
      <c r="C86" s="215" t="str">
        <f>F!C152</f>
        <v>Carp.</v>
      </c>
      <c r="D86" s="44">
        <f>F!D152</f>
        <v>0</v>
      </c>
      <c r="E86" s="65">
        <v>1</v>
      </c>
      <c r="F86" s="45">
        <f>D86*E86</f>
        <v>0</v>
      </c>
      <c r="G86" s="961"/>
      <c r="H86" s="1521"/>
    </row>
    <row r="87" spans="1:8" s="2" customFormat="1" ht="16.2" customHeight="1" thickBot="1" x14ac:dyDescent="0.3">
      <c r="A87" s="1803"/>
      <c r="B87" s="1521"/>
      <c r="C87" s="95" t="str">
        <f>F!C153</f>
        <v>Non-native fish that prey on tadpoles or turtles (e.g., bass, walleye, crappie, brook trout).</v>
      </c>
      <c r="D87" s="198">
        <f>F!D153</f>
        <v>0</v>
      </c>
      <c r="E87" s="93">
        <v>1</v>
      </c>
      <c r="F87" s="54">
        <f>D87*E87</f>
        <v>0</v>
      </c>
      <c r="G87" s="962"/>
      <c r="H87" s="1521"/>
    </row>
    <row r="88" spans="1:8" ht="80.25" customHeight="1" thickBot="1" x14ac:dyDescent="0.3">
      <c r="A88" s="1804" t="str">
        <f>F!A162</f>
        <v>F31</v>
      </c>
      <c r="B88" s="1522" t="str">
        <f>F!B162</f>
        <v>Outflow Duration (OutDura)</v>
      </c>
      <c r="C88" s="226"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88" s="549"/>
      <c r="E88" s="210"/>
      <c r="F88" s="955"/>
      <c r="G88" s="815">
        <f>MAX(F89:F92)/MAX(E89:E92)</f>
        <v>0</v>
      </c>
      <c r="H88" s="1599" t="s">
        <v>406</v>
      </c>
    </row>
    <row r="89" spans="1:8" ht="16.2" customHeight="1" x14ac:dyDescent="0.25">
      <c r="A89" s="1805"/>
      <c r="B89" s="1521"/>
      <c r="C89" s="215" t="str">
        <f>F!C163</f>
        <v>Persistent (&gt;9 months/year).</v>
      </c>
      <c r="D89" s="44">
        <f>F!D163</f>
        <v>0</v>
      </c>
      <c r="E89" s="49">
        <v>4</v>
      </c>
      <c r="F89" s="45">
        <f>D89*E89</f>
        <v>0</v>
      </c>
      <c r="G89" s="956"/>
      <c r="H89" s="1582"/>
    </row>
    <row r="90" spans="1:8" ht="16.2" customHeight="1" x14ac:dyDescent="0.25">
      <c r="A90" s="1805"/>
      <c r="B90" s="1521"/>
      <c r="C90" s="216" t="str">
        <f>F!C164</f>
        <v>Seasonal (14 days to 9 months/year, not necessarily consecutive).</v>
      </c>
      <c r="D90" s="44">
        <f>F!D164</f>
        <v>0</v>
      </c>
      <c r="E90" s="49">
        <v>3</v>
      </c>
      <c r="F90" s="45">
        <f>D90*E90</f>
        <v>0</v>
      </c>
      <c r="G90" s="957"/>
      <c r="H90" s="1582"/>
    </row>
    <row r="91" spans="1:8" ht="16.2" customHeight="1" x14ac:dyDescent="0.25">
      <c r="A91" s="1805"/>
      <c r="B91" s="1521"/>
      <c r="C91" s="216" t="str">
        <f>F!C165</f>
        <v>Temporary (&lt;14 days, not necessarily consecutive).</v>
      </c>
      <c r="D91" s="44">
        <f>F!D165</f>
        <v>0</v>
      </c>
      <c r="E91" s="49">
        <v>2</v>
      </c>
      <c r="F91" s="45">
        <f>D91*E91</f>
        <v>0</v>
      </c>
      <c r="G91" s="957"/>
      <c r="H91" s="1582"/>
    </row>
    <row r="92" spans="1:8" ht="42" customHeight="1" thickBot="1" x14ac:dyDescent="0.3">
      <c r="A92" s="1806"/>
      <c r="B92" s="1523"/>
      <c r="C92" s="254" t="str">
        <f>F!C166</f>
        <v xml:space="preserve">None -- no surface water flows out of the wetland except possibly during extreme events (&lt;once per 10 years). Or, water flows only into a wetland, ditch, or lake that lacks an outlet. Enter 1  and SKIP TO F33. </v>
      </c>
      <c r="D92" s="17">
        <f>F!D166</f>
        <v>0</v>
      </c>
      <c r="E92" s="245">
        <v>0</v>
      </c>
      <c r="F92" s="193">
        <f>D92*E92</f>
        <v>0</v>
      </c>
      <c r="G92" s="958"/>
      <c r="H92" s="1600"/>
    </row>
    <row r="93" spans="1:8" ht="45" customHeight="1" thickBot="1" x14ac:dyDescent="0.3">
      <c r="A93" s="1805" t="str">
        <f>F!A177</f>
        <v>F35</v>
      </c>
      <c r="B93" s="1521" t="str">
        <f>F!B177</f>
        <v>Throughflow Complexity (ThruFlo)</v>
      </c>
      <c r="C93" s="465" t="str">
        <f>F!C177</f>
        <v>[Skip this question if the AA lacks both an inlet and outlet.]  During peak annual flow, water entering the AA in channels encounters which of the following conditions as it travels through the AA: Select the ONE encountered most.</v>
      </c>
      <c r="D93" s="549"/>
      <c r="E93" s="65"/>
      <c r="F93" s="963"/>
      <c r="G93" s="954">
        <f>IF(AND(Inflow=0,NoOutlet=1),"",MAX(F94:F98)/MAX(E94:E98))</f>
        <v>0</v>
      </c>
      <c r="H93" s="1582" t="s">
        <v>1718</v>
      </c>
    </row>
    <row r="94" spans="1:8" ht="42" customHeight="1" x14ac:dyDescent="0.25">
      <c r="A94" s="1805"/>
      <c r="B94" s="1521"/>
      <c r="C94" s="215"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94" s="44">
        <f>F!D178</f>
        <v>0</v>
      </c>
      <c r="E94" s="49">
        <v>1</v>
      </c>
      <c r="F94" s="45">
        <f>D94*E94</f>
        <v>0</v>
      </c>
      <c r="G94" s="956"/>
      <c r="H94" s="1582"/>
    </row>
    <row r="95" spans="1:8" ht="16.2" customHeight="1" x14ac:dyDescent="0.25">
      <c r="A95" s="1805"/>
      <c r="B95" s="1521"/>
      <c r="C95" s="216" t="str">
        <f>F!C179</f>
        <v>Bumps into herbaceous vegetation but mostly remains in fairly straight channels.</v>
      </c>
      <c r="D95" s="44">
        <f>F!D179</f>
        <v>0</v>
      </c>
      <c r="E95" s="49">
        <v>2</v>
      </c>
      <c r="F95" s="45">
        <f>D95*E95</f>
        <v>0</v>
      </c>
      <c r="G95" s="957"/>
      <c r="H95" s="1582"/>
    </row>
    <row r="96" spans="1:8" ht="27" customHeight="1" x14ac:dyDescent="0.25">
      <c r="A96" s="1805"/>
      <c r="B96" s="1521"/>
      <c r="C96" s="216" t="str">
        <f>F!C180</f>
        <v>Bumps into herbaceous vegetation and mostly spreads throughout, or follows a fairly indirect path (in widely meandering, multi-branched, or braided channels).</v>
      </c>
      <c r="D96" s="44">
        <f>F!D180</f>
        <v>0</v>
      </c>
      <c r="E96" s="49">
        <v>4</v>
      </c>
      <c r="F96" s="45">
        <f>D96*E96</f>
        <v>0</v>
      </c>
      <c r="G96" s="957"/>
      <c r="H96" s="1582"/>
    </row>
    <row r="97" spans="1:8" ht="16.2" customHeight="1" x14ac:dyDescent="0.25">
      <c r="A97" s="1805"/>
      <c r="B97" s="1521"/>
      <c r="C97" s="216" t="str">
        <f>F!C181</f>
        <v>Bumps into tree trunks and/or shrub stems but mostly remains in fairly straight channels.</v>
      </c>
      <c r="D97" s="44">
        <f>F!D181</f>
        <v>0</v>
      </c>
      <c r="E97" s="49">
        <v>3</v>
      </c>
      <c r="F97" s="45">
        <f>D97*E97</f>
        <v>0</v>
      </c>
      <c r="G97" s="957"/>
      <c r="H97" s="1582"/>
    </row>
    <row r="98" spans="1:8" ht="27" customHeight="1" thickBot="1" x14ac:dyDescent="0.3">
      <c r="A98" s="1806"/>
      <c r="B98" s="1523"/>
      <c r="C98" s="254" t="str">
        <f>F!C182</f>
        <v>Bumps into tree trunks and/or shrub stems and follows a fairly indirect path  (meandering, multi-branched, or braided) from entrance to exit.</v>
      </c>
      <c r="D98" s="17">
        <f>F!D182</f>
        <v>0</v>
      </c>
      <c r="E98" s="245">
        <v>4</v>
      </c>
      <c r="F98" s="193">
        <f>D98*E98</f>
        <v>0</v>
      </c>
      <c r="G98" s="958"/>
      <c r="H98" s="1600"/>
    </row>
    <row r="99" spans="1:8" s="2" customFormat="1" ht="21" customHeight="1" thickBot="1" x14ac:dyDescent="0.3">
      <c r="A99" s="1803" t="str">
        <f>F!A188</f>
        <v>F37</v>
      </c>
      <c r="B99" s="1521" t="str">
        <f>F!B188</f>
        <v xml:space="preserve">Groundwater Strength of Evidence (Groundw) </v>
      </c>
      <c r="C99" s="114" t="str">
        <f>F!C188</f>
        <v>Select first one that applies:</v>
      </c>
      <c r="D99" s="210"/>
      <c r="E99" s="65"/>
      <c r="F99" s="60"/>
      <c r="G99" s="954">
        <f>MAX(F100:F103)/MAX(E100:E103)</f>
        <v>0</v>
      </c>
      <c r="H99" s="1521" t="s">
        <v>409</v>
      </c>
    </row>
    <row r="100" spans="1:8" s="2" customFormat="1" ht="99" customHeight="1" x14ac:dyDescent="0.25">
      <c r="A100" s="1803"/>
      <c r="B100" s="1521"/>
      <c r="C100" s="449"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100" s="44">
        <f>F!D189</f>
        <v>0</v>
      </c>
      <c r="E100" s="49">
        <v>3</v>
      </c>
      <c r="F100" s="45">
        <f>D100*E100</f>
        <v>0</v>
      </c>
      <c r="G100" s="792"/>
      <c r="H100" s="1521"/>
    </row>
    <row r="101" spans="1:8" s="2" customFormat="1" ht="99" customHeight="1" x14ac:dyDescent="0.25">
      <c r="A101" s="1803"/>
      <c r="B101" s="1521"/>
      <c r="C101" s="450"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101" s="44">
        <f>F!D190</f>
        <v>0</v>
      </c>
      <c r="E101" s="49">
        <v>2</v>
      </c>
      <c r="F101" s="45">
        <f>D101*E101</f>
        <v>0</v>
      </c>
      <c r="G101" s="792"/>
      <c r="H101" s="1521"/>
    </row>
    <row r="102" spans="1:8" s="2" customFormat="1" ht="39.75" customHeight="1" x14ac:dyDescent="0.25">
      <c r="A102" s="1803"/>
      <c r="B102" s="1521"/>
      <c r="C102" s="450" t="str">
        <f>F!C191</f>
        <v>The AA is not in an Arid or Semi-arid hydrologic unit, but has persistent ponded water, no tributary, and is not fed by wastewater, concentrated stormwater, or irrigation water, or by an adjacent river or lake.</v>
      </c>
      <c r="D102" s="44">
        <f>F!D191</f>
        <v>0</v>
      </c>
      <c r="E102" s="49">
        <v>1</v>
      </c>
      <c r="F102" s="45">
        <f>D102*E102</f>
        <v>0</v>
      </c>
      <c r="G102" s="793"/>
      <c r="H102" s="1521"/>
    </row>
    <row r="103" spans="1:8" s="2" customFormat="1" ht="27" customHeight="1" thickBot="1" x14ac:dyDescent="0.3">
      <c r="A103" s="1803"/>
      <c r="B103" s="1521"/>
      <c r="C103" s="286" t="str">
        <f>F!C192</f>
        <v>None of above is true, OR AA contains a hot spring. Some groundwater may nonetheless discharge to or flow through the wetland.</v>
      </c>
      <c r="D103" s="198">
        <f>F!D192</f>
        <v>0</v>
      </c>
      <c r="E103" s="67">
        <v>0</v>
      </c>
      <c r="F103" s="54">
        <f>D103*E103</f>
        <v>0</v>
      </c>
      <c r="G103" s="800"/>
      <c r="H103" s="1521"/>
    </row>
    <row r="104" spans="1:8" s="2" customFormat="1" ht="45" customHeight="1" thickBot="1" x14ac:dyDescent="0.3">
      <c r="A104" s="1804" t="str">
        <f>F!A240</f>
        <v>F48</v>
      </c>
      <c r="B104" s="1522" t="str">
        <f>F!B240</f>
        <v>Abovewater Wood (WoodOver)</v>
      </c>
      <c r="C104" s="466" t="str">
        <f>F!C240</f>
        <v>The number of horizontal wood pieces thicker than 4 inches that are partly submerged during most of the spring or early summer, thus potentially serving as basking sites for turtles, birds, or frogs and cover for fish is:</v>
      </c>
      <c r="D104" s="549"/>
      <c r="E104" s="210"/>
      <c r="F104" s="192"/>
      <c r="G104" s="815">
        <f>IF((NeverWater+TempWet&gt;0),"",IF((HistOpenland=1),"",MAX(F105:F107)/MAX(E105:E107)))</f>
        <v>0</v>
      </c>
      <c r="H104" s="1522" t="s">
        <v>1751</v>
      </c>
    </row>
    <row r="105" spans="1:8" s="2" customFormat="1" ht="16.2" customHeight="1" x14ac:dyDescent="0.25">
      <c r="A105" s="1805"/>
      <c r="B105" s="1521"/>
      <c r="C105" s="449" t="str">
        <f>F!C241</f>
        <v>None.</v>
      </c>
      <c r="D105" s="44">
        <f>F!D241</f>
        <v>0</v>
      </c>
      <c r="E105" s="49">
        <v>0</v>
      </c>
      <c r="F105" s="45">
        <f>D105*E105</f>
        <v>0</v>
      </c>
      <c r="G105" s="793"/>
      <c r="H105" s="1521"/>
    </row>
    <row r="106" spans="1:8" s="2" customFormat="1" ht="16.2" customHeight="1" x14ac:dyDescent="0.25">
      <c r="A106" s="1805"/>
      <c r="B106" s="1521"/>
      <c r="C106" s="450" t="str">
        <f>F!C242</f>
        <v>Few.</v>
      </c>
      <c r="D106" s="44">
        <f>F!D242</f>
        <v>0</v>
      </c>
      <c r="E106" s="49">
        <v>1</v>
      </c>
      <c r="F106" s="45">
        <f>D106*E106</f>
        <v>0</v>
      </c>
      <c r="G106" s="793"/>
      <c r="H106" s="1521"/>
    </row>
    <row r="107" spans="1:8" s="2" customFormat="1" ht="16.2" customHeight="1" thickBot="1" x14ac:dyDescent="0.3">
      <c r="A107" s="1806"/>
      <c r="B107" s="1523"/>
      <c r="C107" s="443" t="str">
        <f>F!C243</f>
        <v>Several (e.g., &gt;3 per 300 ft of channel or shoreline).</v>
      </c>
      <c r="D107" s="17">
        <f>F!D243</f>
        <v>0</v>
      </c>
      <c r="E107" s="245">
        <v>2</v>
      </c>
      <c r="F107" s="193">
        <f>D107*E107</f>
        <v>0</v>
      </c>
      <c r="G107" s="909"/>
      <c r="H107" s="1523"/>
    </row>
    <row r="108" spans="1:8" s="2" customFormat="1" ht="30" customHeight="1" thickBot="1" x14ac:dyDescent="0.3">
      <c r="A108" s="1804" t="str">
        <f>F!A260</f>
        <v>F52</v>
      </c>
      <c r="B108" s="1522" t="str">
        <f>F!B260</f>
        <v>Upland Perennial Cover - % of Perimeter (PerimPctPer)</v>
      </c>
      <c r="C108" s="226" t="str">
        <f>F!C260</f>
        <v xml:space="preserve">The percentage of the AA's edge (perimeter) that is comprised of a band of upland perennial cover wider than 10 ft and taller than 6 inches, during most of the growing season is:  </v>
      </c>
      <c r="D108" s="549"/>
      <c r="E108" s="210"/>
      <c r="F108" s="192"/>
      <c r="G108" s="815">
        <f>MAX(F109:F114)/MAX(E109:E114)</f>
        <v>0</v>
      </c>
      <c r="H108" s="1522" t="s">
        <v>411</v>
      </c>
    </row>
    <row r="109" spans="1:8" s="2" customFormat="1" ht="16.2" customHeight="1" x14ac:dyDescent="0.25">
      <c r="A109" s="1805"/>
      <c r="B109" s="1521"/>
      <c r="C109" s="215" t="str">
        <f>F!C261</f>
        <v>&lt;5%.</v>
      </c>
      <c r="D109" s="44">
        <f>F!D261</f>
        <v>0</v>
      </c>
      <c r="E109" s="49">
        <v>0</v>
      </c>
      <c r="F109" s="45">
        <f t="shared" ref="F109:F114" si="2">D109*E109</f>
        <v>0</v>
      </c>
      <c r="G109" s="793"/>
      <c r="H109" s="1521"/>
    </row>
    <row r="110" spans="1:8" s="2" customFormat="1" ht="16.2" customHeight="1" x14ac:dyDescent="0.25">
      <c r="A110" s="1805"/>
      <c r="B110" s="1521"/>
      <c r="C110" s="216" t="str">
        <f>F!C262</f>
        <v>5 to &lt;25%.</v>
      </c>
      <c r="D110" s="44">
        <f>F!D262</f>
        <v>0</v>
      </c>
      <c r="E110" s="49">
        <v>1</v>
      </c>
      <c r="F110" s="45">
        <f t="shared" si="2"/>
        <v>0</v>
      </c>
      <c r="G110" s="793"/>
      <c r="H110" s="1521"/>
    </row>
    <row r="111" spans="1:8" s="2" customFormat="1" ht="16.2" customHeight="1" x14ac:dyDescent="0.25">
      <c r="A111" s="1805"/>
      <c r="B111" s="1521"/>
      <c r="C111" s="216" t="str">
        <f>F!C263</f>
        <v>25 to &lt;50%.</v>
      </c>
      <c r="D111" s="44">
        <f>F!D263</f>
        <v>0</v>
      </c>
      <c r="E111" s="49">
        <v>2</v>
      </c>
      <c r="F111" s="45">
        <f t="shared" si="2"/>
        <v>0</v>
      </c>
      <c r="G111" s="793"/>
      <c r="H111" s="1521"/>
    </row>
    <row r="112" spans="1:8" s="2" customFormat="1" ht="16.2" customHeight="1" x14ac:dyDescent="0.25">
      <c r="A112" s="1805"/>
      <c r="B112" s="1521"/>
      <c r="C112" s="216" t="str">
        <f>F!C264</f>
        <v>50 to &lt;75%.</v>
      </c>
      <c r="D112" s="44">
        <f>F!D264</f>
        <v>0</v>
      </c>
      <c r="E112" s="49">
        <v>3</v>
      </c>
      <c r="F112" s="45">
        <f t="shared" si="2"/>
        <v>0</v>
      </c>
      <c r="G112" s="793"/>
      <c r="H112" s="1521"/>
    </row>
    <row r="113" spans="1:8" s="2" customFormat="1" ht="16.2" customHeight="1" x14ac:dyDescent="0.25">
      <c r="A113" s="1805"/>
      <c r="B113" s="1521"/>
      <c r="C113" s="216" t="str">
        <f>F!C265</f>
        <v>75 to 95%.</v>
      </c>
      <c r="D113" s="44">
        <f>F!D265</f>
        <v>0</v>
      </c>
      <c r="E113" s="49">
        <v>5</v>
      </c>
      <c r="F113" s="45">
        <f t="shared" si="2"/>
        <v>0</v>
      </c>
      <c r="G113" s="793"/>
      <c r="H113" s="1521"/>
    </row>
    <row r="114" spans="1:8" s="2" customFormat="1" ht="16.2" customHeight="1" thickBot="1" x14ac:dyDescent="0.3">
      <c r="A114" s="1806"/>
      <c r="B114" s="1523"/>
      <c r="C114" s="254" t="str">
        <f>F!C266</f>
        <v>&gt;95%.</v>
      </c>
      <c r="D114" s="17">
        <f>F!D266</f>
        <v>0</v>
      </c>
      <c r="E114" s="245">
        <v>6</v>
      </c>
      <c r="F114" s="193">
        <f t="shared" si="2"/>
        <v>0</v>
      </c>
      <c r="G114" s="909"/>
      <c r="H114" s="1523"/>
    </row>
    <row r="115" spans="1:8" s="2" customFormat="1" ht="70.5" customHeight="1" thickBot="1" x14ac:dyDescent="0.3">
      <c r="A115" s="1803" t="str">
        <f>F!A267</f>
        <v>F53</v>
      </c>
      <c r="B115" s="1521" t="str">
        <f>F!B267</f>
        <v>Upland Perennial Cover - Width (Buffer)  (BuffWidth)</v>
      </c>
      <c r="C115" s="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15" s="210"/>
      <c r="E115" s="65"/>
      <c r="F115" s="46"/>
      <c r="G115" s="799">
        <f>MAX(F116:F121)/MAX(E116:E121)</f>
        <v>0</v>
      </c>
      <c r="H115" s="1521" t="s">
        <v>124</v>
      </c>
    </row>
    <row r="116" spans="1:8" s="2" customFormat="1" ht="16.2" customHeight="1" x14ac:dyDescent="0.25">
      <c r="A116" s="1803"/>
      <c r="B116" s="1521"/>
      <c r="C116" s="215" t="str">
        <f>F!C268</f>
        <v xml:space="preserve">&lt; 5 ft, or none.  </v>
      </c>
      <c r="D116" s="44">
        <f>F!D268</f>
        <v>0</v>
      </c>
      <c r="E116" s="49">
        <v>0</v>
      </c>
      <c r="F116" s="45">
        <f t="shared" ref="F116:F121" si="3">D116*E116</f>
        <v>0</v>
      </c>
      <c r="G116" s="793"/>
      <c r="H116" s="1521"/>
    </row>
    <row r="117" spans="1:8" s="2" customFormat="1" ht="16.2" customHeight="1" x14ac:dyDescent="0.25">
      <c r="A117" s="1803"/>
      <c r="B117" s="1521"/>
      <c r="C117" s="216" t="str">
        <f>F!C269</f>
        <v>5 to &lt;30 ft.</v>
      </c>
      <c r="D117" s="44">
        <f>F!D269</f>
        <v>0</v>
      </c>
      <c r="E117" s="49">
        <v>1</v>
      </c>
      <c r="F117" s="45">
        <f t="shared" si="3"/>
        <v>0</v>
      </c>
      <c r="G117" s="793"/>
      <c r="H117" s="1521"/>
    </row>
    <row r="118" spans="1:8" s="2" customFormat="1" ht="16.2" customHeight="1" x14ac:dyDescent="0.25">
      <c r="A118" s="1803"/>
      <c r="B118" s="1521"/>
      <c r="C118" s="216" t="str">
        <f>F!C270</f>
        <v>30 to &lt;50 ft.</v>
      </c>
      <c r="D118" s="44">
        <f>F!D270</f>
        <v>0</v>
      </c>
      <c r="E118" s="49">
        <v>2</v>
      </c>
      <c r="F118" s="45">
        <f t="shared" si="3"/>
        <v>0</v>
      </c>
      <c r="G118" s="793"/>
      <c r="H118" s="1521"/>
    </row>
    <row r="119" spans="1:8" s="2" customFormat="1" ht="16.2" customHeight="1" x14ac:dyDescent="0.25">
      <c r="A119" s="1803"/>
      <c r="B119" s="1521"/>
      <c r="C119" s="216" t="str">
        <f>F!C271</f>
        <v>50 to &lt;100 ft.</v>
      </c>
      <c r="D119" s="44">
        <f>F!D271</f>
        <v>0</v>
      </c>
      <c r="E119" s="49">
        <v>3</v>
      </c>
      <c r="F119" s="45">
        <f t="shared" si="3"/>
        <v>0</v>
      </c>
      <c r="G119" s="793"/>
      <c r="H119" s="1521"/>
    </row>
    <row r="120" spans="1:8" s="2" customFormat="1" ht="16.2" customHeight="1" x14ac:dyDescent="0.25">
      <c r="A120" s="1803"/>
      <c r="B120" s="1521"/>
      <c r="C120" s="216" t="str">
        <f>F!C272</f>
        <v>100  to 300 ft.</v>
      </c>
      <c r="D120" s="44">
        <f>F!D272</f>
        <v>0</v>
      </c>
      <c r="E120" s="49">
        <v>5</v>
      </c>
      <c r="F120" s="45">
        <f t="shared" si="3"/>
        <v>0</v>
      </c>
      <c r="G120" s="793"/>
      <c r="H120" s="1521"/>
    </row>
    <row r="121" spans="1:8" s="2" customFormat="1" ht="16.2" customHeight="1" thickBot="1" x14ac:dyDescent="0.3">
      <c r="A121" s="1803"/>
      <c r="B121" s="1521"/>
      <c r="C121" s="95" t="str">
        <f>F!C273</f>
        <v xml:space="preserve">&gt; 300 ft. </v>
      </c>
      <c r="D121" s="17">
        <f>F!D273</f>
        <v>0</v>
      </c>
      <c r="E121" s="67">
        <v>6</v>
      </c>
      <c r="F121" s="54">
        <f t="shared" si="3"/>
        <v>0</v>
      </c>
      <c r="G121" s="800"/>
      <c r="H121" s="1521"/>
    </row>
    <row r="122" spans="1:8" s="2" customFormat="1" ht="30" customHeight="1" thickBot="1" x14ac:dyDescent="0.3">
      <c r="A122" s="1804" t="str">
        <f>F!A274</f>
        <v>F54</v>
      </c>
      <c r="B122" s="1522" t="str">
        <f>F!B274</f>
        <v>Upland Trees as % of All Perennial Cover (UpTreePctPer)</v>
      </c>
      <c r="C122" s="226" t="str">
        <f>F!C274</f>
        <v>Within 100 f.t landward from the AA's edge (perimeter), the percentage of the upland perennial cover that is woody plants taller than 20 ft is:</v>
      </c>
      <c r="D122" s="549"/>
      <c r="E122" s="210"/>
      <c r="F122" s="192"/>
      <c r="G122" s="804">
        <f>IF((HistOpenland=1),"",MAX(F123:F128)/MAX(E123:E128))</f>
        <v>0</v>
      </c>
      <c r="H122" s="1522" t="s">
        <v>413</v>
      </c>
    </row>
    <row r="123" spans="1:8" s="2" customFormat="1" ht="16.2" customHeight="1" x14ac:dyDescent="0.25">
      <c r="A123" s="1805"/>
      <c r="B123" s="1521"/>
      <c r="C123" s="215" t="str">
        <f>F!C275</f>
        <v>&lt;5%, or there is no upland perennial cover along the upland edge.</v>
      </c>
      <c r="D123" s="44">
        <f>F!D275</f>
        <v>0</v>
      </c>
      <c r="E123" s="49">
        <v>0</v>
      </c>
      <c r="F123" s="45">
        <f t="shared" ref="F123:F128" si="4">D123*E123</f>
        <v>0</v>
      </c>
      <c r="G123" s="793"/>
      <c r="H123" s="1521"/>
    </row>
    <row r="124" spans="1:8" s="2" customFormat="1" ht="16.2" customHeight="1" x14ac:dyDescent="0.25">
      <c r="A124" s="1805"/>
      <c r="B124" s="1521"/>
      <c r="C124" s="216" t="str">
        <f>F!C276</f>
        <v>5 to &lt;25% of perennial cover.</v>
      </c>
      <c r="D124" s="44">
        <f>F!D276</f>
        <v>0</v>
      </c>
      <c r="E124" s="49">
        <v>2</v>
      </c>
      <c r="F124" s="45">
        <f t="shared" si="4"/>
        <v>0</v>
      </c>
      <c r="G124" s="793"/>
      <c r="H124" s="1521"/>
    </row>
    <row r="125" spans="1:8" s="2" customFormat="1" ht="16.2" customHeight="1" x14ac:dyDescent="0.25">
      <c r="A125" s="1805"/>
      <c r="B125" s="1521"/>
      <c r="C125" s="216" t="str">
        <f>F!C277</f>
        <v>25 to &lt;50% of perennial cover.</v>
      </c>
      <c r="D125" s="44">
        <f>F!D277</f>
        <v>0</v>
      </c>
      <c r="E125" s="49">
        <v>3</v>
      </c>
      <c r="F125" s="45">
        <f t="shared" si="4"/>
        <v>0</v>
      </c>
      <c r="G125" s="793"/>
      <c r="H125" s="1521"/>
    </row>
    <row r="126" spans="1:8" s="2" customFormat="1" ht="16.2" customHeight="1" x14ac:dyDescent="0.25">
      <c r="A126" s="1805"/>
      <c r="B126" s="1521"/>
      <c r="C126" s="216" t="str">
        <f>F!C278</f>
        <v>50 to &lt;75% of perennial cover.</v>
      </c>
      <c r="D126" s="44">
        <f>F!D278</f>
        <v>0</v>
      </c>
      <c r="E126" s="49">
        <v>4</v>
      </c>
      <c r="F126" s="45">
        <f t="shared" si="4"/>
        <v>0</v>
      </c>
      <c r="G126" s="793"/>
      <c r="H126" s="1521"/>
    </row>
    <row r="127" spans="1:8" s="2" customFormat="1" ht="16.2" customHeight="1" x14ac:dyDescent="0.25">
      <c r="A127" s="1805"/>
      <c r="B127" s="1521"/>
      <c r="C127" s="216" t="str">
        <f>F!C279</f>
        <v>75 to 95% of perennial cover.</v>
      </c>
      <c r="D127" s="44">
        <f>F!D279</f>
        <v>0</v>
      </c>
      <c r="E127" s="49">
        <v>5</v>
      </c>
      <c r="F127" s="45">
        <f t="shared" si="4"/>
        <v>0</v>
      </c>
      <c r="G127" s="793"/>
      <c r="H127" s="1521"/>
    </row>
    <row r="128" spans="1:8" s="2" customFormat="1" ht="16.2" customHeight="1" thickBot="1" x14ac:dyDescent="0.3">
      <c r="A128" s="1806"/>
      <c r="B128" s="1523"/>
      <c r="C128" s="254" t="str">
        <f>F!C280</f>
        <v>&gt;95% of perennial cover.</v>
      </c>
      <c r="D128" s="198">
        <f>F!D280</f>
        <v>0</v>
      </c>
      <c r="E128" s="245">
        <v>6</v>
      </c>
      <c r="F128" s="193">
        <f t="shared" si="4"/>
        <v>0</v>
      </c>
      <c r="G128" s="909"/>
      <c r="H128" s="1523"/>
    </row>
    <row r="129" spans="1:8" ht="42" customHeight="1" thickBot="1" x14ac:dyDescent="0.3">
      <c r="A129" s="964" t="str">
        <f>S!A3</f>
        <v>S1</v>
      </c>
      <c r="B129" s="892" t="str">
        <f>S!B3</f>
        <v>Aberrant Timing of Water Inputs (AltTiming)</v>
      </c>
      <c r="C129" s="965" t="str">
        <f>S!E18</f>
        <v>Final score=</v>
      </c>
      <c r="D129" s="261">
        <f>S!F18</f>
        <v>0</v>
      </c>
      <c r="E129" s="93"/>
      <c r="F129" s="825"/>
      <c r="G129" s="966">
        <f>IF((NeverWater=1), "", 1-D129)</f>
        <v>1</v>
      </c>
      <c r="H129" s="712" t="s">
        <v>407</v>
      </c>
    </row>
    <row r="130" spans="1:8" ht="45" customHeight="1" thickBot="1" x14ac:dyDescent="0.3">
      <c r="A130" s="967" t="str">
        <f>S!A33</f>
        <v>S3</v>
      </c>
      <c r="B130" s="255" t="str">
        <f>S!B33</f>
        <v>Accelerated Inputs of Contaminants and/or Salts (ContamIn).</v>
      </c>
      <c r="C130" s="968" t="str">
        <f>S!E50</f>
        <v>Final score=</v>
      </c>
      <c r="D130" s="248">
        <f>S!F50</f>
        <v>0</v>
      </c>
      <c r="E130" s="260"/>
      <c r="F130" s="835"/>
      <c r="G130" s="849">
        <f>1-D130</f>
        <v>1</v>
      </c>
      <c r="H130" s="4" t="s">
        <v>415</v>
      </c>
    </row>
    <row r="131" spans="1:8" ht="60" customHeight="1" thickBot="1" x14ac:dyDescent="0.3">
      <c r="A131" s="969" t="str">
        <f>S!A51</f>
        <v>S4</v>
      </c>
      <c r="B131" s="892" t="str">
        <f>S!B51</f>
        <v>Excessive Sediment Loading from Runoff Contributing Area (SedRCA).</v>
      </c>
      <c r="C131" s="965" t="str">
        <f>S!E68</f>
        <v>Final score=</v>
      </c>
      <c r="D131" s="248">
        <f>S!F68</f>
        <v>0</v>
      </c>
      <c r="E131" s="93"/>
      <c r="F131" s="825"/>
      <c r="G131" s="966">
        <f>1-D131</f>
        <v>1</v>
      </c>
      <c r="H131" s="712" t="s">
        <v>416</v>
      </c>
    </row>
    <row r="132" spans="1:8" s="372" customFormat="1" ht="36" customHeight="1" thickBot="1" x14ac:dyDescent="0.3">
      <c r="A132" s="374" t="s">
        <v>126</v>
      </c>
      <c r="B132" s="374" t="s">
        <v>1466</v>
      </c>
      <c r="C132" s="921" t="s">
        <v>1271</v>
      </c>
      <c r="D132" s="374" t="s">
        <v>115</v>
      </c>
      <c r="E132" s="374" t="s">
        <v>771</v>
      </c>
      <c r="F132" s="374" t="s">
        <v>1461</v>
      </c>
      <c r="G132" s="818" t="s">
        <v>770</v>
      </c>
      <c r="H132" s="374" t="s">
        <v>772</v>
      </c>
    </row>
    <row r="133" spans="1:8" ht="30" customHeight="1" thickBot="1" x14ac:dyDescent="0.3">
      <c r="A133" s="1922" t="str">
        <f>T!A15</f>
        <v>T3</v>
      </c>
      <c r="B133" s="1522" t="str">
        <f>T!B15</f>
        <v>Low Marsh (LowMarshT)</v>
      </c>
      <c r="C133" s="75" t="str">
        <f>T!C15</f>
        <v>The percent of the vegetated part of the AA that is "low marsh" (covered by tidal water for part of almost every day) is:</v>
      </c>
      <c r="D133" s="549"/>
      <c r="E133" s="210"/>
      <c r="F133" s="192"/>
      <c r="G133" s="857">
        <f>MAX(F134:F140)/MAX(E134:E140)</f>
        <v>0</v>
      </c>
      <c r="H133" s="1522" t="s">
        <v>871</v>
      </c>
    </row>
    <row r="134" spans="1:8" ht="16.2" customHeight="1" x14ac:dyDescent="0.25">
      <c r="A134" s="1923"/>
      <c r="B134" s="1521"/>
      <c r="C134" s="2" t="str">
        <f>T!C16</f>
        <v>None, or &lt;1%.</v>
      </c>
      <c r="D134" s="44">
        <f>T!D16</f>
        <v>0</v>
      </c>
      <c r="E134" s="49">
        <v>0</v>
      </c>
      <c r="F134" s="45">
        <f t="shared" ref="F134:F140" si="5">D134*E134</f>
        <v>0</v>
      </c>
      <c r="G134" s="792"/>
      <c r="H134" s="1521"/>
    </row>
    <row r="135" spans="1:8" ht="16.2" customHeight="1" x14ac:dyDescent="0.25">
      <c r="A135" s="1923"/>
      <c r="B135" s="1521"/>
      <c r="C135" s="95" t="str">
        <f>T!C17</f>
        <v>1 to &lt;10%.</v>
      </c>
      <c r="D135" s="44">
        <f>T!D17</f>
        <v>0</v>
      </c>
      <c r="E135" s="49">
        <v>2</v>
      </c>
      <c r="F135" s="45">
        <f t="shared" si="5"/>
        <v>0</v>
      </c>
      <c r="G135" s="793"/>
      <c r="H135" s="1521"/>
    </row>
    <row r="136" spans="1:8" ht="16.2" customHeight="1" x14ac:dyDescent="0.25">
      <c r="A136" s="1923"/>
      <c r="B136" s="1521"/>
      <c r="C136" s="95" t="str">
        <f>T!C18</f>
        <v>10 to &lt;25%.</v>
      </c>
      <c r="D136" s="44">
        <f>T!D18</f>
        <v>0</v>
      </c>
      <c r="E136" s="49">
        <v>3</v>
      </c>
      <c r="F136" s="45">
        <f t="shared" si="5"/>
        <v>0</v>
      </c>
      <c r="G136" s="793"/>
      <c r="H136" s="1521"/>
    </row>
    <row r="137" spans="1:8" ht="16.2" customHeight="1" x14ac:dyDescent="0.25">
      <c r="A137" s="1923"/>
      <c r="B137" s="1521"/>
      <c r="C137" s="95" t="str">
        <f>T!C19</f>
        <v>25 &lt;50%.</v>
      </c>
      <c r="D137" s="44">
        <f>T!D19</f>
        <v>0</v>
      </c>
      <c r="E137" s="49">
        <v>4</v>
      </c>
      <c r="F137" s="45">
        <f t="shared" si="5"/>
        <v>0</v>
      </c>
      <c r="G137" s="793"/>
      <c r="H137" s="1521"/>
    </row>
    <row r="138" spans="1:8" ht="16.2" customHeight="1" x14ac:dyDescent="0.25">
      <c r="A138" s="1923"/>
      <c r="B138" s="1521"/>
      <c r="C138" s="95" t="str">
        <f>T!C20</f>
        <v>50 to &lt;75%.</v>
      </c>
      <c r="D138" s="44">
        <f>T!D20</f>
        <v>0</v>
      </c>
      <c r="E138" s="49">
        <v>5</v>
      </c>
      <c r="F138" s="45">
        <f t="shared" si="5"/>
        <v>0</v>
      </c>
      <c r="G138" s="793"/>
      <c r="H138" s="1521"/>
    </row>
    <row r="139" spans="1:8" ht="16.2" customHeight="1" x14ac:dyDescent="0.25">
      <c r="A139" s="1923"/>
      <c r="B139" s="1521"/>
      <c r="C139" s="95" t="str">
        <f>T!C21</f>
        <v>75 to 90%.</v>
      </c>
      <c r="D139" s="44">
        <f>T!D21</f>
        <v>0</v>
      </c>
      <c r="E139" s="49">
        <v>6</v>
      </c>
      <c r="F139" s="45">
        <f t="shared" si="5"/>
        <v>0</v>
      </c>
      <c r="G139" s="793"/>
      <c r="H139" s="1521"/>
    </row>
    <row r="140" spans="1:8" ht="16.2" customHeight="1" thickBot="1" x14ac:dyDescent="0.3">
      <c r="A140" s="1924"/>
      <c r="B140" s="1523"/>
      <c r="C140" s="254" t="str">
        <f>T!C22</f>
        <v>&gt;90%.</v>
      </c>
      <c r="D140" s="198">
        <f>T!D22</f>
        <v>0</v>
      </c>
      <c r="E140" s="245">
        <v>7</v>
      </c>
      <c r="F140" s="193">
        <f t="shared" si="5"/>
        <v>0</v>
      </c>
      <c r="G140" s="794"/>
      <c r="H140" s="1523"/>
    </row>
    <row r="141" spans="1:8" ht="30" customHeight="1" thickBot="1" x14ac:dyDescent="0.3">
      <c r="A141" s="1922" t="str">
        <f>T!A23</f>
        <v>T4</v>
      </c>
      <c r="B141" s="1521" t="str">
        <f>T!B23</f>
        <v>Width of Vegetated Zone at Daily High Tide (WidthHiT)</v>
      </c>
      <c r="C141" s="244" t="str">
        <f>T!C23</f>
        <v>At average daily HIGH tide condition, the width of the vegetated wetland that separates adjoining uplands (if any) from subtidal water within or adjoining the AA, is predominantly:</v>
      </c>
      <c r="D141" s="549"/>
      <c r="E141" s="65"/>
      <c r="F141" s="46"/>
      <c r="G141" s="857">
        <f>MAX(F142:F147)/MAX(E142:E147)</f>
        <v>0</v>
      </c>
      <c r="H141" s="1521" t="s">
        <v>872</v>
      </c>
    </row>
    <row r="142" spans="1:8" ht="16.2" customHeight="1" x14ac:dyDescent="0.25">
      <c r="A142" s="1923"/>
      <c r="B142" s="1521"/>
      <c r="C142" s="2" t="str">
        <f>T!C24</f>
        <v>&lt;5 ft, or no vegetation between upland and subtidal water.</v>
      </c>
      <c r="D142" s="44">
        <f>T!D24</f>
        <v>0</v>
      </c>
      <c r="E142" s="49">
        <v>0</v>
      </c>
      <c r="F142" s="45">
        <f t="shared" ref="F142:F147" si="6">D142*E142</f>
        <v>0</v>
      </c>
      <c r="G142" s="792"/>
      <c r="H142" s="1521"/>
    </row>
    <row r="143" spans="1:8" ht="16.2" customHeight="1" x14ac:dyDescent="0.25">
      <c r="A143" s="1923"/>
      <c r="B143" s="1521"/>
      <c r="C143" s="95" t="str">
        <f>T!C25</f>
        <v>5 to &lt;30 ft.</v>
      </c>
      <c r="D143" s="44">
        <f>T!D25</f>
        <v>0</v>
      </c>
      <c r="E143" s="49">
        <v>2</v>
      </c>
      <c r="F143" s="45">
        <f t="shared" si="6"/>
        <v>0</v>
      </c>
      <c r="G143" s="793"/>
      <c r="H143" s="1521"/>
    </row>
    <row r="144" spans="1:8" ht="16.2" customHeight="1" x14ac:dyDescent="0.25">
      <c r="A144" s="1923"/>
      <c r="B144" s="1521"/>
      <c r="C144" s="95" t="str">
        <f>T!C26</f>
        <v>30 to &lt;50 ft.</v>
      </c>
      <c r="D144" s="44">
        <f>T!D26</f>
        <v>0</v>
      </c>
      <c r="E144" s="49">
        <v>3</v>
      </c>
      <c r="F144" s="45">
        <f t="shared" si="6"/>
        <v>0</v>
      </c>
      <c r="G144" s="793"/>
      <c r="H144" s="1521"/>
    </row>
    <row r="145" spans="1:8" ht="16.2" customHeight="1" x14ac:dyDescent="0.25">
      <c r="A145" s="1923"/>
      <c r="B145" s="1521"/>
      <c r="C145" s="95" t="str">
        <f>T!C27</f>
        <v>50 to &lt;100 ft.</v>
      </c>
      <c r="D145" s="44">
        <f>T!D27</f>
        <v>0</v>
      </c>
      <c r="E145" s="49">
        <v>4</v>
      </c>
      <c r="F145" s="45">
        <f t="shared" si="6"/>
        <v>0</v>
      </c>
      <c r="G145" s="793"/>
      <c r="H145" s="1521"/>
    </row>
    <row r="146" spans="1:8" ht="16.2" customHeight="1" x14ac:dyDescent="0.25">
      <c r="A146" s="1923"/>
      <c r="B146" s="1521"/>
      <c r="C146" s="95" t="str">
        <f>T!C28</f>
        <v>100 to 300 ft.</v>
      </c>
      <c r="D146" s="44">
        <f>T!D28</f>
        <v>0</v>
      </c>
      <c r="E146" s="49">
        <v>5</v>
      </c>
      <c r="F146" s="45">
        <f t="shared" si="6"/>
        <v>0</v>
      </c>
      <c r="G146" s="793"/>
      <c r="H146" s="1521"/>
    </row>
    <row r="147" spans="1:8" ht="16.2" customHeight="1" thickBot="1" x14ac:dyDescent="0.3">
      <c r="A147" s="1924"/>
      <c r="B147" s="1521"/>
      <c r="C147" s="95" t="str">
        <f>T!C29</f>
        <v>&gt; 300 ft.</v>
      </c>
      <c r="D147" s="198">
        <f>T!D29</f>
        <v>0</v>
      </c>
      <c r="E147" s="67">
        <v>6</v>
      </c>
      <c r="F147" s="54">
        <f t="shared" si="6"/>
        <v>0</v>
      </c>
      <c r="G147" s="800"/>
      <c r="H147" s="1521"/>
    </row>
    <row r="148" spans="1:8" ht="30" customHeight="1" thickBot="1" x14ac:dyDescent="0.3">
      <c r="A148" s="1922" t="str">
        <f>T!A30</f>
        <v>T5</v>
      </c>
      <c r="B148" s="1522" t="str">
        <f>T!B30</f>
        <v>Width of Vegetated Zone at Daily Low Tide (WidthLoT)</v>
      </c>
      <c r="C148" s="75" t="str">
        <f>T!C30</f>
        <v>At average daily LOW tide condition, the width of the vegetated wetland that separates adjoining uplands (if any) from subtidal water within or adjoining the AA, is predominantly:</v>
      </c>
      <c r="D148" s="549"/>
      <c r="E148" s="210"/>
      <c r="F148" s="192"/>
      <c r="G148" s="857">
        <f>MAX(F149:F154)/MAX(E149:E154)</f>
        <v>0</v>
      </c>
      <c r="H148" s="1522" t="s">
        <v>418</v>
      </c>
    </row>
    <row r="149" spans="1:8" ht="16.2" customHeight="1" x14ac:dyDescent="0.25">
      <c r="A149" s="1923"/>
      <c r="B149" s="1521"/>
      <c r="C149" s="2" t="str">
        <f>T!C31</f>
        <v>&lt;5 ft, or no vegetation between upland and subtidal water.</v>
      </c>
      <c r="D149" s="44">
        <f>T!D31</f>
        <v>0</v>
      </c>
      <c r="E149" s="49">
        <v>0</v>
      </c>
      <c r="F149" s="45">
        <f t="shared" ref="F149:F206" si="7">D149*E149</f>
        <v>0</v>
      </c>
      <c r="G149" s="792"/>
      <c r="H149" s="1521"/>
    </row>
    <row r="150" spans="1:8" ht="16.2" customHeight="1" x14ac:dyDescent="0.25">
      <c r="A150" s="1923"/>
      <c r="B150" s="1521"/>
      <c r="C150" s="95" t="str">
        <f>T!C32</f>
        <v>5 to &lt;30 ft.</v>
      </c>
      <c r="D150" s="44">
        <f>T!D32</f>
        <v>0</v>
      </c>
      <c r="E150" s="49">
        <v>2</v>
      </c>
      <c r="F150" s="45">
        <f t="shared" si="7"/>
        <v>0</v>
      </c>
      <c r="G150" s="793"/>
      <c r="H150" s="1521"/>
    </row>
    <row r="151" spans="1:8" ht="16.2" customHeight="1" x14ac:dyDescent="0.25">
      <c r="A151" s="1923"/>
      <c r="B151" s="1521"/>
      <c r="C151" s="95" t="str">
        <f>T!C33</f>
        <v>30 to &lt;50 ft.</v>
      </c>
      <c r="D151" s="44">
        <f>T!D33</f>
        <v>0</v>
      </c>
      <c r="E151" s="49">
        <v>3</v>
      </c>
      <c r="F151" s="45">
        <f t="shared" si="7"/>
        <v>0</v>
      </c>
      <c r="G151" s="793"/>
      <c r="H151" s="1521"/>
    </row>
    <row r="152" spans="1:8" ht="16.2" customHeight="1" x14ac:dyDescent="0.25">
      <c r="A152" s="1923"/>
      <c r="B152" s="1521"/>
      <c r="C152" s="95" t="str">
        <f>T!C34</f>
        <v>50 to &lt;100 ft.</v>
      </c>
      <c r="D152" s="44">
        <f>T!D34</f>
        <v>0</v>
      </c>
      <c r="E152" s="49">
        <v>4</v>
      </c>
      <c r="F152" s="45">
        <f t="shared" si="7"/>
        <v>0</v>
      </c>
      <c r="G152" s="793"/>
      <c r="H152" s="1521"/>
    </row>
    <row r="153" spans="1:8" ht="16.2" customHeight="1" x14ac:dyDescent="0.25">
      <c r="A153" s="1923"/>
      <c r="B153" s="1521"/>
      <c r="C153" s="95" t="str">
        <f>T!C35</f>
        <v>100 to 300 ft.</v>
      </c>
      <c r="D153" s="44">
        <f>T!D35</f>
        <v>0</v>
      </c>
      <c r="E153" s="49">
        <v>5</v>
      </c>
      <c r="F153" s="45">
        <f t="shared" si="7"/>
        <v>0</v>
      </c>
      <c r="G153" s="793"/>
      <c r="H153" s="1521"/>
    </row>
    <row r="154" spans="1:8" ht="16.2" customHeight="1" thickBot="1" x14ac:dyDescent="0.3">
      <c r="A154" s="1924"/>
      <c r="B154" s="1523"/>
      <c r="C154" s="254" t="str">
        <f>T!C36</f>
        <v>&gt; 300 ft.</v>
      </c>
      <c r="D154" s="17">
        <f>T!D36</f>
        <v>0</v>
      </c>
      <c r="E154" s="245">
        <v>6</v>
      </c>
      <c r="F154" s="193">
        <f t="shared" si="7"/>
        <v>0</v>
      </c>
      <c r="G154" s="794"/>
      <c r="H154" s="1523"/>
    </row>
    <row r="155" spans="1:8" ht="30" customHeight="1" thickBot="1" x14ac:dyDescent="0.3">
      <c r="A155" s="1922" t="str">
        <f>T!A42</f>
        <v>T7</v>
      </c>
      <c r="B155" s="1521" t="str">
        <f>T!B42</f>
        <v>Outflow Duration (OutDuraT)</v>
      </c>
      <c r="C155" s="244" t="str">
        <f>T!C42</f>
        <v>The most durable surface water connection (outlet channel, ditch, tidegate, pipe, overbank water exchange) between the AA and marine waters, which allows fish passage, is:</v>
      </c>
      <c r="D155" s="549"/>
      <c r="E155" s="65"/>
      <c r="F155" s="46"/>
      <c r="G155" s="857">
        <f>MAX(F156:F159)/MAX(E156:E159)</f>
        <v>0</v>
      </c>
      <c r="H155" s="1521" t="s">
        <v>419</v>
      </c>
    </row>
    <row r="156" spans="1:8" ht="16.2" customHeight="1" x14ac:dyDescent="0.25">
      <c r="A156" s="1923"/>
      <c r="B156" s="1521"/>
      <c r="C156" s="2" t="str">
        <f>T!C43</f>
        <v>Regular (nearly all of the daily high tides, &gt;9 months/year).</v>
      </c>
      <c r="D156" s="44">
        <f>T!D43</f>
        <v>0</v>
      </c>
      <c r="E156" s="49">
        <v>6</v>
      </c>
      <c r="F156" s="45">
        <f t="shared" si="7"/>
        <v>0</v>
      </c>
      <c r="G156" s="792"/>
      <c r="H156" s="1521"/>
    </row>
    <row r="157" spans="1:8" ht="16.2" customHeight="1" x14ac:dyDescent="0.25">
      <c r="A157" s="1923"/>
      <c r="B157" s="1521"/>
      <c r="C157" s="95" t="str">
        <f>T!C44</f>
        <v>Seasonal (14 days to 9 months/year, not necessarily consecutive, at least monthly).</v>
      </c>
      <c r="D157" s="44">
        <f>T!D44</f>
        <v>0</v>
      </c>
      <c r="E157" s="49">
        <v>3</v>
      </c>
      <c r="F157" s="45">
        <f t="shared" si="7"/>
        <v>0</v>
      </c>
      <c r="G157" s="793"/>
      <c r="H157" s="1521"/>
    </row>
    <row r="158" spans="1:8" ht="27" customHeight="1" x14ac:dyDescent="0.25">
      <c r="A158" s="1923"/>
      <c r="B158" s="1521"/>
      <c r="C158" s="95" t="str">
        <f>T!C45</f>
        <v>Temporary (mainly during "king tide", "spring tide", or peak discharge flow in an associated river; &lt;14 days per year, not necessarily consecutive).</v>
      </c>
      <c r="D158" s="44">
        <f>T!D45</f>
        <v>0</v>
      </c>
      <c r="E158" s="49">
        <v>2</v>
      </c>
      <c r="F158" s="45">
        <f t="shared" si="7"/>
        <v>0</v>
      </c>
      <c r="G158" s="793"/>
      <c r="H158" s="1521"/>
    </row>
    <row r="159" spans="1:8" ht="16.2" customHeight="1" thickBot="1" x14ac:dyDescent="0.3">
      <c r="A159" s="1924"/>
      <c r="B159" s="1521"/>
      <c r="C159" s="95" t="str">
        <f>T!C46</f>
        <v>No tidal connection allows fish passage between marine waters and the AA.</v>
      </c>
      <c r="D159" s="198">
        <f>T!D46</f>
        <v>0</v>
      </c>
      <c r="E159" s="67">
        <v>0</v>
      </c>
      <c r="F159" s="54">
        <f t="shared" si="7"/>
        <v>0</v>
      </c>
      <c r="G159" s="800"/>
      <c r="H159" s="1521"/>
    </row>
    <row r="160" spans="1:8" ht="30" customHeight="1" thickBot="1" x14ac:dyDescent="0.3">
      <c r="A160" s="1922" t="str">
        <f>T!A51</f>
        <v>T9</v>
      </c>
      <c r="B160" s="1522" t="str">
        <f>T!B51</f>
        <v>Blind Channels - total length and branching (BlindChT)</v>
      </c>
      <c r="C160" s="75" t="str">
        <f>T!C51</f>
        <v>Within the intertidal part of the AA, the approximate density of tidal channels that remain wetted during low tide on most days of the year (i.e., MLLW) is:</v>
      </c>
      <c r="D160" s="549"/>
      <c r="E160" s="210"/>
      <c r="F160" s="192"/>
      <c r="G160" s="857">
        <f>MAX(F161:F165)/MAX(E161:E165)</f>
        <v>0</v>
      </c>
      <c r="H160" s="1522" t="s">
        <v>890</v>
      </c>
    </row>
    <row r="161" spans="1:8" ht="16.2" customHeight="1" x14ac:dyDescent="0.25">
      <c r="A161" s="1923"/>
      <c r="B161" s="1521"/>
      <c r="C161" s="215" t="str">
        <f>T!C52</f>
        <v>&lt;100 linear ft per acre, or none, or all have been artificially straightened.</v>
      </c>
      <c r="D161" s="44">
        <f>T!D52</f>
        <v>0</v>
      </c>
      <c r="E161" s="49">
        <v>1</v>
      </c>
      <c r="F161" s="45">
        <f t="shared" si="7"/>
        <v>0</v>
      </c>
      <c r="G161" s="792"/>
      <c r="H161" s="1521"/>
    </row>
    <row r="162" spans="1:8" ht="16.2" customHeight="1" x14ac:dyDescent="0.25">
      <c r="A162" s="1923"/>
      <c r="B162" s="1521"/>
      <c r="C162" s="216" t="str">
        <f>T!C53</f>
        <v>100-1000 linear ft per acre, and most tidal channels are unbranched.</v>
      </c>
      <c r="D162" s="44">
        <f>T!D53</f>
        <v>0</v>
      </c>
      <c r="E162" s="49">
        <v>2</v>
      </c>
      <c r="F162" s="45">
        <f t="shared" si="7"/>
        <v>0</v>
      </c>
      <c r="G162" s="793"/>
      <c r="H162" s="1521"/>
    </row>
    <row r="163" spans="1:8" ht="16.2" customHeight="1" x14ac:dyDescent="0.25">
      <c r="A163" s="1923"/>
      <c r="B163" s="1521"/>
      <c r="C163" s="216" t="str">
        <f>T!C54</f>
        <v>100-1000 linear ft per acre, and most tidal channels are branched.</v>
      </c>
      <c r="D163" s="44">
        <f>T!D54</f>
        <v>0</v>
      </c>
      <c r="E163" s="49">
        <v>3</v>
      </c>
      <c r="F163" s="45">
        <f t="shared" si="7"/>
        <v>0</v>
      </c>
      <c r="G163" s="793"/>
      <c r="H163" s="1521"/>
    </row>
    <row r="164" spans="1:8" ht="16.2" customHeight="1" x14ac:dyDescent="0.25">
      <c r="A164" s="1923"/>
      <c r="B164" s="1521"/>
      <c r="C164" s="216" t="str">
        <f>T!C55</f>
        <v>&gt;1000 linear ft per acre and most tidal channels are unbranched.</v>
      </c>
      <c r="D164" s="44">
        <f>T!D55</f>
        <v>0</v>
      </c>
      <c r="E164" s="49">
        <v>4</v>
      </c>
      <c r="F164" s="45">
        <f t="shared" si="7"/>
        <v>0</v>
      </c>
      <c r="G164" s="793"/>
      <c r="H164" s="1521"/>
    </row>
    <row r="165" spans="1:8" ht="16.2" customHeight="1" thickBot="1" x14ac:dyDescent="0.3">
      <c r="A165" s="1924"/>
      <c r="B165" s="1523"/>
      <c r="C165" s="254" t="str">
        <f>T!C56</f>
        <v>&gt;1000 linear ft per acre and most tidal channels are branched.</v>
      </c>
      <c r="D165" s="17">
        <f>T!D56</f>
        <v>0</v>
      </c>
      <c r="E165" s="245">
        <v>5</v>
      </c>
      <c r="F165" s="193">
        <f t="shared" si="7"/>
        <v>0</v>
      </c>
      <c r="G165" s="794"/>
      <c r="H165" s="1523"/>
    </row>
    <row r="166" spans="1:8" ht="21" customHeight="1" thickBot="1" x14ac:dyDescent="0.3">
      <c r="A166" s="1922" t="str">
        <f>T!A57</f>
        <v>T10</v>
      </c>
      <c r="B166" s="1521" t="str">
        <f>T!B57</f>
        <v>Tidal-Nontidal Hydro- connectivity (TnonT)</v>
      </c>
      <c r="C166" s="244" t="str">
        <f>T!C57</f>
        <v>This tidal wetland is : Select first one that applies.</v>
      </c>
      <c r="D166" s="549"/>
      <c r="E166" s="65"/>
      <c r="F166" s="46"/>
      <c r="G166" s="857">
        <f>MAX(F167:F172)/MAX(E167:E172)</f>
        <v>0</v>
      </c>
      <c r="H166" s="1521" t="s">
        <v>848</v>
      </c>
    </row>
    <row r="167" spans="1:8" ht="40.5" customHeight="1" x14ac:dyDescent="0.25">
      <c r="A167" s="1923"/>
      <c r="B167" s="1521"/>
      <c r="C167" s="215" t="str">
        <f>T!C58</f>
        <v xml:space="preserve">Adjacent to a nontidal palustrine wetland that contains surface water at least seasonally. Anadromous fish can access both wetlands during spring. Mostly not separated by a dike or other barrier.  </v>
      </c>
      <c r="D167" s="44">
        <f>T!D58</f>
        <v>0</v>
      </c>
      <c r="E167" s="49">
        <v>6</v>
      </c>
      <c r="F167" s="45">
        <f t="shared" si="7"/>
        <v>0</v>
      </c>
      <c r="G167" s="792"/>
      <c r="H167" s="1521"/>
    </row>
    <row r="168" spans="1:8" ht="39.75" customHeight="1" x14ac:dyDescent="0.25">
      <c r="A168" s="1923"/>
      <c r="B168" s="1521"/>
      <c r="C168" s="216" t="str">
        <f>T!C59</f>
        <v>Adjacent to a nontidal palustrine wetland that contains surface water at least seasonally. Anadromous fish can access both wetlands during spring.  Mostly separated by a dike, road, or other partial barrier.</v>
      </c>
      <c r="D168" s="44">
        <f>T!D59</f>
        <v>0</v>
      </c>
      <c r="E168" s="49">
        <v>5</v>
      </c>
      <c r="F168" s="45">
        <f t="shared" si="7"/>
        <v>0</v>
      </c>
      <c r="G168" s="793"/>
      <c r="H168" s="1521"/>
    </row>
    <row r="169" spans="1:8" ht="27" customHeight="1" x14ac:dyDescent="0.25">
      <c r="A169" s="1923"/>
      <c r="B169" s="1521"/>
      <c r="C169" s="216" t="str">
        <f>T!C60</f>
        <v xml:space="preserve">Adjacent to a nontidal palustrine wetland that contains surface water at least seasonally. Anadromous fish cannot access both wetlands during spring.  </v>
      </c>
      <c r="D169" s="44">
        <f>T!D60</f>
        <v>0</v>
      </c>
      <c r="E169" s="49">
        <v>4</v>
      </c>
      <c r="F169" s="45">
        <f t="shared" si="7"/>
        <v>0</v>
      </c>
      <c r="G169" s="793"/>
      <c r="H169" s="1521"/>
    </row>
    <row r="170" spans="1:8" ht="30.75" customHeight="1" x14ac:dyDescent="0.25">
      <c r="A170" s="1923"/>
      <c r="B170" s="1521"/>
      <c r="C170" s="216" t="str">
        <f>T!C61</f>
        <v>Not adjacent to a nontidal palustrine wetland that contains surface water.  Has a freshwater tributary that allows fish passage during the springtime to a nontidal wetland &lt; 1 mile upstream.</v>
      </c>
      <c r="D170" s="44">
        <f>T!D61</f>
        <v>0</v>
      </c>
      <c r="E170" s="49">
        <v>3</v>
      </c>
      <c r="F170" s="45">
        <f t="shared" si="7"/>
        <v>0</v>
      </c>
      <c r="G170" s="793"/>
      <c r="H170" s="1521"/>
    </row>
    <row r="171" spans="1:8" ht="27" customHeight="1" x14ac:dyDescent="0.25">
      <c r="A171" s="1923"/>
      <c r="B171" s="1521"/>
      <c r="C171" s="216" t="str">
        <f>T!C62</f>
        <v>Not adjacent to a nontidal palustrine wetland that contains surface water.  Has a freshwater tributary that allows fish passage during the springtime to a nontidal wetland &gt; 1 mile upstream.</v>
      </c>
      <c r="D171" s="44">
        <f>T!D62</f>
        <v>0</v>
      </c>
      <c r="E171" s="49">
        <v>2</v>
      </c>
      <c r="F171" s="45">
        <f t="shared" si="7"/>
        <v>0</v>
      </c>
      <c r="G171" s="793"/>
      <c r="H171" s="1521"/>
    </row>
    <row r="172" spans="1:8" ht="42" customHeight="1" thickBot="1" x14ac:dyDescent="0.3">
      <c r="A172" s="1924"/>
      <c r="B172" s="1521"/>
      <c r="C172" s="95" t="str">
        <f>T!C63</f>
        <v>Not adjacent to a nontidal palustrine wetland that contains surface water.  Lacks a freshwater tributary that provides fish access to an upstream wetland  that contains surface water at least seasonally.</v>
      </c>
      <c r="D172" s="198">
        <f>T!D63</f>
        <v>0</v>
      </c>
      <c r="E172" s="67">
        <v>1</v>
      </c>
      <c r="F172" s="54">
        <f t="shared" si="7"/>
        <v>0</v>
      </c>
      <c r="G172" s="800"/>
      <c r="H172" s="1521"/>
    </row>
    <row r="173" spans="1:8" ht="30" customHeight="1" thickBot="1" x14ac:dyDescent="0.3">
      <c r="A173" s="1922" t="str">
        <f>T!A84</f>
        <v>T15</v>
      </c>
      <c r="B173" s="1522" t="str">
        <f>T!B84</f>
        <v>Overhanging Vegetation at High Tide (ShadeHiT)</v>
      </c>
      <c r="C173" s="4" t="str">
        <f>T!C84</f>
        <v>At average daily high tide, the percentage of the AA's water surface that is overhung by vegetation within the AA is:</v>
      </c>
      <c r="D173" s="65"/>
      <c r="E173" s="210"/>
      <c r="F173" s="192"/>
      <c r="G173" s="857">
        <f>MAX(F174:F178)/MAX(E174:E178)</f>
        <v>0</v>
      </c>
      <c r="H173" s="1522" t="s">
        <v>870</v>
      </c>
    </row>
    <row r="174" spans="1:8" ht="16.2" customHeight="1" x14ac:dyDescent="0.25">
      <c r="A174" s="1923"/>
      <c r="B174" s="1521"/>
      <c r="C174" s="215" t="str">
        <f>T!C85</f>
        <v>&lt;5%, or no water is present in the AA at average daily high tide.</v>
      </c>
      <c r="D174" s="44">
        <f>T!D85</f>
        <v>0</v>
      </c>
      <c r="E174" s="49">
        <v>1</v>
      </c>
      <c r="F174" s="45">
        <f t="shared" si="7"/>
        <v>0</v>
      </c>
      <c r="G174" s="792"/>
      <c r="H174" s="1521"/>
    </row>
    <row r="175" spans="1:8" ht="16.2" customHeight="1" x14ac:dyDescent="0.25">
      <c r="A175" s="1923"/>
      <c r="B175" s="1521"/>
      <c r="C175" s="216" t="str">
        <f>T!C86</f>
        <v>5 to &lt;25%.</v>
      </c>
      <c r="D175" s="44">
        <f>T!D86</f>
        <v>0</v>
      </c>
      <c r="E175" s="49">
        <v>2</v>
      </c>
      <c r="F175" s="45">
        <f t="shared" si="7"/>
        <v>0</v>
      </c>
      <c r="G175" s="793"/>
      <c r="H175" s="1521"/>
    </row>
    <row r="176" spans="1:8" ht="16.2" customHeight="1" x14ac:dyDescent="0.25">
      <c r="A176" s="1923"/>
      <c r="B176" s="1521"/>
      <c r="C176" s="216" t="str">
        <f>T!C87</f>
        <v>25 to &lt;50%.</v>
      </c>
      <c r="D176" s="44">
        <f>T!D87</f>
        <v>0</v>
      </c>
      <c r="E176" s="49">
        <v>3</v>
      </c>
      <c r="F176" s="45">
        <f t="shared" si="7"/>
        <v>0</v>
      </c>
      <c r="G176" s="793"/>
      <c r="H176" s="1521"/>
    </row>
    <row r="177" spans="1:8" ht="16.2" customHeight="1" x14ac:dyDescent="0.25">
      <c r="A177" s="1923"/>
      <c r="B177" s="1521"/>
      <c r="C177" s="216" t="str">
        <f>T!C88</f>
        <v>50 to 95%.</v>
      </c>
      <c r="D177" s="44">
        <f>T!D88</f>
        <v>0</v>
      </c>
      <c r="E177" s="49">
        <v>4</v>
      </c>
      <c r="F177" s="45">
        <f t="shared" si="7"/>
        <v>0</v>
      </c>
      <c r="G177" s="793"/>
      <c r="H177" s="1521"/>
    </row>
    <row r="178" spans="1:8" ht="16.2" customHeight="1" thickBot="1" x14ac:dyDescent="0.3">
      <c r="A178" s="1923"/>
      <c r="B178" s="1521"/>
      <c r="C178" s="95" t="str">
        <f>T!C89</f>
        <v>&gt;95%.</v>
      </c>
      <c r="D178" s="198">
        <f>T!D89</f>
        <v>0</v>
      </c>
      <c r="E178" s="67">
        <v>5</v>
      </c>
      <c r="F178" s="54">
        <f t="shared" si="7"/>
        <v>0</v>
      </c>
      <c r="G178" s="800"/>
      <c r="H178" s="1521"/>
    </row>
    <row r="179" spans="1:8" ht="30" customHeight="1" thickBot="1" x14ac:dyDescent="0.3">
      <c r="A179" s="1922" t="str">
        <f>T!A90</f>
        <v>T16</v>
      </c>
      <c r="B179" s="1522" t="str">
        <f>T!B90</f>
        <v>Overhanging Vegetation at Low Tide (ShadeLoT)</v>
      </c>
      <c r="C179" s="4" t="str">
        <f>T!C90</f>
        <v>At average daily low tide, the percentage of the AA's water surface that is overhung by vegetation within the AA is:</v>
      </c>
      <c r="D179" s="65"/>
      <c r="E179" s="210"/>
      <c r="F179" s="192"/>
      <c r="G179" s="857">
        <f>MAX(F180:F184)/MAX(E180:E184)</f>
        <v>0</v>
      </c>
      <c r="H179" s="1522" t="s">
        <v>124</v>
      </c>
    </row>
    <row r="180" spans="1:8" ht="16.2" customHeight="1" x14ac:dyDescent="0.25">
      <c r="A180" s="1923"/>
      <c r="B180" s="1521"/>
      <c r="C180" s="215" t="str">
        <f>T!C91</f>
        <v>&lt;5%, or no water remains in the AA at low tide.</v>
      </c>
      <c r="D180" s="44">
        <f>T!D91</f>
        <v>0</v>
      </c>
      <c r="E180" s="49">
        <v>1</v>
      </c>
      <c r="F180" s="45">
        <f t="shared" si="7"/>
        <v>0</v>
      </c>
      <c r="G180" s="792"/>
      <c r="H180" s="1521"/>
    </row>
    <row r="181" spans="1:8" ht="16.2" customHeight="1" x14ac:dyDescent="0.25">
      <c r="A181" s="1923"/>
      <c r="B181" s="1521"/>
      <c r="C181" s="216" t="str">
        <f>T!C92</f>
        <v>5 to &lt;25%.</v>
      </c>
      <c r="D181" s="44">
        <f>T!D92</f>
        <v>0</v>
      </c>
      <c r="E181" s="49">
        <v>2</v>
      </c>
      <c r="F181" s="45">
        <f t="shared" si="7"/>
        <v>0</v>
      </c>
      <c r="G181" s="793"/>
      <c r="H181" s="1521"/>
    </row>
    <row r="182" spans="1:8" ht="16.2" customHeight="1" x14ac:dyDescent="0.25">
      <c r="A182" s="1923"/>
      <c r="B182" s="1521"/>
      <c r="C182" s="216" t="str">
        <f>T!C93</f>
        <v>25 to &lt;50%.</v>
      </c>
      <c r="D182" s="44">
        <f>T!D93</f>
        <v>0</v>
      </c>
      <c r="E182" s="49">
        <v>3</v>
      </c>
      <c r="F182" s="45">
        <f t="shared" si="7"/>
        <v>0</v>
      </c>
      <c r="G182" s="793"/>
      <c r="H182" s="1521"/>
    </row>
    <row r="183" spans="1:8" ht="16.2" customHeight="1" x14ac:dyDescent="0.25">
      <c r="A183" s="1923"/>
      <c r="B183" s="1521"/>
      <c r="C183" s="216" t="str">
        <f>T!C94</f>
        <v>50 to 95%.</v>
      </c>
      <c r="D183" s="44">
        <f>T!D94</f>
        <v>0</v>
      </c>
      <c r="E183" s="49">
        <v>4</v>
      </c>
      <c r="F183" s="45">
        <f t="shared" si="7"/>
        <v>0</v>
      </c>
      <c r="G183" s="793"/>
      <c r="H183" s="1521"/>
    </row>
    <row r="184" spans="1:8" ht="16.2" customHeight="1" thickBot="1" x14ac:dyDescent="0.3">
      <c r="A184" s="1924"/>
      <c r="B184" s="1523"/>
      <c r="C184" s="254" t="str">
        <f>T!C95</f>
        <v>&gt;95%.</v>
      </c>
      <c r="D184" s="17">
        <f>T!D95</f>
        <v>0</v>
      </c>
      <c r="E184" s="245">
        <v>5</v>
      </c>
      <c r="F184" s="193">
        <f t="shared" si="7"/>
        <v>0</v>
      </c>
      <c r="G184" s="794"/>
      <c r="H184" s="1523"/>
    </row>
    <row r="185" spans="1:8" ht="60" customHeight="1" thickBot="1" x14ac:dyDescent="0.3">
      <c r="A185" s="1922" t="str">
        <f>T!A144</f>
        <v>T26</v>
      </c>
      <c r="B185" s="1522" t="str">
        <f>T!B144</f>
        <v>Large Woody Debris (LwdT)</v>
      </c>
      <c r="C185" s="75" t="str">
        <f>T!C144</f>
        <v>Within the part of the AA and its internal channels that remain underwater during daily low tide, the extent of fish cover provided at that time by partly submerged vegetation, inchannel pools,  incised banks, and pieces of wood (thicker than 6 inches and longer than 4 feet, or smaller pieces in dense accumulations) is:</v>
      </c>
      <c r="D185" s="549"/>
      <c r="E185" s="210"/>
      <c r="F185" s="192"/>
      <c r="G185" s="857">
        <f>MAX(F186:F188)/MAX(E186:E188)</f>
        <v>0</v>
      </c>
      <c r="H185" s="1522" t="s">
        <v>420</v>
      </c>
    </row>
    <row r="186" spans="1:8" ht="16.2" customHeight="1" x14ac:dyDescent="0.25">
      <c r="A186" s="1923"/>
      <c r="B186" s="1521"/>
      <c r="C186" s="215" t="str">
        <f>T!C145</f>
        <v>None or few.</v>
      </c>
      <c r="D186" s="44">
        <f>T!D145</f>
        <v>0</v>
      </c>
      <c r="E186" s="49">
        <v>1</v>
      </c>
      <c r="F186" s="45">
        <f t="shared" si="7"/>
        <v>0</v>
      </c>
      <c r="G186" s="792"/>
      <c r="H186" s="1521"/>
    </row>
    <row r="187" spans="1:8" ht="16.2" customHeight="1" x14ac:dyDescent="0.25">
      <c r="A187" s="1923"/>
      <c r="B187" s="1521"/>
      <c r="C187" s="216" t="str">
        <f>T!C146</f>
        <v>Intermediate.</v>
      </c>
      <c r="D187" s="44">
        <f>T!D146</f>
        <v>0</v>
      </c>
      <c r="E187" s="49">
        <v>2</v>
      </c>
      <c r="F187" s="45">
        <f t="shared" si="7"/>
        <v>0</v>
      </c>
      <c r="G187" s="793"/>
      <c r="H187" s="1521"/>
    </row>
    <row r="188" spans="1:8" ht="16.2" customHeight="1" thickBot="1" x14ac:dyDescent="0.3">
      <c r="A188" s="1924"/>
      <c r="B188" s="1523"/>
      <c r="C188" s="254" t="str">
        <f>T!C147</f>
        <v>Many (&gt;1 piece per 5 acres or per 10 channel widths).</v>
      </c>
      <c r="D188" s="198">
        <f>T!D147</f>
        <v>0</v>
      </c>
      <c r="E188" s="245">
        <v>3</v>
      </c>
      <c r="F188" s="193">
        <f t="shared" si="7"/>
        <v>0</v>
      </c>
      <c r="G188" s="794"/>
      <c r="H188" s="1523"/>
    </row>
    <row r="189" spans="1:8" ht="30" customHeight="1" thickBot="1" x14ac:dyDescent="0.3">
      <c r="A189" s="1922" t="str">
        <f>T!A149</f>
        <v>T27</v>
      </c>
      <c r="B189" s="1521" t="str">
        <f>T!B149</f>
        <v>Upland Perennial Cover - % of AA's Edge (PerimPctPerT)</v>
      </c>
      <c r="C189" s="4" t="str">
        <f>T!C149</f>
        <v xml:space="preserve">The percentage of the AA's edge (perimeter) that is comprised of a band of upland perennial cover wider than 10 ft and taller than 6 inches during most of the growing season is:  </v>
      </c>
      <c r="D189" s="65"/>
      <c r="E189" s="65"/>
      <c r="F189" s="46"/>
      <c r="G189" s="857">
        <f>MAX(F190:F195)/MAX(E190:E195)</f>
        <v>0</v>
      </c>
      <c r="H189" s="1947" t="s">
        <v>421</v>
      </c>
    </row>
    <row r="190" spans="1:8" ht="16.2" customHeight="1" x14ac:dyDescent="0.25">
      <c r="A190" s="1923"/>
      <c r="B190" s="1521"/>
      <c r="C190" s="215" t="str">
        <f>T!C150</f>
        <v>&lt;5%.</v>
      </c>
      <c r="D190" s="44">
        <f>T!D150</f>
        <v>0</v>
      </c>
      <c r="E190" s="49">
        <v>1</v>
      </c>
      <c r="F190" s="45">
        <f t="shared" si="7"/>
        <v>0</v>
      </c>
      <c r="G190" s="792"/>
      <c r="H190" s="1947"/>
    </row>
    <row r="191" spans="1:8" ht="16.2" customHeight="1" x14ac:dyDescent="0.25">
      <c r="A191" s="1923"/>
      <c r="B191" s="1521"/>
      <c r="C191" s="216" t="str">
        <f>T!C151</f>
        <v>5 to &lt;25%.</v>
      </c>
      <c r="D191" s="44">
        <f>T!D151</f>
        <v>0</v>
      </c>
      <c r="E191" s="49">
        <v>2</v>
      </c>
      <c r="F191" s="45">
        <f t="shared" si="7"/>
        <v>0</v>
      </c>
      <c r="G191" s="793"/>
      <c r="H191" s="1947"/>
    </row>
    <row r="192" spans="1:8" ht="16.2" customHeight="1" x14ac:dyDescent="0.25">
      <c r="A192" s="1923"/>
      <c r="B192" s="1521"/>
      <c r="C192" s="216" t="str">
        <f>T!C152</f>
        <v>25 to &lt;50%.</v>
      </c>
      <c r="D192" s="44">
        <f>T!D152</f>
        <v>0</v>
      </c>
      <c r="E192" s="49">
        <v>3</v>
      </c>
      <c r="F192" s="45">
        <f t="shared" si="7"/>
        <v>0</v>
      </c>
      <c r="G192" s="793"/>
      <c r="H192" s="1947"/>
    </row>
    <row r="193" spans="1:8" ht="16.2" customHeight="1" x14ac:dyDescent="0.25">
      <c r="A193" s="1923"/>
      <c r="B193" s="1521"/>
      <c r="C193" s="216" t="str">
        <f>T!C153</f>
        <v>50 to &lt;75%.</v>
      </c>
      <c r="D193" s="44">
        <f>T!D153</f>
        <v>0</v>
      </c>
      <c r="E193" s="49">
        <v>4</v>
      </c>
      <c r="F193" s="45">
        <f t="shared" si="7"/>
        <v>0</v>
      </c>
      <c r="G193" s="793"/>
      <c r="H193" s="1947"/>
    </row>
    <row r="194" spans="1:8" ht="16.2" customHeight="1" x14ac:dyDescent="0.25">
      <c r="A194" s="1923"/>
      <c r="B194" s="1521"/>
      <c r="C194" s="216" t="str">
        <f>T!C154</f>
        <v>75 to 95%.</v>
      </c>
      <c r="D194" s="44">
        <f>T!D154</f>
        <v>0</v>
      </c>
      <c r="E194" s="49">
        <v>5</v>
      </c>
      <c r="F194" s="45">
        <f t="shared" si="7"/>
        <v>0</v>
      </c>
      <c r="G194" s="793"/>
      <c r="H194" s="1947"/>
    </row>
    <row r="195" spans="1:8" ht="16.2" customHeight="1" thickBot="1" x14ac:dyDescent="0.3">
      <c r="A195" s="1924"/>
      <c r="B195" s="1521"/>
      <c r="C195" s="95" t="str">
        <f>T!C155</f>
        <v>&gt;95%.</v>
      </c>
      <c r="D195" s="198">
        <f>T!D155</f>
        <v>0</v>
      </c>
      <c r="E195" s="67">
        <v>4</v>
      </c>
      <c r="F195" s="54">
        <f t="shared" si="7"/>
        <v>0</v>
      </c>
      <c r="G195" s="800"/>
      <c r="H195" s="1947"/>
    </row>
    <row r="196" spans="1:8" ht="45" customHeight="1" thickBot="1" x14ac:dyDescent="0.3">
      <c r="A196" s="1922" t="str">
        <f>T!A156</f>
        <v>T28</v>
      </c>
      <c r="B196" s="1522" t="str">
        <f>T!B156</f>
        <v>Upland Perennial Cover - Width (Buffer)  (BuffWidthT)</v>
      </c>
      <c r="C196" s="75" t="str">
        <f>T!C156</f>
        <v>Along the greatest portion of the AA's upland edge, the width (not necessarily the maximum width) of perennial cover taller than 6 inches during most of the growing season and extending upslope from the AA until mostly shorter or non-perennial cover is reached is:</v>
      </c>
      <c r="D196" s="549"/>
      <c r="E196" s="210"/>
      <c r="F196" s="192"/>
      <c r="G196" s="857">
        <f>MAX(F197:F202)/MAX(E197:E202)</f>
        <v>0</v>
      </c>
      <c r="H196" s="1522" t="s">
        <v>124</v>
      </c>
    </row>
    <row r="197" spans="1:8" ht="16.2" customHeight="1" x14ac:dyDescent="0.25">
      <c r="A197" s="1923"/>
      <c r="B197" s="1521"/>
      <c r="C197" s="215" t="str">
        <f>T!C157</f>
        <v xml:space="preserve">&lt; 5 ft, or none.  </v>
      </c>
      <c r="D197" s="44">
        <f>T!D157</f>
        <v>0</v>
      </c>
      <c r="E197" s="49">
        <v>1</v>
      </c>
      <c r="F197" s="45">
        <f t="shared" si="7"/>
        <v>0</v>
      </c>
      <c r="G197" s="792"/>
      <c r="H197" s="1521"/>
    </row>
    <row r="198" spans="1:8" ht="16.2" customHeight="1" x14ac:dyDescent="0.25">
      <c r="A198" s="1923"/>
      <c r="B198" s="1521"/>
      <c r="C198" s="216" t="str">
        <f>T!C158</f>
        <v>5 to &lt;30 ft.</v>
      </c>
      <c r="D198" s="44">
        <f>T!D158</f>
        <v>0</v>
      </c>
      <c r="E198" s="49">
        <v>2</v>
      </c>
      <c r="F198" s="45">
        <f t="shared" si="7"/>
        <v>0</v>
      </c>
      <c r="G198" s="793"/>
      <c r="H198" s="1521"/>
    </row>
    <row r="199" spans="1:8" ht="16.2" customHeight="1" x14ac:dyDescent="0.25">
      <c r="A199" s="1923"/>
      <c r="B199" s="1521"/>
      <c r="C199" s="216" t="str">
        <f>T!C159</f>
        <v>30 to &lt;50 ft.</v>
      </c>
      <c r="D199" s="44">
        <f>T!D159</f>
        <v>0</v>
      </c>
      <c r="E199" s="49">
        <v>3</v>
      </c>
      <c r="F199" s="45">
        <f t="shared" si="7"/>
        <v>0</v>
      </c>
      <c r="G199" s="793"/>
      <c r="H199" s="1521"/>
    </row>
    <row r="200" spans="1:8" ht="16.2" customHeight="1" x14ac:dyDescent="0.25">
      <c r="A200" s="1923"/>
      <c r="B200" s="1521"/>
      <c r="C200" s="216" t="str">
        <f>T!C160</f>
        <v>50 to &lt;100 ft.</v>
      </c>
      <c r="D200" s="44">
        <f>T!D160</f>
        <v>0</v>
      </c>
      <c r="E200" s="49">
        <v>4</v>
      </c>
      <c r="F200" s="45">
        <f t="shared" si="7"/>
        <v>0</v>
      </c>
      <c r="G200" s="793"/>
      <c r="H200" s="1521"/>
    </row>
    <row r="201" spans="1:8" ht="16.2" customHeight="1" x14ac:dyDescent="0.25">
      <c r="A201" s="1923"/>
      <c r="B201" s="1521"/>
      <c r="C201" s="216" t="str">
        <f>T!C161</f>
        <v>100 to 300 ft.             IF #T27 also was answered &gt;95%, enter 1 and SKIP to T30.</v>
      </c>
      <c r="D201" s="44">
        <f>T!D161</f>
        <v>0</v>
      </c>
      <c r="E201" s="49">
        <v>5</v>
      </c>
      <c r="F201" s="45">
        <f t="shared" si="7"/>
        <v>0</v>
      </c>
      <c r="G201" s="793"/>
      <c r="H201" s="1521"/>
    </row>
    <row r="202" spans="1:8" ht="16.2" customHeight="1" thickBot="1" x14ac:dyDescent="0.3">
      <c r="A202" s="1924"/>
      <c r="B202" s="1523"/>
      <c r="C202" s="254" t="str">
        <f>T!C162</f>
        <v>&gt; 300 ft.                    IF #T27 also was answered &gt;95%, enter 1 and SKIP to T30.</v>
      </c>
      <c r="D202" s="198">
        <f>T!D162</f>
        <v>0</v>
      </c>
      <c r="E202" s="245">
        <v>6</v>
      </c>
      <c r="F202" s="193">
        <f t="shared" si="7"/>
        <v>0</v>
      </c>
      <c r="G202" s="794"/>
      <c r="H202" s="1523"/>
    </row>
    <row r="203" spans="1:8" ht="33" customHeight="1" thickBot="1" x14ac:dyDescent="0.3">
      <c r="A203" s="1922" t="str">
        <f>T!A163</f>
        <v>T29</v>
      </c>
      <c r="B203" s="1521" t="str">
        <f>T!B163</f>
        <v>Type of Non-Perennial Cover in Buffer (ImpervBufft)</v>
      </c>
      <c r="C203" s="244" t="str">
        <f>T!C163</f>
        <v>Within 300 ft. upslope of the AA's upland edge, the area that is NOT perennial cover is mostly: Select only ONE</v>
      </c>
      <c r="D203" s="549"/>
      <c r="E203" s="65"/>
      <c r="F203" s="46"/>
      <c r="G203" s="857">
        <f>IF((D201+D202&gt;0),"", IF((D207=1),"", MAX(F204:F206)/MAX(E204:E206)))</f>
        <v>0</v>
      </c>
      <c r="H203" s="1521" t="s">
        <v>414</v>
      </c>
    </row>
    <row r="204" spans="1:8" ht="16.2" customHeight="1" x14ac:dyDescent="0.25">
      <c r="A204" s="1923"/>
      <c r="B204" s="1521"/>
      <c r="C204" s="215" t="str">
        <f>T!C164</f>
        <v>Impervious surface ( e.g., paved road, parking lot, building, exposed rock).</v>
      </c>
      <c r="D204" s="44">
        <f>T!D164</f>
        <v>0</v>
      </c>
      <c r="E204" s="49">
        <v>0</v>
      </c>
      <c r="F204" s="45">
        <f t="shared" si="7"/>
        <v>0</v>
      </c>
      <c r="G204" s="792"/>
      <c r="H204" s="1521"/>
    </row>
    <row r="205" spans="1:8" ht="16.2" customHeight="1" x14ac:dyDescent="0.25">
      <c r="A205" s="1923"/>
      <c r="B205" s="1521"/>
      <c r="C205" s="216" t="str">
        <f>T!C165</f>
        <v>Bare pervious surface (e.g., recent clearcut, landslide, unpaved road, dike, dunes).</v>
      </c>
      <c r="D205" s="44">
        <f>T!D165</f>
        <v>0</v>
      </c>
      <c r="E205" s="49">
        <v>1</v>
      </c>
      <c r="F205" s="45">
        <f t="shared" si="7"/>
        <v>0</v>
      </c>
      <c r="G205" s="793"/>
      <c r="H205" s="1521"/>
    </row>
    <row r="206" spans="1:8" ht="16.2" customHeight="1" x14ac:dyDescent="0.25">
      <c r="A206" s="1923"/>
      <c r="B206" s="1521"/>
      <c r="C206" s="216" t="str">
        <f>T!C166</f>
        <v>Artificially landscaped or heavily grazed areas, lawn, annual crops.</v>
      </c>
      <c r="D206" s="44">
        <f>T!D166</f>
        <v>0</v>
      </c>
      <c r="E206" s="49">
        <v>2</v>
      </c>
      <c r="F206" s="45">
        <f t="shared" si="7"/>
        <v>0</v>
      </c>
      <c r="G206" s="793"/>
      <c r="H206" s="1521"/>
    </row>
    <row r="207" spans="1:8" ht="16.2" customHeight="1" thickBot="1" x14ac:dyDescent="0.3">
      <c r="A207" s="1924"/>
      <c r="B207" s="1521"/>
      <c r="C207" s="95" t="str">
        <f>T!C167</f>
        <v>Other type of non-perennial cover.</v>
      </c>
      <c r="D207" s="17">
        <f>T!D167</f>
        <v>0</v>
      </c>
      <c r="E207" s="67"/>
      <c r="F207" s="54"/>
      <c r="G207" s="800"/>
      <c r="H207" s="1521"/>
    </row>
    <row r="208" spans="1:8" s="372" customFormat="1" ht="36" customHeight="1" thickBot="1" x14ac:dyDescent="0.3">
      <c r="A208" s="970" t="s">
        <v>126</v>
      </c>
      <c r="B208" s="363" t="s">
        <v>1463</v>
      </c>
      <c r="C208" s="363" t="s">
        <v>1271</v>
      </c>
      <c r="D208" s="971" t="s">
        <v>115</v>
      </c>
      <c r="E208" s="863" t="s">
        <v>771</v>
      </c>
      <c r="F208" s="363" t="s">
        <v>1474</v>
      </c>
      <c r="G208" s="824" t="s">
        <v>770</v>
      </c>
      <c r="H208" s="363" t="s">
        <v>772</v>
      </c>
    </row>
    <row r="209" spans="1:8" s="2" customFormat="1" ht="45" customHeight="1" thickBot="1" x14ac:dyDescent="0.3">
      <c r="A209" s="1597" t="str">
        <f>OF!A87</f>
        <v>OF15</v>
      </c>
      <c r="B209" s="1522" t="str">
        <f>OF!B87</f>
        <v>Landscape Functional Deficit (GISscore)</v>
      </c>
      <c r="C209" s="836" t="str">
        <f>OF!C87</f>
        <v xml:space="preserve">In the ORWAP Report, find the AA's 12-digit HUC code.  Then, find that HUC code in the FuncDeficit worksheet in the accompanying Supp_Info file. Select All functions below that have a notation for that HUC code. </v>
      </c>
      <c r="D209" s="549"/>
      <c r="E209" s="239"/>
      <c r="F209" s="972"/>
      <c r="G209" s="973"/>
      <c r="H209" s="1522" t="s">
        <v>674</v>
      </c>
    </row>
    <row r="210" spans="1:8" s="2" customFormat="1" ht="16.2" customHeight="1" thickBot="1" x14ac:dyDescent="0.3">
      <c r="A210" s="1627"/>
      <c r="B210" s="1523"/>
      <c r="C210" s="468" t="str">
        <f>OF!C94</f>
        <v>Fish habitat (FH)</v>
      </c>
      <c r="D210" s="198">
        <f>OF!D94</f>
        <v>0</v>
      </c>
      <c r="E210" s="245"/>
      <c r="F210" s="243"/>
      <c r="G210" s="809">
        <f>IF((OF!D98=1),"",D210)</f>
        <v>0</v>
      </c>
      <c r="H210" s="1523"/>
    </row>
    <row r="211" spans="1:8" ht="45" customHeight="1" thickBot="1" x14ac:dyDescent="0.3">
      <c r="A211" s="974" t="str">
        <f>OF!A98</f>
        <v>OF16</v>
      </c>
      <c r="B211" s="4" t="str">
        <f>OF!B98</f>
        <v>Conservation Designations of the AA or Local Area (ConDesig)</v>
      </c>
      <c r="C211" s="466" t="str">
        <f>OF!C99</f>
        <v>The AA is within or connected to a stream or other water body and this stream or water body has been designated as ESH within 0.5 miles of the AA, according to the Essential Salmonid Habitat (ESH) layer.</v>
      </c>
      <c r="D211" s="220">
        <f>OF!D99</f>
        <v>0</v>
      </c>
      <c r="E211" s="260"/>
      <c r="F211" s="835"/>
      <c r="G211" s="809">
        <f>D211</f>
        <v>0</v>
      </c>
      <c r="H211" s="4" t="s">
        <v>687</v>
      </c>
    </row>
    <row r="212" spans="1:8" ht="45" customHeight="1" thickBot="1" x14ac:dyDescent="0.3">
      <c r="A212" s="1797" t="str">
        <f>OF!A220</f>
        <v>OF42</v>
      </c>
      <c r="B212" s="1576" t="str">
        <f>OF!B220</f>
        <v>Zoning (Zoning)</v>
      </c>
      <c r="C212" s="114" t="str">
        <f>OF!C220</f>
        <v>According to ORWAP Map Viewer's Oregon Zoning layer, the dominant zoned land use designation for currently undeveloped parcels upslope from the AA and within 300 ft. of its upland edge is:</v>
      </c>
      <c r="D212" s="65"/>
      <c r="E212" s="65"/>
      <c r="F212" s="60"/>
      <c r="G212" s="975">
        <f>IF((D215=1),"",MAX(F212:F215)/MAX(E212:E215))</f>
        <v>0</v>
      </c>
      <c r="H212" s="1521" t="s">
        <v>722</v>
      </c>
    </row>
    <row r="213" spans="1:8" ht="27" customHeight="1" x14ac:dyDescent="0.25">
      <c r="A213" s="1797"/>
      <c r="B213" s="1548"/>
      <c r="C213" s="449" t="str">
        <f>OF!C221</f>
        <v>Development (Commercial, Industrial, Urban Residential, etc.), or no undeveloped parcels exist upslope from the AA.</v>
      </c>
      <c r="D213" s="44">
        <f>OF!D221</f>
        <v>0</v>
      </c>
      <c r="E213" s="49">
        <v>2</v>
      </c>
      <c r="F213" s="45">
        <f>D213*E213</f>
        <v>0</v>
      </c>
      <c r="G213" s="793"/>
      <c r="H213" s="1521"/>
    </row>
    <row r="214" spans="1:8" ht="16.2" customHeight="1" x14ac:dyDescent="0.25">
      <c r="A214" s="1797"/>
      <c r="B214" s="1548"/>
      <c r="C214" s="450" t="str">
        <f>OF!C222</f>
        <v>Agriculture or Rural Residential.</v>
      </c>
      <c r="D214" s="44">
        <f>OF!D222</f>
        <v>0</v>
      </c>
      <c r="E214" s="49">
        <v>1</v>
      </c>
      <c r="F214" s="45">
        <f>D214*E214</f>
        <v>0</v>
      </c>
      <c r="G214" s="793"/>
      <c r="H214" s="1521"/>
    </row>
    <row r="215" spans="1:8" ht="16.2" customHeight="1" x14ac:dyDescent="0.25">
      <c r="A215" s="1797"/>
      <c r="B215" s="1548"/>
      <c r="C215" s="450" t="str">
        <f>OF!C223</f>
        <v>Forest or Open Space, or entirely public lands.</v>
      </c>
      <c r="D215" s="44">
        <f>OF!D223</f>
        <v>0</v>
      </c>
      <c r="E215" s="49">
        <v>0</v>
      </c>
      <c r="F215" s="45">
        <f>D215*E215</f>
        <v>0</v>
      </c>
      <c r="G215" s="797"/>
      <c r="H215" s="1521"/>
    </row>
    <row r="216" spans="1:8" ht="16.2" customHeight="1" thickBot="1" x14ac:dyDescent="0.3">
      <c r="A216" s="1798"/>
      <c r="B216" s="1549"/>
      <c r="C216" s="443" t="str">
        <f>OF!C224</f>
        <v>Not zoned, or no information.</v>
      </c>
      <c r="D216" s="198">
        <f>OF!D224</f>
        <v>0</v>
      </c>
      <c r="E216" s="245"/>
      <c r="F216" s="193"/>
      <c r="G216" s="976"/>
      <c r="H216" s="1523"/>
    </row>
    <row r="217" spans="1:8" ht="33" customHeight="1" thickBot="1" x14ac:dyDescent="0.3">
      <c r="A217" s="977" t="s">
        <v>822</v>
      </c>
      <c r="B217" s="4" t="s">
        <v>824</v>
      </c>
      <c r="C217" s="978" t="str">
        <f>WBF!C269</f>
        <v>Function Score for Feeding Waterbird Habitat</v>
      </c>
      <c r="D217" s="877"/>
      <c r="E217" s="260"/>
      <c r="F217" s="249"/>
      <c r="G217" s="979">
        <f>FscoreWBF/10</f>
        <v>2.0833333333333332E-2</v>
      </c>
      <c r="H217" s="4" t="s">
        <v>424</v>
      </c>
    </row>
    <row r="218" spans="1:8" ht="21" customHeight="1" thickBot="1" x14ac:dyDescent="0.3">
      <c r="A218" s="11"/>
      <c r="B218" s="2"/>
      <c r="C218" s="560"/>
      <c r="D218" s="980"/>
      <c r="E218" s="14"/>
      <c r="F218" s="14"/>
      <c r="G218" s="15"/>
    </row>
    <row r="219" spans="1:8" ht="21" customHeight="1" x14ac:dyDescent="0.25">
      <c r="A219" s="11"/>
      <c r="B219" s="2"/>
      <c r="C219" s="1952" t="s">
        <v>610</v>
      </c>
      <c r="D219" s="1948" t="s">
        <v>131</v>
      </c>
      <c r="E219" s="1949"/>
      <c r="F219" s="1949"/>
      <c r="G219" s="986">
        <f>AVERAGE(Hydropd9,SeasPct9,OutDura9,PondWpctDry9,DepthDom9)</f>
        <v>0</v>
      </c>
      <c r="H219" s="981" t="s">
        <v>1240</v>
      </c>
    </row>
    <row r="220" spans="1:8" ht="21" customHeight="1" x14ac:dyDescent="0.25">
      <c r="A220" s="11"/>
      <c r="B220" s="2"/>
      <c r="C220" s="1953"/>
      <c r="D220" s="1950" t="s">
        <v>129</v>
      </c>
      <c r="E220" s="1951"/>
      <c r="F220" s="1951"/>
      <c r="G220" s="987">
        <f>IF((NeverWater+TempWet&gt;0),"", AVERAGE(ThruFlo9,EmPct9,WoodOver9))</f>
        <v>0</v>
      </c>
      <c r="H220" s="934" t="s">
        <v>1604</v>
      </c>
    </row>
    <row r="221" spans="1:8" ht="21" customHeight="1" x14ac:dyDescent="0.25">
      <c r="A221" s="11"/>
      <c r="B221" s="2"/>
      <c r="C221" s="1953"/>
      <c r="D221" s="1950" t="s">
        <v>611</v>
      </c>
      <c r="E221" s="1951"/>
      <c r="F221" s="1951"/>
      <c r="G221" s="987">
        <f>AVERAGE(WoodyDryShade9,ForestPct9,UpTreePctPer9,Groundw9,Elev9)</f>
        <v>0</v>
      </c>
      <c r="H221" s="934" t="s">
        <v>666</v>
      </c>
    </row>
    <row r="222" spans="1:8" ht="21" customHeight="1" x14ac:dyDescent="0.25">
      <c r="A222" s="11"/>
      <c r="B222" s="11"/>
      <c r="C222" s="1953"/>
      <c r="D222" s="1950" t="s">
        <v>127</v>
      </c>
      <c r="E222" s="1951"/>
      <c r="F222" s="1951"/>
      <c r="G222" s="987">
        <f>AVERAGE(BuffWidth9,PerimPctPer9,PerCovPct9,ImpervRCA9,ImpervSCA9)</f>
        <v>0</v>
      </c>
      <c r="H222" s="934" t="s">
        <v>1200</v>
      </c>
    </row>
    <row r="223" spans="1:8" ht="21" customHeight="1" x14ac:dyDescent="0.25">
      <c r="A223" s="11"/>
      <c r="B223" s="11"/>
      <c r="C223" s="1953"/>
      <c r="D223" s="1955" t="s">
        <v>1400</v>
      </c>
      <c r="E223" s="1955"/>
      <c r="F223" s="1955"/>
      <c r="G223" s="988">
        <f>AVERAGE(WQin9,ConnecUp9,ContamDown9,ConnDown9,ContamIn9,AltTiming9,SedRCA9,PestAnim9,Algae9)</f>
        <v>1</v>
      </c>
      <c r="H223" s="934" t="s">
        <v>2238</v>
      </c>
    </row>
    <row r="224" spans="1:8" ht="45" customHeight="1" thickBot="1" x14ac:dyDescent="0.3">
      <c r="B224" s="11"/>
      <c r="C224" s="1954"/>
      <c r="D224" s="1903" t="s">
        <v>614</v>
      </c>
      <c r="E224" s="1956"/>
      <c r="F224" s="1957"/>
      <c r="G224" s="900">
        <f>IF((NoTconnec=1),0, (4*AVERAGE(LowMarshT9,OutDuraT9) + AVERAGE(TnonT9,ShadeHiT9,ShadeLoT9,LwdT9,BlindChT9) + AVERAGE(PerimPctPerT9,BuffWidthT9,ImpervBuffT9,WidthHiT9,WidthLoT9))/6)</f>
        <v>0</v>
      </c>
      <c r="H224" s="982" t="s">
        <v>1529</v>
      </c>
    </row>
    <row r="225" spans="2:8" ht="33" customHeight="1" thickBot="1" x14ac:dyDescent="0.3">
      <c r="B225" s="11"/>
      <c r="C225" s="1807" t="s">
        <v>602</v>
      </c>
      <c r="D225" s="1808"/>
      <c r="E225" s="1809"/>
      <c r="F225" s="983" t="s">
        <v>6</v>
      </c>
      <c r="G225" s="782">
        <f>10*(IF((Tidal=1),TidalScoreFA, IF((FishAcc9 + ConsDesig_ESH9v=0),0, IF((NeverWater=1),0, AVERAGE(Hydro10,Stress10,Struc9,CoolWater9,Lscape9)))))</f>
        <v>0</v>
      </c>
      <c r="H225" s="251" t="s">
        <v>1530</v>
      </c>
    </row>
    <row r="226" spans="2:8" ht="33" customHeight="1" thickBot="1" x14ac:dyDescent="0.3">
      <c r="B226" s="11"/>
      <c r="C226" s="1871" t="s">
        <v>603</v>
      </c>
      <c r="D226" s="1872"/>
      <c r="E226" s="1873"/>
      <c r="F226" s="983" t="s">
        <v>7</v>
      </c>
      <c r="G226" s="989">
        <f>10*(MAX(ConsDesig_ESH9v, AVERAGE(GISscoreFishV,Zoning9v,FscoreWBF9v)))</f>
        <v>6.9444444444444448E-2</v>
      </c>
      <c r="H226" s="984" t="s">
        <v>667</v>
      </c>
    </row>
    <row r="227" spans="2:8" ht="21" customHeight="1" thickBot="1" x14ac:dyDescent="0.3">
      <c r="C227" s="985"/>
      <c r="D227" s="14"/>
      <c r="E227" s="14"/>
    </row>
    <row r="228" spans="2:8" ht="21" customHeight="1" thickBot="1" x14ac:dyDescent="0.3">
      <c r="H228" s="257" t="s">
        <v>859</v>
      </c>
    </row>
    <row r="229" spans="2:8" ht="27" customHeight="1" x14ac:dyDescent="0.25">
      <c r="H229" s="715" t="s">
        <v>1315</v>
      </c>
    </row>
    <row r="230" spans="2:8" ht="57" customHeight="1" x14ac:dyDescent="0.25">
      <c r="H230" s="716" t="s">
        <v>873</v>
      </c>
    </row>
    <row r="231" spans="2:8" ht="42" customHeight="1" x14ac:dyDescent="0.25">
      <c r="H231" s="716" t="s">
        <v>874</v>
      </c>
    </row>
    <row r="232" spans="2:8" ht="42" customHeight="1" x14ac:dyDescent="0.25">
      <c r="H232" s="716" t="s">
        <v>1316</v>
      </c>
    </row>
    <row r="233" spans="2:8" ht="42" customHeight="1" x14ac:dyDescent="0.25">
      <c r="H233" s="716" t="s">
        <v>1317</v>
      </c>
    </row>
    <row r="234" spans="2:8" ht="42" customHeight="1" x14ac:dyDescent="0.25">
      <c r="H234" s="716" t="s">
        <v>1318</v>
      </c>
    </row>
    <row r="235" spans="2:8" ht="27" customHeight="1" x14ac:dyDescent="0.25">
      <c r="H235" s="716" t="s">
        <v>1319</v>
      </c>
    </row>
    <row r="236" spans="2:8" ht="27" customHeight="1" x14ac:dyDescent="0.25">
      <c r="H236" s="785" t="s">
        <v>1320</v>
      </c>
    </row>
    <row r="237" spans="2:8" ht="42" customHeight="1" x14ac:dyDescent="0.25">
      <c r="H237" s="725" t="s">
        <v>1033</v>
      </c>
    </row>
    <row r="238" spans="2:8" ht="27" customHeight="1" x14ac:dyDescent="0.25">
      <c r="H238" s="725" t="s">
        <v>1321</v>
      </c>
    </row>
    <row r="239" spans="2:8" ht="27" customHeight="1" x14ac:dyDescent="0.25">
      <c r="H239" s="716" t="s">
        <v>1322</v>
      </c>
    </row>
    <row r="240" spans="2:8" ht="42" customHeight="1" x14ac:dyDescent="0.25">
      <c r="H240" s="716" t="s">
        <v>875</v>
      </c>
    </row>
    <row r="241" spans="1:8" s="2" customFormat="1" ht="27" customHeight="1" x14ac:dyDescent="0.25">
      <c r="A241" s="11"/>
      <c r="B241" s="11"/>
      <c r="D241" s="14"/>
      <c r="E241" s="14"/>
      <c r="F241" s="14"/>
      <c r="G241" s="5"/>
      <c r="H241" s="716" t="s">
        <v>1323</v>
      </c>
    </row>
    <row r="242" spans="1:8" s="2" customFormat="1" ht="42" customHeight="1" x14ac:dyDescent="0.25">
      <c r="A242" s="11"/>
      <c r="B242" s="11"/>
      <c r="D242" s="14"/>
      <c r="E242" s="14"/>
      <c r="F242" s="14"/>
      <c r="G242" s="5"/>
      <c r="H242" s="716" t="s">
        <v>1324</v>
      </c>
    </row>
    <row r="243" spans="1:8" s="2" customFormat="1" ht="42" customHeight="1" x14ac:dyDescent="0.25">
      <c r="A243" s="11"/>
      <c r="B243" s="11"/>
      <c r="D243" s="14"/>
      <c r="E243" s="14"/>
      <c r="F243" s="14"/>
      <c r="G243" s="5"/>
      <c r="H243" s="716" t="s">
        <v>1325</v>
      </c>
    </row>
    <row r="244" spans="1:8" s="2" customFormat="1" ht="27" customHeight="1" x14ac:dyDescent="0.25">
      <c r="A244" s="11"/>
      <c r="B244" s="11"/>
      <c r="D244" s="14"/>
      <c r="E244" s="14"/>
      <c r="F244" s="14"/>
      <c r="G244" s="5"/>
      <c r="H244" s="716" t="s">
        <v>1326</v>
      </c>
    </row>
    <row r="245" spans="1:8" s="2" customFormat="1" ht="42" customHeight="1" x14ac:dyDescent="0.25">
      <c r="A245" s="11"/>
      <c r="B245" s="11"/>
      <c r="D245" s="14"/>
      <c r="E245" s="14"/>
      <c r="F245" s="14"/>
      <c r="G245" s="5"/>
      <c r="H245" s="716" t="s">
        <v>876</v>
      </c>
    </row>
    <row r="246" spans="1:8" s="2" customFormat="1" ht="27" customHeight="1" x14ac:dyDescent="0.25">
      <c r="A246" s="11"/>
      <c r="B246" s="11"/>
      <c r="D246" s="14"/>
      <c r="E246" s="14"/>
      <c r="F246" s="14"/>
      <c r="G246" s="5"/>
      <c r="H246" s="716" t="s">
        <v>877</v>
      </c>
    </row>
    <row r="247" spans="1:8" s="2" customFormat="1" ht="42" customHeight="1" x14ac:dyDescent="0.25">
      <c r="A247" s="11"/>
      <c r="B247" s="11"/>
      <c r="D247" s="14"/>
      <c r="E247" s="14"/>
      <c r="F247" s="14"/>
      <c r="G247" s="5"/>
      <c r="H247" s="725" t="s">
        <v>1034</v>
      </c>
    </row>
    <row r="248" spans="1:8" s="2" customFormat="1" ht="42" customHeight="1" x14ac:dyDescent="0.25">
      <c r="A248" s="11"/>
      <c r="B248" s="11"/>
      <c r="D248" s="14"/>
      <c r="E248" s="14"/>
      <c r="F248" s="14"/>
      <c r="G248" s="5"/>
      <c r="H248" s="725" t="s">
        <v>1327</v>
      </c>
    </row>
    <row r="249" spans="1:8" s="2" customFormat="1" ht="42" customHeight="1" x14ac:dyDescent="0.25">
      <c r="A249" s="11"/>
      <c r="B249" s="11"/>
      <c r="D249" s="14"/>
      <c r="E249" s="14"/>
      <c r="F249" s="14"/>
      <c r="G249" s="5"/>
      <c r="H249" s="716" t="s">
        <v>1328</v>
      </c>
    </row>
    <row r="250" spans="1:8" s="2" customFormat="1" ht="27" customHeight="1" x14ac:dyDescent="0.25">
      <c r="A250" s="11"/>
      <c r="B250" s="11"/>
      <c r="D250" s="14"/>
      <c r="E250" s="14"/>
      <c r="F250" s="14"/>
      <c r="G250" s="5"/>
      <c r="H250" s="716" t="s">
        <v>878</v>
      </c>
    </row>
    <row r="251" spans="1:8" s="2" customFormat="1" ht="27" customHeight="1" x14ac:dyDescent="0.25">
      <c r="A251" s="11"/>
      <c r="B251" s="11"/>
      <c r="D251" s="14"/>
      <c r="E251" s="14"/>
      <c r="F251" s="14"/>
      <c r="G251" s="5"/>
      <c r="H251" s="716" t="s">
        <v>1329</v>
      </c>
    </row>
    <row r="252" spans="1:8" s="2" customFormat="1" ht="27" customHeight="1" x14ac:dyDescent="0.25">
      <c r="A252" s="11"/>
      <c r="B252" s="11"/>
      <c r="D252" s="14"/>
      <c r="E252" s="14"/>
      <c r="F252" s="14"/>
      <c r="G252" s="5"/>
      <c r="H252" s="716" t="s">
        <v>879</v>
      </c>
    </row>
    <row r="253" spans="1:8" s="2" customFormat="1" ht="42" customHeight="1" x14ac:dyDescent="0.25">
      <c r="A253" s="11"/>
      <c r="B253" s="11"/>
      <c r="D253" s="14"/>
      <c r="E253" s="14"/>
      <c r="F253" s="14"/>
      <c r="G253" s="5"/>
      <c r="H253" s="716" t="s">
        <v>1330</v>
      </c>
    </row>
    <row r="254" spans="1:8" s="2" customFormat="1" ht="27" customHeight="1" x14ac:dyDescent="0.25">
      <c r="A254" s="11"/>
      <c r="B254" s="11"/>
      <c r="D254" s="14"/>
      <c r="E254" s="14"/>
      <c r="F254" s="14"/>
      <c r="G254" s="5"/>
      <c r="H254" s="716" t="s">
        <v>1331</v>
      </c>
    </row>
    <row r="255" spans="1:8" s="2" customFormat="1" ht="69" x14ac:dyDescent="0.25">
      <c r="A255" s="11"/>
      <c r="B255" s="11"/>
      <c r="D255" s="14"/>
      <c r="E255" s="14"/>
      <c r="F255" s="14"/>
      <c r="G255" s="5"/>
      <c r="H255" s="716" t="s">
        <v>1332</v>
      </c>
    </row>
    <row r="256" spans="1:8" s="2" customFormat="1" ht="42" customHeight="1" x14ac:dyDescent="0.25">
      <c r="A256" s="11"/>
      <c r="B256" s="11"/>
      <c r="D256" s="14"/>
      <c r="E256" s="14"/>
      <c r="F256" s="14"/>
      <c r="G256" s="5"/>
      <c r="H256" s="725" t="s">
        <v>1333</v>
      </c>
    </row>
    <row r="257" spans="1:8" s="2" customFormat="1" ht="27" customHeight="1" x14ac:dyDescent="0.25">
      <c r="A257" s="11"/>
      <c r="B257" s="11"/>
      <c r="D257" s="14"/>
      <c r="E257" s="14"/>
      <c r="F257" s="14"/>
      <c r="G257" s="5"/>
      <c r="H257" s="725" t="s">
        <v>1334</v>
      </c>
    </row>
    <row r="258" spans="1:8" s="2" customFormat="1" ht="42" customHeight="1" x14ac:dyDescent="0.25">
      <c r="A258" s="11"/>
      <c r="B258" s="11"/>
      <c r="D258" s="14"/>
      <c r="E258" s="14"/>
      <c r="F258" s="14"/>
      <c r="G258" s="5"/>
      <c r="H258" s="725" t="s">
        <v>1335</v>
      </c>
    </row>
    <row r="259" spans="1:8" s="2" customFormat="1" ht="27" customHeight="1" x14ac:dyDescent="0.25">
      <c r="A259" s="11"/>
      <c r="B259" s="11"/>
      <c r="D259" s="14"/>
      <c r="E259" s="14"/>
      <c r="F259" s="14"/>
      <c r="G259" s="5"/>
      <c r="H259" s="716" t="s">
        <v>1336</v>
      </c>
    </row>
    <row r="260" spans="1:8" s="2" customFormat="1" ht="27" customHeight="1" thickBot="1" x14ac:dyDescent="0.3">
      <c r="A260" s="11"/>
      <c r="B260" s="11"/>
      <c r="D260" s="14"/>
      <c r="E260" s="14"/>
      <c r="F260" s="14"/>
      <c r="G260" s="5"/>
      <c r="H260" s="717" t="s">
        <v>1337</v>
      </c>
    </row>
    <row r="261" spans="1:8" s="2" customFormat="1" x14ac:dyDescent="0.25">
      <c r="A261" s="11"/>
      <c r="B261" s="11"/>
      <c r="D261" s="14"/>
      <c r="E261" s="14"/>
      <c r="F261" s="14"/>
      <c r="G261" s="5"/>
    </row>
    <row r="262" spans="1:8" s="2" customFormat="1" x14ac:dyDescent="0.25">
      <c r="A262" s="11"/>
      <c r="B262" s="11"/>
      <c r="D262" s="14"/>
      <c r="E262" s="14"/>
      <c r="F262" s="14"/>
      <c r="G262" s="5"/>
    </row>
  </sheetData>
  <sheetProtection password="C74A" sheet="1" objects="1" scenarios="1" formatCells="0" formatColumns="0" formatRows="0"/>
  <mergeCells count="125">
    <mergeCell ref="E1:H1"/>
    <mergeCell ref="C225:E225"/>
    <mergeCell ref="C226:E226"/>
    <mergeCell ref="A133:A140"/>
    <mergeCell ref="A141:A147"/>
    <mergeCell ref="A148:A154"/>
    <mergeCell ref="A155:A159"/>
    <mergeCell ref="A160:A165"/>
    <mergeCell ref="A179:A184"/>
    <mergeCell ref="A185:A188"/>
    <mergeCell ref="H20:H23"/>
    <mergeCell ref="H32:H35"/>
    <mergeCell ref="H40:H43"/>
    <mergeCell ref="A24:A26"/>
    <mergeCell ref="B32:B35"/>
    <mergeCell ref="H27:H31"/>
    <mergeCell ref="A88:A92"/>
    <mergeCell ref="A99:A103"/>
    <mergeCell ref="A108:A114"/>
    <mergeCell ref="A115:A121"/>
    <mergeCell ref="H185:H188"/>
    <mergeCell ref="A122:A128"/>
    <mergeCell ref="A173:A178"/>
    <mergeCell ref="A166:A172"/>
    <mergeCell ref="H44:H49"/>
    <mergeCell ref="B104:B107"/>
    <mergeCell ref="B77:B82"/>
    <mergeCell ref="B88:B92"/>
    <mergeCell ref="B93:B98"/>
    <mergeCell ref="B108:B114"/>
    <mergeCell ref="H179:H184"/>
    <mergeCell ref="H56:H61"/>
    <mergeCell ref="H88:H92"/>
    <mergeCell ref="H50:H55"/>
    <mergeCell ref="H99:H103"/>
    <mergeCell ref="H160:H165"/>
    <mergeCell ref="B166:B172"/>
    <mergeCell ref="B173:B178"/>
    <mergeCell ref="H108:H114"/>
    <mergeCell ref="H166:H172"/>
    <mergeCell ref="H173:H178"/>
    <mergeCell ref="B115:B121"/>
    <mergeCell ref="B148:B154"/>
    <mergeCell ref="B155:B159"/>
    <mergeCell ref="B160:B165"/>
    <mergeCell ref="B179:B184"/>
    <mergeCell ref="A212:A216"/>
    <mergeCell ref="H189:H195"/>
    <mergeCell ref="D219:F219"/>
    <mergeCell ref="D220:F220"/>
    <mergeCell ref="A189:A195"/>
    <mergeCell ref="H209:H210"/>
    <mergeCell ref="B209:B210"/>
    <mergeCell ref="B189:B195"/>
    <mergeCell ref="A203:A207"/>
    <mergeCell ref="A196:A202"/>
    <mergeCell ref="H196:H202"/>
    <mergeCell ref="B203:B207"/>
    <mergeCell ref="H203:H207"/>
    <mergeCell ref="C219:C224"/>
    <mergeCell ref="D222:F222"/>
    <mergeCell ref="D221:F221"/>
    <mergeCell ref="H212:H216"/>
    <mergeCell ref="D223:F223"/>
    <mergeCell ref="B212:B216"/>
    <mergeCell ref="B196:B202"/>
    <mergeCell ref="D224:F224"/>
    <mergeCell ref="A209:A210"/>
    <mergeCell ref="A3:A8"/>
    <mergeCell ref="A9:A14"/>
    <mergeCell ref="A36:A39"/>
    <mergeCell ref="A85:A87"/>
    <mergeCell ref="A16:A19"/>
    <mergeCell ref="A83:A84"/>
    <mergeCell ref="A27:A31"/>
    <mergeCell ref="A44:A49"/>
    <mergeCell ref="B16:B19"/>
    <mergeCell ref="B20:B23"/>
    <mergeCell ref="B24:B26"/>
    <mergeCell ref="A56:A61"/>
    <mergeCell ref="B27:B31"/>
    <mergeCell ref="B85:B87"/>
    <mergeCell ref="B50:B55"/>
    <mergeCell ref="B83:B84"/>
    <mergeCell ref="B36:B39"/>
    <mergeCell ref="B40:B43"/>
    <mergeCell ref="A50:A55"/>
    <mergeCell ref="B44:B49"/>
    <mergeCell ref="B69:B75"/>
    <mergeCell ref="B3:B8"/>
    <mergeCell ref="B9:B14"/>
    <mergeCell ref="A1:B1"/>
    <mergeCell ref="H83:H84"/>
    <mergeCell ref="H69:H75"/>
    <mergeCell ref="H104:H107"/>
    <mergeCell ref="H77:H82"/>
    <mergeCell ref="H62:H68"/>
    <mergeCell ref="A77:A82"/>
    <mergeCell ref="A62:A68"/>
    <mergeCell ref="B62:B68"/>
    <mergeCell ref="H85:H87"/>
    <mergeCell ref="B99:B103"/>
    <mergeCell ref="A40:A43"/>
    <mergeCell ref="B56:B61"/>
    <mergeCell ref="H16:H19"/>
    <mergeCell ref="H24:H26"/>
    <mergeCell ref="A20:A23"/>
    <mergeCell ref="H93:H98"/>
    <mergeCell ref="H3:H8"/>
    <mergeCell ref="H9:H14"/>
    <mergeCell ref="A104:A107"/>
    <mergeCell ref="A32:A35"/>
    <mergeCell ref="A93:A98"/>
    <mergeCell ref="H36:H39"/>
    <mergeCell ref="A69:A75"/>
    <mergeCell ref="B185:B188"/>
    <mergeCell ref="H115:H121"/>
    <mergeCell ref="H133:H140"/>
    <mergeCell ref="H141:H147"/>
    <mergeCell ref="H148:H154"/>
    <mergeCell ref="H155:H159"/>
    <mergeCell ref="B122:B128"/>
    <mergeCell ref="B133:B140"/>
    <mergeCell ref="B141:B147"/>
    <mergeCell ref="H122:H128"/>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J127"/>
  <sheetViews>
    <sheetView zoomScaleNormal="100" workbookViewId="0">
      <selection activeCell="G110" sqref="G110:G114"/>
    </sheetView>
  </sheetViews>
  <sheetFormatPr defaultColWidth="9.33203125" defaultRowHeight="13.8" x14ac:dyDescent="0.25"/>
  <cols>
    <col min="1" max="1" width="5.77734375" style="35" customWidth="1"/>
    <col min="2" max="2" width="18.77734375" style="35" customWidth="1"/>
    <col min="3" max="3" width="75.77734375" style="2" customWidth="1"/>
    <col min="4" max="4" width="6.77734375" style="48" customWidth="1"/>
    <col min="5" max="5" width="8.77734375" style="48" customWidth="1"/>
    <col min="6" max="6" width="9.44140625" style="48" customWidth="1"/>
    <col min="7" max="7" width="13.44140625" style="110" customWidth="1"/>
    <col min="8" max="8" width="75.77734375" style="2" customWidth="1"/>
    <col min="9" max="9" width="13.44140625" style="3" customWidth="1"/>
    <col min="10" max="16384" width="9.33203125" style="3"/>
  </cols>
  <sheetData>
    <row r="1" spans="1:8" ht="51" customHeight="1" thickBot="1" x14ac:dyDescent="0.3">
      <c r="A1" s="1964" t="s">
        <v>584</v>
      </c>
      <c r="B1" s="1965"/>
      <c r="C1" s="990" t="s">
        <v>606</v>
      </c>
      <c r="D1" s="945" t="s">
        <v>1170</v>
      </c>
      <c r="E1" s="1958"/>
      <c r="F1" s="1959"/>
      <c r="G1" s="1959"/>
      <c r="H1" s="1959"/>
    </row>
    <row r="2" spans="1:8" s="366" customFormat="1" ht="46.5" customHeight="1" thickBot="1" x14ac:dyDescent="0.3">
      <c r="A2" s="786" t="s">
        <v>126</v>
      </c>
      <c r="B2" s="786" t="s">
        <v>1458</v>
      </c>
      <c r="C2" s="831" t="s">
        <v>1271</v>
      </c>
      <c r="D2" s="787" t="s">
        <v>115</v>
      </c>
      <c r="E2" s="789" t="s">
        <v>771</v>
      </c>
      <c r="F2" s="787" t="s">
        <v>1462</v>
      </c>
      <c r="G2" s="790" t="s">
        <v>1273</v>
      </c>
      <c r="H2" s="787" t="s">
        <v>772</v>
      </c>
    </row>
    <row r="3" spans="1:8" ht="75" customHeight="1" thickBot="1" x14ac:dyDescent="0.3">
      <c r="A3" s="1799" t="str">
        <f>OF!A152</f>
        <v>OF28</v>
      </c>
      <c r="B3" s="1522" t="str">
        <f>OF!B152</f>
        <v>Input Water - Recognized Quality Issues (WQin)</v>
      </c>
      <c r="C3" s="114"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3" s="991"/>
      <c r="E3" s="192"/>
      <c r="F3" s="241"/>
      <c r="G3" s="791">
        <f>IF((OF!D159=1),"",IF((D4=1),0,1))</f>
        <v>1</v>
      </c>
      <c r="H3" s="1522" t="s">
        <v>1597</v>
      </c>
    </row>
    <row r="4" spans="1:8" ht="16.2" customHeight="1" thickBot="1" x14ac:dyDescent="0.3">
      <c r="A4" s="1800"/>
      <c r="B4" s="1521"/>
      <c r="C4" s="11" t="str">
        <f>OF!C156</f>
        <v>Petrochemicals, heavy metals (iron, manganese, lead, zinc, etc.), other toxins.</v>
      </c>
      <c r="D4" s="834">
        <f>OF!D156</f>
        <v>0</v>
      </c>
      <c r="E4" s="93"/>
      <c r="F4" s="54"/>
      <c r="G4" s="800"/>
      <c r="H4" s="1521"/>
    </row>
    <row r="5" spans="1:8" ht="21" customHeight="1" thickBot="1" x14ac:dyDescent="0.3">
      <c r="A5" s="1799" t="str">
        <f>OF!A159</f>
        <v>OF29</v>
      </c>
      <c r="B5" s="1522" t="str">
        <f>OF!B159</f>
        <v>Duration of Connection Beween Problem Area &amp; the AA (ConnecUp)</v>
      </c>
      <c r="C5" s="836" t="str">
        <f>OF!C159</f>
        <v>The upstream problem area mentioned above (OF28) has a surface water connection to the AA:</v>
      </c>
      <c r="D5" s="549"/>
      <c r="E5" s="210"/>
      <c r="F5" s="192"/>
      <c r="G5" s="791" t="str">
        <f>IF((D4=1),MAX(F6:F8)/MAX(E6:E8),"")</f>
        <v/>
      </c>
      <c r="H5" s="1522" t="s">
        <v>1593</v>
      </c>
    </row>
    <row r="6" spans="1:8" ht="16.2" customHeight="1" x14ac:dyDescent="0.25">
      <c r="A6" s="1800"/>
      <c r="B6" s="1521"/>
      <c r="C6" s="11" t="str">
        <f>OF!C160</f>
        <v>For 9 or more continuous months annually.</v>
      </c>
      <c r="D6" s="44">
        <f>OF!D160</f>
        <v>0</v>
      </c>
      <c r="E6" s="65">
        <v>0</v>
      </c>
      <c r="F6" s="45">
        <f>D6*E6</f>
        <v>0</v>
      </c>
      <c r="G6" s="793"/>
      <c r="H6" s="1521"/>
    </row>
    <row r="7" spans="1:8" ht="16.2" customHeight="1" x14ac:dyDescent="0.25">
      <c r="A7" s="1800"/>
      <c r="B7" s="1521"/>
      <c r="C7" s="286" t="str">
        <f>OF!C161</f>
        <v>Intermittently (at least once annually, but for less than 9 months continually).</v>
      </c>
      <c r="D7" s="44">
        <f>OF!D161</f>
        <v>0</v>
      </c>
      <c r="E7" s="65">
        <v>1</v>
      </c>
      <c r="F7" s="45">
        <f>D7*E7</f>
        <v>0</v>
      </c>
      <c r="G7" s="793"/>
      <c r="H7" s="1521"/>
    </row>
    <row r="8" spans="1:8" ht="16.2" customHeight="1" thickBot="1" x14ac:dyDescent="0.3">
      <c r="A8" s="1801"/>
      <c r="B8" s="1523"/>
      <c r="C8" s="443" t="str">
        <f>OF!C162</f>
        <v>Never (or less than annually).</v>
      </c>
      <c r="D8" s="17">
        <f>OF!D162</f>
        <v>0</v>
      </c>
      <c r="E8" s="479">
        <v>3</v>
      </c>
      <c r="F8" s="193">
        <f>D8*E8</f>
        <v>0</v>
      </c>
      <c r="G8" s="909"/>
      <c r="H8" s="1523"/>
    </row>
    <row r="9" spans="1:8" ht="30" customHeight="1" thickBot="1" x14ac:dyDescent="0.3">
      <c r="A9" s="1800" t="str">
        <f>OF!A183</f>
        <v>OF34</v>
      </c>
      <c r="B9" s="1521" t="str">
        <f>OF!B183</f>
        <v>Relative Elevation in Watershed (Elev)</v>
      </c>
      <c r="C9" s="836" t="str">
        <f>OF!C183</f>
        <v>In the ORWAP Map Viewer, based on the Hydrologic Boundaries 4th Level (HUC 8) layer (under Watersheds), determine if the AA is:          (See Column E)</v>
      </c>
      <c r="D9" s="549"/>
      <c r="E9" s="865"/>
      <c r="F9" s="867"/>
      <c r="G9" s="947">
        <f>MAX(F10:F12)/MAX(E10:E12)</f>
        <v>0</v>
      </c>
      <c r="H9" s="1576" t="s">
        <v>1143</v>
      </c>
    </row>
    <row r="10" spans="1:8" ht="16.2" customHeight="1" x14ac:dyDescent="0.25">
      <c r="A10" s="1800"/>
      <c r="B10" s="1521"/>
      <c r="C10" s="449" t="str">
        <f>OF!C184</f>
        <v>In the upper one-third of its watershed.</v>
      </c>
      <c r="D10" s="44">
        <f>OF!D184</f>
        <v>0</v>
      </c>
      <c r="E10" s="848">
        <v>1</v>
      </c>
      <c r="F10" s="45">
        <f>D10*E10</f>
        <v>0</v>
      </c>
      <c r="G10" s="792"/>
      <c r="H10" s="1548"/>
    </row>
    <row r="11" spans="1:8" ht="16.2" customHeight="1" x14ac:dyDescent="0.25">
      <c r="A11" s="1800"/>
      <c r="B11" s="1521"/>
      <c r="C11" s="450" t="str">
        <f>OF!C185</f>
        <v>In the middle one-third of its watershed.</v>
      </c>
      <c r="D11" s="44">
        <f>OF!D185</f>
        <v>0</v>
      </c>
      <c r="E11" s="848">
        <v>2</v>
      </c>
      <c r="F11" s="45">
        <f>D11*E11</f>
        <v>0</v>
      </c>
      <c r="G11" s="793"/>
      <c r="H11" s="1548"/>
    </row>
    <row r="12" spans="1:8" ht="16.2" customHeight="1" thickBot="1" x14ac:dyDescent="0.3">
      <c r="A12" s="1800"/>
      <c r="B12" s="1521"/>
      <c r="C12" s="286" t="str">
        <f>OF!C186</f>
        <v>In the lower one-third of its watershed.</v>
      </c>
      <c r="D12" s="17">
        <f>OF!D186</f>
        <v>0</v>
      </c>
      <c r="E12" s="868">
        <v>3</v>
      </c>
      <c r="F12" s="54">
        <f>D12*E12</f>
        <v>0</v>
      </c>
      <c r="G12" s="800"/>
      <c r="H12" s="1818"/>
    </row>
    <row r="13" spans="1:8" ht="30" customHeight="1" thickBot="1" x14ac:dyDescent="0.3">
      <c r="A13" s="1788" t="str">
        <f>OF!A225</f>
        <v>OF43</v>
      </c>
      <c r="B13" s="1522" t="str">
        <f>OF!B225</f>
        <v>Growing Degree Days (GDD)</v>
      </c>
      <c r="C13" s="114" t="str">
        <f>OF!C225</f>
        <v xml:space="preserve">According to ORWAP Map Viewer's Growing Degree Days layer,  the long term normal Growing Degree Days category at the approximate location of the AA is: </v>
      </c>
      <c r="D13" s="210"/>
      <c r="E13" s="856"/>
      <c r="F13" s="972"/>
      <c r="G13" s="795">
        <f>MAX(F14:F20)/MAX(E14:E20)</f>
        <v>0</v>
      </c>
      <c r="H13" s="1547" t="s">
        <v>1141</v>
      </c>
    </row>
    <row r="14" spans="1:8" ht="16.2" customHeight="1" x14ac:dyDescent="0.25">
      <c r="A14" s="1789"/>
      <c r="B14" s="1521"/>
      <c r="C14" s="449" t="str">
        <f>OF!C226</f>
        <v>&lt;256.</v>
      </c>
      <c r="D14" s="44">
        <f>OF!D226</f>
        <v>0</v>
      </c>
      <c r="E14" s="865">
        <v>1</v>
      </c>
      <c r="F14" s="54">
        <f t="shared" ref="F14:F20" si="0">D14*E14</f>
        <v>0</v>
      </c>
      <c r="G14" s="792"/>
      <c r="H14" s="1548"/>
    </row>
    <row r="15" spans="1:8" ht="16.2" customHeight="1" x14ac:dyDescent="0.25">
      <c r="A15" s="1789"/>
      <c r="B15" s="1521"/>
      <c r="C15" s="449" t="str">
        <f>OF!C227</f>
        <v>256 - 1020.</v>
      </c>
      <c r="D15" s="44">
        <f>OF!D227</f>
        <v>0</v>
      </c>
      <c r="E15" s="865">
        <v>2</v>
      </c>
      <c r="F15" s="54">
        <f t="shared" si="0"/>
        <v>0</v>
      </c>
      <c r="G15" s="793"/>
      <c r="H15" s="1548"/>
    </row>
    <row r="16" spans="1:8" ht="16.2" customHeight="1" x14ac:dyDescent="0.25">
      <c r="A16" s="1789"/>
      <c r="B16" s="1521"/>
      <c r="C16" s="449" t="str">
        <f>OF!C228</f>
        <v>1021-1785.</v>
      </c>
      <c r="D16" s="44">
        <f>OF!D228</f>
        <v>0</v>
      </c>
      <c r="E16" s="865">
        <v>3</v>
      </c>
      <c r="F16" s="54">
        <f t="shared" si="0"/>
        <v>0</v>
      </c>
      <c r="G16" s="793"/>
      <c r="H16" s="1548"/>
    </row>
    <row r="17" spans="1:8" ht="16.2" customHeight="1" x14ac:dyDescent="0.25">
      <c r="A17" s="1789"/>
      <c r="B17" s="1521"/>
      <c r="C17" s="449" t="str">
        <f>OF!C229</f>
        <v>1786 - 2550.</v>
      </c>
      <c r="D17" s="44">
        <f>OF!D229</f>
        <v>0</v>
      </c>
      <c r="E17" s="865">
        <v>4</v>
      </c>
      <c r="F17" s="54">
        <f t="shared" si="0"/>
        <v>0</v>
      </c>
      <c r="G17" s="793"/>
      <c r="H17" s="1548"/>
    </row>
    <row r="18" spans="1:8" ht="16.2" customHeight="1" x14ac:dyDescent="0.25">
      <c r="A18" s="1789"/>
      <c r="B18" s="1521"/>
      <c r="C18" s="449" t="str">
        <f>OF!C230</f>
        <v>2551 - 3315.</v>
      </c>
      <c r="D18" s="44">
        <f>OF!D230</f>
        <v>0</v>
      </c>
      <c r="E18" s="865">
        <v>5</v>
      </c>
      <c r="F18" s="54">
        <f t="shared" si="0"/>
        <v>0</v>
      </c>
      <c r="G18" s="793"/>
      <c r="H18" s="1548"/>
    </row>
    <row r="19" spans="1:8" ht="16.2" customHeight="1" x14ac:dyDescent="0.25">
      <c r="A19" s="1789"/>
      <c r="B19" s="1521"/>
      <c r="C19" s="449" t="str">
        <f>OF!C231</f>
        <v>3316 - 4079.</v>
      </c>
      <c r="D19" s="44">
        <f>OF!D231</f>
        <v>0</v>
      </c>
      <c r="E19" s="865">
        <v>6</v>
      </c>
      <c r="F19" s="54">
        <f t="shared" si="0"/>
        <v>0</v>
      </c>
      <c r="G19" s="793"/>
      <c r="H19" s="1548"/>
    </row>
    <row r="20" spans="1:8" ht="16.2" customHeight="1" thickBot="1" x14ac:dyDescent="0.3">
      <c r="A20" s="1790"/>
      <c r="B20" s="1523"/>
      <c r="C20" s="468" t="str">
        <f>OF!C232</f>
        <v>&gt; 4079.</v>
      </c>
      <c r="D20" s="198">
        <f>OF!D232</f>
        <v>0</v>
      </c>
      <c r="E20" s="992">
        <v>7</v>
      </c>
      <c r="F20" s="193">
        <f t="shared" si="0"/>
        <v>0</v>
      </c>
      <c r="G20" s="909"/>
      <c r="H20" s="1549"/>
    </row>
    <row r="21" spans="1:8" s="2" customFormat="1" ht="57" customHeight="1" thickBot="1" x14ac:dyDescent="0.3">
      <c r="A21" s="1805" t="str">
        <f>F!A7</f>
        <v>F3</v>
      </c>
      <c r="B21" s="1521" t="str">
        <f>F!B7</f>
        <v>Water Regime (Hydropd)</v>
      </c>
      <c r="C21" s="114" t="str">
        <f>F!C7</f>
        <v>The water regime (hydroperiod) of the most permanent (usually deepest) part of the AA is:  Select only ONE. 
[To meet any of the definitions other than Ephemeral, there must be &gt;100 sq ft of surface water for the duration described, otherwise mark the type listed above it.]</v>
      </c>
      <c r="D21" s="65"/>
      <c r="E21" s="65"/>
      <c r="F21" s="60"/>
      <c r="G21" s="954">
        <f>MAX(F22:F26)/MAX(E22:E26)</f>
        <v>0</v>
      </c>
      <c r="H21" s="1521" t="s">
        <v>233</v>
      </c>
    </row>
    <row r="22" spans="1:8" s="2" customFormat="1" ht="45" customHeight="1" x14ac:dyDescent="0.25">
      <c r="A22" s="1805"/>
      <c r="B22" s="1521"/>
      <c r="C22" s="449" t="str">
        <f>F!C8</f>
        <v>Ephemeral.  Surface water in the wettest part of the AA is present for fewer than 7 consecutive days during an average growing season.  Includes some of the areas mapped as Saturated Nontidal in the ORWAP Map Viewer (which is not comprehensive).  Enter 1 and SKIP to F25.</v>
      </c>
      <c r="D22" s="44">
        <f>F!D8</f>
        <v>0</v>
      </c>
      <c r="E22" s="65">
        <v>0</v>
      </c>
      <c r="F22" s="45">
        <f>D22*E22</f>
        <v>0</v>
      </c>
      <c r="G22" s="793"/>
      <c r="H22" s="1521"/>
    </row>
    <row r="23" spans="1:8" s="2" customFormat="1" ht="57" customHeight="1" x14ac:dyDescent="0.25">
      <c r="A23" s="1805"/>
      <c r="B23" s="1521"/>
      <c r="C23" s="450" t="str">
        <f>F!C9</f>
        <v xml:space="preserve">Temporary.  Surface water present for 1-4 weeks consecutively during an average growing season, OR if persists for longer, it is almost entirely in scattered pools, each smaller than 1 sq.m.  Dries up completely during part of most average years.  Includes some of the areas mapped as Saturated Nontidal in the ORWAP Map Viewer (which is not comprehensive). Enter 1 and SKIP to F25. </v>
      </c>
      <c r="D23" s="44">
        <f>F!D9</f>
        <v>0</v>
      </c>
      <c r="E23" s="65">
        <v>0</v>
      </c>
      <c r="F23" s="45">
        <f>D23*E23</f>
        <v>0</v>
      </c>
      <c r="G23" s="793"/>
      <c r="H23" s="1521"/>
    </row>
    <row r="24" spans="1:8" s="2" customFormat="1" ht="53.25" customHeight="1" x14ac:dyDescent="0.25">
      <c r="A24" s="1805"/>
      <c r="B24" s="1521"/>
      <c r="C24" s="450" t="str">
        <f>F!C10</f>
        <v>Seasonal.  Surface water present for 5-17 weeks (1-4 months) consecutively during an average growing season, but dries up completely during part of most average years.  Includes some of the areas mapped as Seasonal Nontidal in the ORWAP Map Viewer (which is not comprehensive). Enter 1 and SKIP to F5.</v>
      </c>
      <c r="D24" s="44">
        <f>F!D10</f>
        <v>0</v>
      </c>
      <c r="E24" s="65">
        <v>0</v>
      </c>
      <c r="F24" s="45">
        <f>D24*E24</f>
        <v>0</v>
      </c>
      <c r="G24" s="793"/>
      <c r="H24" s="1521"/>
    </row>
    <row r="25" spans="1:8" s="2" customFormat="1" ht="57" customHeight="1" x14ac:dyDescent="0.25">
      <c r="A25" s="1805"/>
      <c r="B25" s="1521"/>
      <c r="C25" s="450" t="str">
        <f>F!C11</f>
        <v>Semi-Persistent.  Surface water present for more than 17 weeks (4 months) consecutively during an average growing season, but dries up completely during part of most average years.  Includes some of the areas mapped as Seasonal Nontidal in the ORWAP Map Viewer (which is not comprehensive). Enter 1 and SKIP to F5.</v>
      </c>
      <c r="D25" s="44">
        <f>F!D11</f>
        <v>0</v>
      </c>
      <c r="E25" s="65">
        <v>1</v>
      </c>
      <c r="F25" s="45">
        <f>D25*E25</f>
        <v>0</v>
      </c>
      <c r="G25" s="793"/>
      <c r="H25" s="1521"/>
    </row>
    <row r="26" spans="1:8" s="2" customFormat="1" ht="42" customHeight="1" thickBot="1" x14ac:dyDescent="0.3">
      <c r="A26" s="1805"/>
      <c r="B26" s="1521"/>
      <c r="C26" s="286" t="str">
        <f>F!C12</f>
        <v>Permanent.  Does not dry up completely during most average years. Includes some of the areas mapped as Persistent Nontidal in the ORWAP Map Viewer (which is not comprehensive).  Enter 1 and continue.</v>
      </c>
      <c r="D26" s="198">
        <f>F!D12</f>
        <v>0</v>
      </c>
      <c r="E26" s="93">
        <v>3</v>
      </c>
      <c r="F26" s="54">
        <f>D26*E26</f>
        <v>0</v>
      </c>
      <c r="G26" s="800"/>
      <c r="H26" s="1521"/>
    </row>
    <row r="27" spans="1:8" s="2" customFormat="1" ht="45" customHeight="1" thickBot="1" x14ac:dyDescent="0.3">
      <c r="A27" s="1804" t="str">
        <f>F!A13</f>
        <v>F4</v>
      </c>
      <c r="B27" s="1522" t="str">
        <f>F!B13</f>
        <v>Flooded Persistently - % of AA (PermW)</v>
      </c>
      <c r="C27" s="75" t="str">
        <f>F!C13</f>
        <v xml:space="preserve">Identify the parts of the AA that still contain surface water even during the driest times of a normal year . At that time, the percentage of the AA that still contains surface water is: </v>
      </c>
      <c r="D27" s="549"/>
      <c r="E27" s="210"/>
      <c r="F27" s="241"/>
      <c r="G27" s="815">
        <f>IF((NeverWater+TempWet&gt;0),"",MAX(F28:F31)/MAX(E28:E31))</f>
        <v>0</v>
      </c>
      <c r="H27" s="1599" t="s">
        <v>1618</v>
      </c>
    </row>
    <row r="28" spans="1:8" ht="16.2" customHeight="1" x14ac:dyDescent="0.25">
      <c r="A28" s="1805"/>
      <c r="B28" s="1521"/>
      <c r="C28" s="215" t="str">
        <f>F!C14</f>
        <v>1 to &lt;25% of the AA.</v>
      </c>
      <c r="D28" s="993">
        <f>F!D14</f>
        <v>0</v>
      </c>
      <c r="E28" s="49">
        <v>1</v>
      </c>
      <c r="F28" s="45">
        <f>D28*E28</f>
        <v>0</v>
      </c>
      <c r="G28" s="957"/>
      <c r="H28" s="1582"/>
    </row>
    <row r="29" spans="1:8" ht="16.2" customHeight="1" x14ac:dyDescent="0.25">
      <c r="A29" s="1805"/>
      <c r="B29" s="1521"/>
      <c r="C29" s="216" t="str">
        <f>F!C15</f>
        <v>25 to &lt;50% of the AA.</v>
      </c>
      <c r="D29" s="44">
        <f>F!D15</f>
        <v>0</v>
      </c>
      <c r="E29" s="49">
        <v>2</v>
      </c>
      <c r="F29" s="45">
        <f>D29*E29</f>
        <v>0</v>
      </c>
      <c r="G29" s="957"/>
      <c r="H29" s="1582"/>
    </row>
    <row r="30" spans="1:8" ht="16.2" customHeight="1" x14ac:dyDescent="0.25">
      <c r="A30" s="1805"/>
      <c r="B30" s="1521"/>
      <c r="C30" s="216" t="str">
        <f>F!C16</f>
        <v>50 to 95% of the AA.</v>
      </c>
      <c r="D30" s="44">
        <f>F!D16</f>
        <v>0</v>
      </c>
      <c r="E30" s="49">
        <v>3</v>
      </c>
      <c r="F30" s="45">
        <f>NoPermW10*E30</f>
        <v>0</v>
      </c>
      <c r="G30" s="957"/>
      <c r="H30" s="1582"/>
    </row>
    <row r="31" spans="1:8" ht="16.2" customHeight="1" thickBot="1" x14ac:dyDescent="0.3">
      <c r="A31" s="1806"/>
      <c r="B31" s="1523"/>
      <c r="C31" s="254" t="str">
        <f>F!C17</f>
        <v>&gt;95% of the AA.</v>
      </c>
      <c r="D31" s="17">
        <f>F!D17</f>
        <v>0</v>
      </c>
      <c r="E31" s="245">
        <v>4</v>
      </c>
      <c r="F31" s="193">
        <f>NoPermW10*E31</f>
        <v>0</v>
      </c>
      <c r="G31" s="958"/>
      <c r="H31" s="1600"/>
    </row>
    <row r="32" spans="1:8" ht="30" customHeight="1" thickBot="1" x14ac:dyDescent="0.3">
      <c r="A32" s="1805" t="str">
        <f>F!A18</f>
        <v>F5</v>
      </c>
      <c r="B32" s="1521" t="str">
        <f>F!B18</f>
        <v>Depth Class (Predominant)  (DepthDom)</v>
      </c>
      <c r="C32" s="4" t="str">
        <f>F!C18</f>
        <v>When water is present in the AA, the depth most of the time in most of inundated area is: 
[Note: NOT necessarily the maximum spatial or annual depth]</v>
      </c>
      <c r="D32" s="210"/>
      <c r="E32" s="65"/>
      <c r="F32" s="963"/>
      <c r="G32" s="954">
        <f>IF((NeverWater+TempWet&gt;0),"",MAX(F33:F37)/MAX(E33:E37))</f>
        <v>0</v>
      </c>
      <c r="H32" s="1582" t="s">
        <v>1619</v>
      </c>
    </row>
    <row r="33" spans="1:8" ht="16.2" customHeight="1" x14ac:dyDescent="0.25">
      <c r="A33" s="1805"/>
      <c r="B33" s="1521"/>
      <c r="C33" s="215" t="str">
        <f>F!C19</f>
        <v>&gt;0 to &lt;0.5 ft.</v>
      </c>
      <c r="D33" s="44">
        <f>F!D19</f>
        <v>0</v>
      </c>
      <c r="E33" s="49">
        <v>1</v>
      </c>
      <c r="F33" s="45">
        <f t="shared" ref="F33:F41" si="1">D33*E33</f>
        <v>0</v>
      </c>
      <c r="G33" s="956"/>
      <c r="H33" s="1582"/>
    </row>
    <row r="34" spans="1:8" ht="16.2" customHeight="1" x14ac:dyDescent="0.25">
      <c r="A34" s="1805"/>
      <c r="B34" s="1521"/>
      <c r="C34" s="216" t="str">
        <f>F!C20</f>
        <v>0.5 to &lt; 1 ft deep.</v>
      </c>
      <c r="D34" s="44">
        <f>F!D20</f>
        <v>0</v>
      </c>
      <c r="E34" s="49">
        <v>2</v>
      </c>
      <c r="F34" s="45">
        <f t="shared" si="1"/>
        <v>0</v>
      </c>
      <c r="G34" s="957"/>
      <c r="H34" s="1582"/>
    </row>
    <row r="35" spans="1:8" ht="16.2" customHeight="1" x14ac:dyDescent="0.25">
      <c r="A35" s="1805"/>
      <c r="B35" s="1521"/>
      <c r="C35" s="216" t="str">
        <f>F!C21</f>
        <v>1 to &lt;3 ft deep.</v>
      </c>
      <c r="D35" s="44">
        <f>F!D21</f>
        <v>0</v>
      </c>
      <c r="E35" s="49">
        <v>3</v>
      </c>
      <c r="F35" s="45">
        <f t="shared" si="1"/>
        <v>0</v>
      </c>
      <c r="G35" s="957"/>
      <c r="H35" s="1582"/>
    </row>
    <row r="36" spans="1:8" ht="16.2" customHeight="1" x14ac:dyDescent="0.25">
      <c r="A36" s="1805"/>
      <c r="B36" s="1521"/>
      <c r="C36" s="216" t="str">
        <f>F!C22</f>
        <v>3 to 6 ft deep.</v>
      </c>
      <c r="D36" s="44">
        <f>F!D22</f>
        <v>0</v>
      </c>
      <c r="E36" s="49">
        <v>4</v>
      </c>
      <c r="F36" s="45">
        <f t="shared" si="1"/>
        <v>0</v>
      </c>
      <c r="G36" s="957"/>
      <c r="H36" s="1582"/>
    </row>
    <row r="37" spans="1:8" ht="16.2" customHeight="1" thickBot="1" x14ac:dyDescent="0.3">
      <c r="A37" s="1805"/>
      <c r="B37" s="1521"/>
      <c r="C37" s="95" t="str">
        <f>F!C23</f>
        <v>&gt;6 ft deep.</v>
      </c>
      <c r="D37" s="198">
        <f>F!D23</f>
        <v>0</v>
      </c>
      <c r="E37" s="67">
        <v>6</v>
      </c>
      <c r="F37" s="54">
        <f t="shared" si="1"/>
        <v>0</v>
      </c>
      <c r="G37" s="959"/>
      <c r="H37" s="1582"/>
    </row>
    <row r="38" spans="1:8" ht="28.95" customHeight="1" thickBot="1" x14ac:dyDescent="0.3">
      <c r="A38" s="1804" t="str">
        <f>F!A24</f>
        <v>F6</v>
      </c>
      <c r="B38" s="1522" t="str">
        <f>F!B24</f>
        <v>Depth Class Distribution (DepthEven)</v>
      </c>
      <c r="C38" s="75" t="str">
        <f>F!C24</f>
        <v>Within the area described above, and during most of the time when surface water is present, the water area has: Select only one.</v>
      </c>
      <c r="D38" s="549"/>
      <c r="E38" s="210"/>
      <c r="F38" s="241"/>
      <c r="G38" s="815">
        <f>MAX(F39:F41)/MAX(E39:E41)</f>
        <v>0</v>
      </c>
      <c r="H38" s="1599" t="s">
        <v>1620</v>
      </c>
    </row>
    <row r="39" spans="1:8" ht="28.5" customHeight="1" x14ac:dyDescent="0.25">
      <c r="A39" s="1805"/>
      <c r="B39" s="1521"/>
      <c r="C39" s="215" t="str">
        <f>F!C25</f>
        <v>One depth class covering &gt;90% of the AA’s inundated area (use the classes in the question above).</v>
      </c>
      <c r="D39" s="44">
        <f>F!D25</f>
        <v>0</v>
      </c>
      <c r="E39" s="49">
        <v>1</v>
      </c>
      <c r="F39" s="45">
        <f t="shared" si="1"/>
        <v>0</v>
      </c>
      <c r="G39" s="956"/>
      <c r="H39" s="1582"/>
    </row>
    <row r="40" spans="1:8" ht="27" customHeight="1" x14ac:dyDescent="0.25">
      <c r="A40" s="1805"/>
      <c r="B40" s="1521"/>
      <c r="C40" s="216" t="str">
        <f>F!C26</f>
        <v>One depth class covering 51-90% of the AA’s inundated area (use the classes in the question above).</v>
      </c>
      <c r="D40" s="44">
        <f>F!D26</f>
        <v>0</v>
      </c>
      <c r="E40" s="49">
        <v>2</v>
      </c>
      <c r="F40" s="45">
        <f t="shared" si="1"/>
        <v>0</v>
      </c>
      <c r="G40" s="957"/>
      <c r="H40" s="1582"/>
    </row>
    <row r="41" spans="1:8" ht="16.2" customHeight="1" thickBot="1" x14ac:dyDescent="0.3">
      <c r="A41" s="1806"/>
      <c r="B41" s="1523"/>
      <c r="C41" s="254" t="str">
        <f>F!C27</f>
        <v>Neither of above.  There are 3 or more depth classes and none occupy &gt;50%.</v>
      </c>
      <c r="D41" s="17">
        <f>F!D27</f>
        <v>0</v>
      </c>
      <c r="E41" s="245">
        <v>3</v>
      </c>
      <c r="F41" s="193">
        <f t="shared" si="1"/>
        <v>0</v>
      </c>
      <c r="G41" s="958"/>
      <c r="H41" s="1600"/>
    </row>
    <row r="42" spans="1:8" ht="45" customHeight="1" thickBot="1" x14ac:dyDescent="0.3">
      <c r="A42" s="1805" t="str">
        <f>F!A28</f>
        <v>F7</v>
      </c>
      <c r="B42" s="1521" t="str">
        <f>F!B28</f>
        <v>Emergent Plants -- Area (EmArea)</v>
      </c>
      <c r="C42" s="4" t="str">
        <f>F!C28</f>
        <v>Consider just the area that has surface water for &gt;1 week during the growing season.  Herbaceous plants (not moss, not woody) whose foliage extends above a water surface in this area (i.e., emergents) cumulatively occupy an annual maximum of:</v>
      </c>
      <c r="D42" s="210"/>
      <c r="E42" s="65"/>
      <c r="F42" s="963"/>
      <c r="G42" s="954">
        <f>IF((NeverWater+TempWet&gt;0),"",MAX(F43:F48)/MAX(E43:E48))</f>
        <v>0</v>
      </c>
      <c r="H42" s="1521" t="s">
        <v>1621</v>
      </c>
    </row>
    <row r="43" spans="1:8" ht="28.5" customHeight="1" x14ac:dyDescent="0.25">
      <c r="A43" s="1805"/>
      <c r="B43" s="1521"/>
      <c r="C43" s="215" t="str">
        <f>F!C29</f>
        <v>&lt;0.01 acre (&lt; 400 sq.ft).  Enter 1 and SKIP TO F10, unless only part of a wetland is being assessed.</v>
      </c>
      <c r="D43" s="44">
        <f>F!D29</f>
        <v>0</v>
      </c>
      <c r="E43" s="49">
        <v>1</v>
      </c>
      <c r="F43" s="45">
        <f t="shared" ref="F43:F48" si="2">D43*E43</f>
        <v>0</v>
      </c>
      <c r="G43" s="956"/>
      <c r="H43" s="1521"/>
    </row>
    <row r="44" spans="1:8" ht="16.2" customHeight="1" x14ac:dyDescent="0.25">
      <c r="A44" s="1805"/>
      <c r="B44" s="1521"/>
      <c r="C44" s="216" t="str">
        <f>F!C30</f>
        <v>0.01 to&lt; 0.10 acres (3,920 sq. ft).</v>
      </c>
      <c r="D44" s="44">
        <f>F!D30</f>
        <v>0</v>
      </c>
      <c r="E44" s="49">
        <v>2</v>
      </c>
      <c r="F44" s="45">
        <f t="shared" si="2"/>
        <v>0</v>
      </c>
      <c r="G44" s="994"/>
      <c r="H44" s="1521"/>
    </row>
    <row r="45" spans="1:8" ht="16.2" customHeight="1" x14ac:dyDescent="0.25">
      <c r="A45" s="1805"/>
      <c r="B45" s="1521"/>
      <c r="C45" s="216" t="str">
        <f>F!C31</f>
        <v>0.10 to &lt;0.50 acres (21,340 sq. ft).</v>
      </c>
      <c r="D45" s="44">
        <f>F!D31</f>
        <v>0</v>
      </c>
      <c r="E45" s="49">
        <v>3</v>
      </c>
      <c r="F45" s="45">
        <f t="shared" si="2"/>
        <v>0</v>
      </c>
      <c r="G45" s="959"/>
      <c r="H45" s="1521"/>
    </row>
    <row r="46" spans="1:8" ht="16.2" customHeight="1" x14ac:dyDescent="0.25">
      <c r="A46" s="1805"/>
      <c r="B46" s="1521"/>
      <c r="C46" s="216" t="str">
        <f>F!C32</f>
        <v>0.50 to &lt;5 acres.</v>
      </c>
      <c r="D46" s="44">
        <f>F!D32</f>
        <v>0</v>
      </c>
      <c r="E46" s="49">
        <v>4</v>
      </c>
      <c r="F46" s="45">
        <f t="shared" si="2"/>
        <v>0</v>
      </c>
      <c r="G46" s="957"/>
      <c r="H46" s="1521"/>
    </row>
    <row r="47" spans="1:8" ht="16.2" customHeight="1" x14ac:dyDescent="0.25">
      <c r="A47" s="1805"/>
      <c r="B47" s="1521"/>
      <c r="C47" s="216" t="str">
        <f>F!C33</f>
        <v>5 to 50 acres.</v>
      </c>
      <c r="D47" s="44">
        <f>F!D33</f>
        <v>0</v>
      </c>
      <c r="E47" s="49">
        <v>5</v>
      </c>
      <c r="F47" s="45">
        <f t="shared" si="2"/>
        <v>0</v>
      </c>
      <c r="G47" s="956"/>
      <c r="H47" s="1521"/>
    </row>
    <row r="48" spans="1:8" ht="16.2" customHeight="1" thickBot="1" x14ac:dyDescent="0.3">
      <c r="A48" s="1805"/>
      <c r="B48" s="1521"/>
      <c r="C48" s="95" t="str">
        <f>F!C34</f>
        <v>&gt;50 acres.</v>
      </c>
      <c r="D48" s="198">
        <f>F!D34</f>
        <v>0</v>
      </c>
      <c r="E48" s="67">
        <v>6</v>
      </c>
      <c r="F48" s="54">
        <f t="shared" si="2"/>
        <v>0</v>
      </c>
      <c r="G48" s="959"/>
      <c r="H48" s="1521"/>
    </row>
    <row r="49" spans="1:8" ht="21" customHeight="1" thickBot="1" x14ac:dyDescent="0.3">
      <c r="A49" s="1804" t="str">
        <f>F!A35</f>
        <v>F8</v>
      </c>
      <c r="B49" s="1522" t="str">
        <f>F!B35</f>
        <v>% Emergent Plants (EmPct)</v>
      </c>
      <c r="C49" s="75" t="str">
        <f>F!C35</f>
        <v>Emergent plants occupy an annual maximum of:</v>
      </c>
      <c r="D49" s="549"/>
      <c r="E49" s="210"/>
      <c r="F49" s="192"/>
      <c r="G49" s="815">
        <f>IF((NeverWater+TempWet&gt;0),"",IF((TempWet=1),"",IF((NoEm=1),"", MAX(F50:F54)/MAX(E50:E54))))</f>
        <v>0</v>
      </c>
      <c r="H49" s="1522" t="s">
        <v>1680</v>
      </c>
    </row>
    <row r="50" spans="1:8" ht="16.2" customHeight="1" x14ac:dyDescent="0.25">
      <c r="A50" s="1805"/>
      <c r="B50" s="1521"/>
      <c r="C50" s="215" t="str">
        <f>F!C36</f>
        <v>&lt;5% of the parts of the AA that are inundated for &gt;7 days at some time of the year.</v>
      </c>
      <c r="D50" s="44">
        <f>F!D36</f>
        <v>0</v>
      </c>
      <c r="E50" s="49">
        <v>1</v>
      </c>
      <c r="F50" s="45">
        <f>D50*E50</f>
        <v>0</v>
      </c>
      <c r="G50" s="957"/>
      <c r="H50" s="1521"/>
    </row>
    <row r="51" spans="1:8" ht="16.2" customHeight="1" x14ac:dyDescent="0.25">
      <c r="A51" s="1805"/>
      <c r="B51" s="1521"/>
      <c r="C51" s="216" t="str">
        <f>F!C37</f>
        <v>5 to &lt;30% of the parts of the AA that are inundated for &gt;7 days at some time of the year.</v>
      </c>
      <c r="D51" s="44">
        <f>F!D37</f>
        <v>0</v>
      </c>
      <c r="E51" s="49">
        <v>4</v>
      </c>
      <c r="F51" s="45">
        <f>D51*E51</f>
        <v>0</v>
      </c>
      <c r="G51" s="957"/>
      <c r="H51" s="1521"/>
    </row>
    <row r="52" spans="1:8" ht="16.2" customHeight="1" x14ac:dyDescent="0.25">
      <c r="A52" s="1805"/>
      <c r="B52" s="1521"/>
      <c r="C52" s="216" t="str">
        <f>F!C38</f>
        <v>30 to &lt;60% of the parts of the AA that are inundated for &gt;7 days at some time of the year.</v>
      </c>
      <c r="D52" s="44">
        <f>F!D38</f>
        <v>0</v>
      </c>
      <c r="E52" s="49">
        <v>3</v>
      </c>
      <c r="F52" s="45">
        <f>D52*E52</f>
        <v>0</v>
      </c>
      <c r="G52" s="957"/>
      <c r="H52" s="1521"/>
    </row>
    <row r="53" spans="1:8" ht="16.2" customHeight="1" x14ac:dyDescent="0.25">
      <c r="A53" s="1805"/>
      <c r="B53" s="1521"/>
      <c r="C53" s="216" t="str">
        <f>F!C39</f>
        <v>60 to 95% of the parts of the AA that are inundated for &gt;7 days at some time of the year.</v>
      </c>
      <c r="D53" s="44">
        <f>F!D39</f>
        <v>0</v>
      </c>
      <c r="E53" s="49">
        <v>2</v>
      </c>
      <c r="F53" s="45">
        <f>D53*E53</f>
        <v>0</v>
      </c>
      <c r="G53" s="957"/>
      <c r="H53" s="1521"/>
    </row>
    <row r="54" spans="1:8" ht="16.2" customHeight="1" thickBot="1" x14ac:dyDescent="0.3">
      <c r="A54" s="1806"/>
      <c r="B54" s="1523"/>
      <c r="C54" s="254" t="str">
        <f>F!C40</f>
        <v>&gt;95% of the parts of the AA that are inundated for &gt;7 days at some time of the year.</v>
      </c>
      <c r="D54" s="17">
        <f>F!D40</f>
        <v>0</v>
      </c>
      <c r="E54" s="245">
        <v>2</v>
      </c>
      <c r="F54" s="193">
        <f>D54*E54</f>
        <v>0</v>
      </c>
      <c r="G54" s="958"/>
      <c r="H54" s="1523"/>
    </row>
    <row r="55" spans="1:8" ht="45" customHeight="1" thickBot="1" x14ac:dyDescent="0.3">
      <c r="A55" s="1805" t="str">
        <f>F!A83</f>
        <v>F16</v>
      </c>
      <c r="B55" s="1521" t="str">
        <f>F!B83</f>
        <v>All Ponded Water as a Percentage (Driest)  (PondWpctDry)</v>
      </c>
      <c r="C55" s="75" t="str">
        <f>F!C83</f>
        <v>When water levels are lowest, during a normal year, but surface water still occupies &gt;1,076 sq feet (100 sq meter) OR  &gt;1% of the AA (whichever is more), the water that is ponded (either visible or concealed by vegetation) in the AA occupies:</v>
      </c>
      <c r="D55" s="549"/>
      <c r="E55" s="65"/>
      <c r="F55" s="60"/>
      <c r="G55" s="954">
        <f>IF((NeverWater+TempWet&gt;0),"",IF((NoPond=1),"",MAX(F56:F61)/MAX(E56:E61)))</f>
        <v>0</v>
      </c>
      <c r="H55" s="1582" t="s">
        <v>1622</v>
      </c>
    </row>
    <row r="56" spans="1:8" ht="30" customHeight="1" x14ac:dyDescent="0.25">
      <c r="A56" s="1805"/>
      <c r="B56" s="1521"/>
      <c r="C56" s="215" t="str">
        <f>F!C84</f>
        <v xml:space="preserve">&lt;1% or none. Surface water is completely or nearly absent then, or is entirely flowing. Enter 1 and SKIP TO F22. </v>
      </c>
      <c r="D56" s="44">
        <f>F!D84</f>
        <v>0</v>
      </c>
      <c r="E56" s="49">
        <v>1</v>
      </c>
      <c r="F56" s="45">
        <f t="shared" ref="F56:F61" si="3">D56*E56</f>
        <v>0</v>
      </c>
      <c r="G56" s="957"/>
      <c r="H56" s="1582"/>
    </row>
    <row r="57" spans="1:8" ht="16.2" customHeight="1" x14ac:dyDescent="0.25">
      <c r="A57" s="1805"/>
      <c r="B57" s="1521"/>
      <c r="C57" s="216" t="str">
        <f>F!C85</f>
        <v>1 to 5% of the AA.</v>
      </c>
      <c r="D57" s="44">
        <f>F!D85</f>
        <v>0</v>
      </c>
      <c r="E57" s="49">
        <v>2</v>
      </c>
      <c r="F57" s="45">
        <f t="shared" si="3"/>
        <v>0</v>
      </c>
      <c r="G57" s="957"/>
      <c r="H57" s="1582"/>
    </row>
    <row r="58" spans="1:8" ht="16.2" customHeight="1" x14ac:dyDescent="0.25">
      <c r="A58" s="1805"/>
      <c r="B58" s="1521"/>
      <c r="C58" s="216" t="str">
        <f>F!C86</f>
        <v>5 to &lt;30% of the AA.</v>
      </c>
      <c r="D58" s="44">
        <f>F!D86</f>
        <v>0</v>
      </c>
      <c r="E58" s="49">
        <v>3</v>
      </c>
      <c r="F58" s="45">
        <f t="shared" si="3"/>
        <v>0</v>
      </c>
      <c r="G58" s="957"/>
      <c r="H58" s="1582"/>
    </row>
    <row r="59" spans="1:8" ht="16.2" customHeight="1" x14ac:dyDescent="0.25">
      <c r="A59" s="1805"/>
      <c r="B59" s="1521"/>
      <c r="C59" s="216" t="str">
        <f>F!C87</f>
        <v>30 to &lt;70% of the AA.</v>
      </c>
      <c r="D59" s="44">
        <f>F!D87</f>
        <v>0</v>
      </c>
      <c r="E59" s="49">
        <v>4</v>
      </c>
      <c r="F59" s="45">
        <f t="shared" si="3"/>
        <v>0</v>
      </c>
      <c r="G59" s="957"/>
      <c r="H59" s="1582"/>
    </row>
    <row r="60" spans="1:8" ht="16.2" customHeight="1" x14ac:dyDescent="0.25">
      <c r="A60" s="1805"/>
      <c r="B60" s="1521"/>
      <c r="C60" s="216" t="str">
        <f>F!C88</f>
        <v>70 to 95% of the AA.</v>
      </c>
      <c r="D60" s="44">
        <f>F!D88</f>
        <v>0</v>
      </c>
      <c r="E60" s="49">
        <v>2</v>
      </c>
      <c r="F60" s="45">
        <f t="shared" si="3"/>
        <v>0</v>
      </c>
      <c r="G60" s="957"/>
      <c r="H60" s="1582"/>
    </row>
    <row r="61" spans="1:8" ht="16.2" customHeight="1" thickBot="1" x14ac:dyDescent="0.3">
      <c r="A61" s="1805"/>
      <c r="B61" s="1521"/>
      <c r="C61" s="95" t="str">
        <f>F!C89</f>
        <v>&gt;95% of the AA.</v>
      </c>
      <c r="D61" s="17">
        <f>F!D89</f>
        <v>0</v>
      </c>
      <c r="E61" s="67">
        <v>1</v>
      </c>
      <c r="F61" s="54">
        <f t="shared" si="3"/>
        <v>0</v>
      </c>
      <c r="G61" s="959"/>
      <c r="H61" s="1582"/>
    </row>
    <row r="62" spans="1:8" ht="30" customHeight="1" thickBot="1" x14ac:dyDescent="0.3">
      <c r="A62" s="1804" t="str">
        <f>F!A106</f>
        <v>F20</v>
      </c>
      <c r="B62" s="1522" t="str">
        <f>F!B106</f>
        <v xml:space="preserve">Floating-leaved &amp; Submerged Aquatic Vegetation (SAV)  </v>
      </c>
      <c r="C62" s="836" t="str">
        <f>F!C106</f>
        <v>SAV (submerged &amp; floating-leaved aquatic vegetation, excluding the species listed above) occupies an annual maximum of:</v>
      </c>
      <c r="D62" s="549"/>
      <c r="E62" s="210"/>
      <c r="F62" s="955"/>
      <c r="G62" s="815">
        <f>IF((NeverWater+TempWet&gt;0),"",IF((TempWet=1),"",IF((NoPond2=1),"",IF((NoPondOW2=1),"",MAX(F63:F67)/MAX(E63:E67)))))</f>
        <v>0</v>
      </c>
      <c r="H62" s="1547" t="s">
        <v>1696</v>
      </c>
    </row>
    <row r="63" spans="1:8" ht="16.2" customHeight="1" x14ac:dyDescent="0.25">
      <c r="A63" s="1805"/>
      <c r="B63" s="1521"/>
      <c r="C63" s="449" t="str">
        <f>F!C107</f>
        <v>none, or &lt;5% of the water area.</v>
      </c>
      <c r="D63" s="44">
        <f>F!D107</f>
        <v>0</v>
      </c>
      <c r="E63" s="49">
        <v>0</v>
      </c>
      <c r="F63" s="45">
        <f>D63*E63</f>
        <v>0</v>
      </c>
      <c r="G63" s="60"/>
      <c r="H63" s="1548"/>
    </row>
    <row r="64" spans="1:8" ht="16.2" customHeight="1" x14ac:dyDescent="0.25">
      <c r="A64" s="1805"/>
      <c r="B64" s="1521"/>
      <c r="C64" s="450" t="str">
        <f>F!C108</f>
        <v>5 to &lt;25% of the water area.</v>
      </c>
      <c r="D64" s="44">
        <f>F!D108</f>
        <v>0</v>
      </c>
      <c r="E64" s="49">
        <v>2</v>
      </c>
      <c r="F64" s="45">
        <f>D64*E64</f>
        <v>0</v>
      </c>
      <c r="G64" s="59"/>
      <c r="H64" s="1548"/>
    </row>
    <row r="65" spans="1:8" ht="16.2" customHeight="1" x14ac:dyDescent="0.25">
      <c r="A65" s="1805"/>
      <c r="B65" s="1521"/>
      <c r="C65" s="450" t="str">
        <f>F!C109</f>
        <v>25 to &lt;50% of the water area.</v>
      </c>
      <c r="D65" s="44">
        <f>F!D109</f>
        <v>0</v>
      </c>
      <c r="E65" s="49">
        <v>3</v>
      </c>
      <c r="F65" s="45">
        <f>D65*E65</f>
        <v>0</v>
      </c>
      <c r="G65" s="59"/>
      <c r="H65" s="1548"/>
    </row>
    <row r="66" spans="1:8" ht="16.2" customHeight="1" x14ac:dyDescent="0.25">
      <c r="A66" s="1805"/>
      <c r="B66" s="1521"/>
      <c r="C66" s="450" t="str">
        <f>F!C110</f>
        <v>50 to 95% of the water area.</v>
      </c>
      <c r="D66" s="44">
        <f>F!D110</f>
        <v>0</v>
      </c>
      <c r="E66" s="49">
        <v>4</v>
      </c>
      <c r="F66" s="45">
        <f>D66*E66</f>
        <v>0</v>
      </c>
      <c r="G66" s="59"/>
      <c r="H66" s="1548"/>
    </row>
    <row r="67" spans="1:8" ht="16.2" customHeight="1" thickBot="1" x14ac:dyDescent="0.3">
      <c r="A67" s="1806"/>
      <c r="B67" s="1523"/>
      <c r="C67" s="443" t="str">
        <f>F!C111</f>
        <v>&gt;95% of the water area.</v>
      </c>
      <c r="D67" s="17">
        <f>F!D111</f>
        <v>0</v>
      </c>
      <c r="E67" s="245">
        <v>1</v>
      </c>
      <c r="F67" s="193">
        <f>D67*E67</f>
        <v>0</v>
      </c>
      <c r="G67" s="243"/>
      <c r="H67" s="1549"/>
    </row>
    <row r="68" spans="1:8" s="2" customFormat="1" ht="104.4" customHeight="1" thickBot="1" x14ac:dyDescent="0.3">
      <c r="A68" s="832" t="str">
        <f>F!A127</f>
        <v>F24</v>
      </c>
      <c r="B68" s="710" t="str">
        <f>F!B127</f>
        <v>Ice-free (IceDura)</v>
      </c>
      <c r="C68" s="2" t="str">
        <f>F!C127</f>
        <v>During most years, most of the AA's surface water (if any) does not freeze, or freezes for fewer than 4 continuous weeks. Enter 1, if true.</v>
      </c>
      <c r="D68" s="834">
        <f>F!D127</f>
        <v>0</v>
      </c>
      <c r="E68" s="93"/>
      <c r="F68" s="825"/>
      <c r="G68" s="995">
        <f>IF((NeverWater+TempWet&gt;0),"",D68)</f>
        <v>0</v>
      </c>
      <c r="H68" s="712" t="s">
        <v>1623</v>
      </c>
    </row>
    <row r="69" spans="1:8" s="2" customFormat="1" ht="33" customHeight="1" thickBot="1" x14ac:dyDescent="0.3">
      <c r="A69" s="833" t="str">
        <f>F!A145</f>
        <v>F28</v>
      </c>
      <c r="B69" s="114" t="str">
        <f>F!B145</f>
        <v>Fish &amp; Waterborne Pests (FishAcc)</v>
      </c>
      <c r="C69" s="226" t="str">
        <f>F!C148</f>
        <v>Fish (native or stocked) are known to be present in the AA, or can access it during at least one day annually.</v>
      </c>
      <c r="D69" s="220">
        <f>F!D148</f>
        <v>0</v>
      </c>
      <c r="E69" s="260"/>
      <c r="F69" s="835"/>
      <c r="G69" s="804">
        <f>D69</f>
        <v>0</v>
      </c>
      <c r="H69" s="114" t="s">
        <v>756</v>
      </c>
    </row>
    <row r="70" spans="1:8" s="2" customFormat="1" ht="30" customHeight="1" thickBot="1" x14ac:dyDescent="0.3">
      <c r="A70" s="1805" t="str">
        <f>F!A150</f>
        <v>F29</v>
      </c>
      <c r="B70" s="1521" t="str">
        <f>F!B150</f>
        <v>Non-native Aquatic Animals (PestAnim)</v>
      </c>
      <c r="C70" s="836" t="str">
        <f>F!C150</f>
        <v>The following are known or likely to have reproducing populations in this AA, its wetland, or in water bodies within 300 ft that connect to the AA at least seasonally.  Select All that apply:</v>
      </c>
      <c r="D70" s="549"/>
      <c r="E70" s="65"/>
      <c r="F70" s="60"/>
      <c r="G70" s="954">
        <f>IF((D71+D72&gt;0),0,1)</f>
        <v>1</v>
      </c>
      <c r="H70" s="1576" t="s">
        <v>1142</v>
      </c>
    </row>
    <row r="71" spans="1:8" s="2" customFormat="1" ht="16.2" customHeight="1" x14ac:dyDescent="0.25">
      <c r="A71" s="1805"/>
      <c r="B71" s="1521"/>
      <c r="C71" s="449" t="str">
        <f>F!C152</f>
        <v>Carp.</v>
      </c>
      <c r="D71" s="44">
        <f>F!D152</f>
        <v>0</v>
      </c>
      <c r="E71" s="65">
        <v>1</v>
      </c>
      <c r="F71" s="45">
        <f>D71*E71</f>
        <v>0</v>
      </c>
      <c r="G71" s="60"/>
      <c r="H71" s="1548"/>
    </row>
    <row r="72" spans="1:8" s="2" customFormat="1" ht="16.2" customHeight="1" thickBot="1" x14ac:dyDescent="0.3">
      <c r="A72" s="1805"/>
      <c r="B72" s="1521"/>
      <c r="C72" s="286" t="str">
        <f>F!C153</f>
        <v>Non-native fish that prey on tadpoles or turtles (e.g., bass, walleye, crappie, brook trout).</v>
      </c>
      <c r="D72" s="17">
        <f>F!D153</f>
        <v>0</v>
      </c>
      <c r="E72" s="93">
        <v>1</v>
      </c>
      <c r="F72" s="54">
        <f>D72*E72</f>
        <v>0</v>
      </c>
      <c r="G72" s="825"/>
      <c r="H72" s="1818"/>
    </row>
    <row r="73" spans="1:8" ht="82.5" customHeight="1" thickBot="1" x14ac:dyDescent="0.3">
      <c r="A73" s="1804" t="str">
        <f>F!A162</f>
        <v>F31</v>
      </c>
      <c r="B73" s="1522" t="str">
        <f>F!B162</f>
        <v>Outflow Duration (OutDura)</v>
      </c>
      <c r="C73" s="75"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73" s="549"/>
      <c r="E73" s="210"/>
      <c r="F73" s="955"/>
      <c r="G73" s="996">
        <f>MAX(F74:F77)/MAX(E74:E77)</f>
        <v>0</v>
      </c>
      <c r="H73" s="1599" t="s">
        <v>205</v>
      </c>
    </row>
    <row r="74" spans="1:8" ht="16.2" customHeight="1" x14ac:dyDescent="0.25">
      <c r="A74" s="1805"/>
      <c r="B74" s="1521"/>
      <c r="C74" s="265" t="str">
        <f>F!C163</f>
        <v>Persistent (&gt;9 months/year).</v>
      </c>
      <c r="D74" s="44">
        <f>F!D163</f>
        <v>0</v>
      </c>
      <c r="E74" s="49">
        <v>4</v>
      </c>
      <c r="F74" s="45">
        <f>D74*E74</f>
        <v>0</v>
      </c>
      <c r="G74" s="997"/>
      <c r="H74" s="1582"/>
    </row>
    <row r="75" spans="1:8" ht="16.2" customHeight="1" x14ac:dyDescent="0.25">
      <c r="A75" s="1805"/>
      <c r="B75" s="1521"/>
      <c r="C75" s="266" t="str">
        <f>F!C164</f>
        <v>Seasonal (14 days to 9 months/year, not necessarily consecutive).</v>
      </c>
      <c r="D75" s="44">
        <f>F!D164</f>
        <v>0</v>
      </c>
      <c r="E75" s="49">
        <v>3</v>
      </c>
      <c r="F75" s="45">
        <f>D75*E75</f>
        <v>0</v>
      </c>
      <c r="G75" s="998"/>
      <c r="H75" s="1582"/>
    </row>
    <row r="76" spans="1:8" ht="16.2" customHeight="1" x14ac:dyDescent="0.25">
      <c r="A76" s="1805"/>
      <c r="B76" s="1521"/>
      <c r="C76" s="266" t="str">
        <f>F!C165</f>
        <v>Temporary (&lt;14 days, not necessarily consecutive).</v>
      </c>
      <c r="D76" s="44">
        <f>F!D165</f>
        <v>0</v>
      </c>
      <c r="E76" s="49">
        <v>2</v>
      </c>
      <c r="F76" s="45">
        <f>D76*E76</f>
        <v>0</v>
      </c>
      <c r="G76" s="998"/>
      <c r="H76" s="1582"/>
    </row>
    <row r="77" spans="1:8" ht="42" customHeight="1" thickBot="1" x14ac:dyDescent="0.3">
      <c r="A77" s="1806"/>
      <c r="B77" s="1523"/>
      <c r="C77" s="262" t="str">
        <f>F!C166</f>
        <v xml:space="preserve">None -- no surface water flows out of the wetland except possibly during extreme events (&lt;once per 10 years). Or, water flows only into a wetland, ditch, or lake that lacks an outlet. Enter 1  and SKIP TO F33. </v>
      </c>
      <c r="D77" s="198">
        <f>F!D166</f>
        <v>0</v>
      </c>
      <c r="E77" s="245">
        <v>0</v>
      </c>
      <c r="F77" s="193">
        <f>D77*E77</f>
        <v>0</v>
      </c>
      <c r="G77" s="999"/>
      <c r="H77" s="1600"/>
    </row>
    <row r="78" spans="1:8" ht="45" customHeight="1" thickBot="1" x14ac:dyDescent="0.3">
      <c r="A78" s="1805" t="str">
        <f>F!A177</f>
        <v>F35</v>
      </c>
      <c r="B78" s="1521" t="str">
        <f>F!B177</f>
        <v>Throughflow Complexity (ThruFlo)</v>
      </c>
      <c r="C78" s="244" t="str">
        <f>F!C177</f>
        <v>[Skip this question if the AA lacks both an inlet and outlet.]  During peak annual flow, water entering the AA in channels encounters which of the following conditions as it travels through the AA: Select the ONE encountered most.</v>
      </c>
      <c r="D78" s="549"/>
      <c r="E78" s="65"/>
      <c r="F78" s="963"/>
      <c r="G78" s="954">
        <f>IF(AND(Inflow=0,NoOutlet=1),"",MAX(F79:F83)/MAX(E79:E83))</f>
        <v>0</v>
      </c>
      <c r="H78" s="1582" t="s">
        <v>1719</v>
      </c>
    </row>
    <row r="79" spans="1:8" ht="42" customHeight="1" x14ac:dyDescent="0.25">
      <c r="A79" s="1805"/>
      <c r="B79" s="1521"/>
      <c r="C79" s="215"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79" s="44">
        <f>F!D178</f>
        <v>0</v>
      </c>
      <c r="E79" s="49">
        <v>1</v>
      </c>
      <c r="F79" s="45">
        <f>D79*E79</f>
        <v>0</v>
      </c>
      <c r="G79" s="956"/>
      <c r="H79" s="1582"/>
    </row>
    <row r="80" spans="1:8" ht="16.2" customHeight="1" x14ac:dyDescent="0.25">
      <c r="A80" s="1805"/>
      <c r="B80" s="1521"/>
      <c r="C80" s="216" t="str">
        <f>F!C179</f>
        <v>Bumps into herbaceous vegetation but mostly remains in fairly straight channels.</v>
      </c>
      <c r="D80" s="44">
        <f>F!D179</f>
        <v>0</v>
      </c>
      <c r="E80" s="49">
        <v>2</v>
      </c>
      <c r="F80" s="45">
        <f>D80*E80</f>
        <v>0</v>
      </c>
      <c r="G80" s="957"/>
      <c r="H80" s="1582"/>
    </row>
    <row r="81" spans="1:8" ht="27" customHeight="1" x14ac:dyDescent="0.25">
      <c r="A81" s="1805"/>
      <c r="B81" s="1521"/>
      <c r="C81" s="216" t="str">
        <f>F!C180</f>
        <v>Bumps into herbaceous vegetation and mostly spreads throughout, or follows a fairly indirect path (in widely meandering, multi-branched, or braided channels).</v>
      </c>
      <c r="D81" s="44">
        <f>F!D180</f>
        <v>0</v>
      </c>
      <c r="E81" s="49">
        <v>4</v>
      </c>
      <c r="F81" s="45">
        <f>D81*E81</f>
        <v>0</v>
      </c>
      <c r="G81" s="957"/>
      <c r="H81" s="1582"/>
    </row>
    <row r="82" spans="1:8" ht="16.2" customHeight="1" x14ac:dyDescent="0.25">
      <c r="A82" s="1805"/>
      <c r="B82" s="1521"/>
      <c r="C82" s="216" t="str">
        <f>F!C181</f>
        <v>Bumps into tree trunks and/or shrub stems but mostly remains in fairly straight channels.</v>
      </c>
      <c r="D82" s="44">
        <f>F!D181</f>
        <v>0</v>
      </c>
      <c r="E82" s="49">
        <v>3</v>
      </c>
      <c r="F82" s="45">
        <f>D82*E82</f>
        <v>0</v>
      </c>
      <c r="G82" s="957"/>
      <c r="H82" s="1582"/>
    </row>
    <row r="83" spans="1:8" ht="27" customHeight="1" thickBot="1" x14ac:dyDescent="0.3">
      <c r="A83" s="1805"/>
      <c r="B83" s="1521"/>
      <c r="C83" s="95" t="str">
        <f>F!C182</f>
        <v>Bumps into tree trunks and/or shrub stems and follows a fairly indirect path  (meandering, multi-branched, or braided) from entrance to exit.</v>
      </c>
      <c r="D83" s="198">
        <f>F!D182</f>
        <v>0</v>
      </c>
      <c r="E83" s="67">
        <v>4</v>
      </c>
      <c r="F83" s="54">
        <f>D83*E83</f>
        <v>0</v>
      </c>
      <c r="G83" s="959"/>
      <c r="H83" s="1582"/>
    </row>
    <row r="84" spans="1:8" s="2" customFormat="1" ht="21" customHeight="1" thickBot="1" x14ac:dyDescent="0.3">
      <c r="A84" s="1804" t="str">
        <f>F!A188</f>
        <v>F37</v>
      </c>
      <c r="B84" s="1522" t="str">
        <f>F!B188</f>
        <v xml:space="preserve">Groundwater Strength of Evidence (Groundw) </v>
      </c>
      <c r="C84" s="836" t="str">
        <f>F!C188</f>
        <v>Select first one that applies:</v>
      </c>
      <c r="D84" s="549"/>
      <c r="E84" s="210"/>
      <c r="F84" s="241"/>
      <c r="G84" s="815">
        <f>MAX(F85:F88)/MAX(E85:E88)</f>
        <v>0</v>
      </c>
      <c r="H84" s="1522" t="s">
        <v>1144</v>
      </c>
    </row>
    <row r="85" spans="1:8" s="2" customFormat="1" ht="99" customHeight="1" x14ac:dyDescent="0.25">
      <c r="A85" s="1960"/>
      <c r="B85" s="1714"/>
      <c r="C85" s="449"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85" s="44">
        <f>F!D189</f>
        <v>0</v>
      </c>
      <c r="E85" s="49">
        <v>3</v>
      </c>
      <c r="F85" s="45">
        <f>D85*E85</f>
        <v>0</v>
      </c>
      <c r="G85" s="792"/>
      <c r="H85" s="1521"/>
    </row>
    <row r="86" spans="1:8" s="2" customFormat="1" ht="99" customHeight="1" x14ac:dyDescent="0.25">
      <c r="A86" s="1960"/>
      <c r="B86" s="1714"/>
      <c r="C86" s="450"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86" s="44">
        <f>F!D190</f>
        <v>0</v>
      </c>
      <c r="E86" s="49">
        <v>2</v>
      </c>
      <c r="F86" s="45">
        <f>D86*E86</f>
        <v>0</v>
      </c>
      <c r="G86" s="792"/>
      <c r="H86" s="1521"/>
    </row>
    <row r="87" spans="1:8" s="2" customFormat="1" ht="39" customHeight="1" x14ac:dyDescent="0.25">
      <c r="A87" s="1960"/>
      <c r="B87" s="1714"/>
      <c r="C87" s="450" t="str">
        <f>F!C191</f>
        <v>The AA is not in an Arid or Semi-arid hydrologic unit, but has persistent ponded water, no tributary, and is not fed by wastewater, concentrated stormwater, or irrigation water, or by an adjacent river or lake.</v>
      </c>
      <c r="D87" s="44">
        <f>F!D191</f>
        <v>0</v>
      </c>
      <c r="E87" s="49">
        <v>1</v>
      </c>
      <c r="F87" s="45">
        <f>D87*E87</f>
        <v>0</v>
      </c>
      <c r="G87" s="793"/>
      <c r="H87" s="1521"/>
    </row>
    <row r="88" spans="1:8" s="2" customFormat="1" ht="27" customHeight="1" thickBot="1" x14ac:dyDescent="0.3">
      <c r="A88" s="1961"/>
      <c r="B88" s="1715"/>
      <c r="C88" s="443" t="str">
        <f>F!C192</f>
        <v>None of above is true, OR AA contains a hot spring. Some groundwater may nonetheless discharge to or flow through the wetland.</v>
      </c>
      <c r="D88" s="17">
        <f>F!D192</f>
        <v>0</v>
      </c>
      <c r="E88" s="245">
        <v>0</v>
      </c>
      <c r="F88" s="193">
        <f>D88*E88</f>
        <v>0</v>
      </c>
      <c r="G88" s="976"/>
      <c r="H88" s="1523"/>
    </row>
    <row r="89" spans="1:8" ht="45" customHeight="1" thickBot="1" x14ac:dyDescent="0.3">
      <c r="A89" s="1821" t="str">
        <f>F!A240</f>
        <v>F48</v>
      </c>
      <c r="B89" s="1522" t="str">
        <f>F!B240</f>
        <v>Abovewater Wood (WoodOver)</v>
      </c>
      <c r="C89" s="836" t="str">
        <f>F!C240</f>
        <v>The number of horizontal wood pieces thicker than 4 inches that are partly submerged during most of the spring or early summer, thus potentially serving as basking sites for turtles, birds, or frogs and cover for fish is:</v>
      </c>
      <c r="D89" s="549"/>
      <c r="E89" s="65"/>
      <c r="F89" s="60"/>
      <c r="G89" s="954">
        <f>IF((NeverWater+TempWet&gt;0),"",IF((TempWet=1),"",IF((HistOpenland=1),"",MAX(F90:F92)/MAX(E90:E92))))</f>
        <v>0</v>
      </c>
      <c r="H89" s="1521" t="s">
        <v>1738</v>
      </c>
    </row>
    <row r="90" spans="1:8" ht="16.2" customHeight="1" x14ac:dyDescent="0.25">
      <c r="A90" s="1822"/>
      <c r="B90" s="1521"/>
      <c r="C90" s="449" t="str">
        <f>F!C241</f>
        <v>None.</v>
      </c>
      <c r="D90" s="44">
        <f>F!D241</f>
        <v>0</v>
      </c>
      <c r="E90" s="65">
        <v>0</v>
      </c>
      <c r="F90" s="59">
        <f>D90*E90</f>
        <v>0</v>
      </c>
      <c r="G90" s="59"/>
      <c r="H90" s="1521"/>
    </row>
    <row r="91" spans="1:8" ht="16.2" customHeight="1" x14ac:dyDescent="0.25">
      <c r="A91" s="1822"/>
      <c r="B91" s="1521"/>
      <c r="C91" s="450" t="str">
        <f>F!C242</f>
        <v>Few.</v>
      </c>
      <c r="D91" s="44">
        <f>F!D242</f>
        <v>0</v>
      </c>
      <c r="E91" s="65">
        <v>1</v>
      </c>
      <c r="F91" s="59">
        <f>D91*E91</f>
        <v>0</v>
      </c>
      <c r="G91" s="59"/>
      <c r="H91" s="1521"/>
    </row>
    <row r="92" spans="1:8" ht="16.2" customHeight="1" thickBot="1" x14ac:dyDescent="0.3">
      <c r="A92" s="1825"/>
      <c r="B92" s="1523"/>
      <c r="C92" s="1000" t="str">
        <f>F!C243</f>
        <v>Several (e.g., &gt;3 per 300 ft of channel or shoreline).</v>
      </c>
      <c r="D92" s="17">
        <f>F!D243</f>
        <v>0</v>
      </c>
      <c r="E92" s="193">
        <v>2</v>
      </c>
      <c r="F92" s="193">
        <f>D92*E92</f>
        <v>0</v>
      </c>
      <c r="G92" s="58"/>
      <c r="H92" s="1521"/>
    </row>
    <row r="93" spans="1:8" ht="33" customHeight="1" thickBot="1" x14ac:dyDescent="0.3">
      <c r="A93" s="967" t="str">
        <f>S!A3</f>
        <v>S1</v>
      </c>
      <c r="B93" s="892" t="str">
        <f>S!B3</f>
        <v>Aberrant Timing of Water Inputs (AltTiming)</v>
      </c>
      <c r="C93" s="965" t="str">
        <f>S!E18</f>
        <v>Final score=</v>
      </c>
      <c r="D93" s="248">
        <f>1-(S!F18)</f>
        <v>1</v>
      </c>
      <c r="E93" s="93"/>
      <c r="F93" s="825"/>
      <c r="G93" s="849">
        <f>D93</f>
        <v>1</v>
      </c>
      <c r="H93" s="4" t="s">
        <v>895</v>
      </c>
    </row>
    <row r="94" spans="1:8" ht="45" customHeight="1" thickBot="1" x14ac:dyDescent="0.3">
      <c r="A94" s="1001" t="str">
        <f>S!A33</f>
        <v>S3</v>
      </c>
      <c r="B94" s="255" t="str">
        <f>S!B33</f>
        <v>Accelerated Inputs of Contaminants and/or Salts (ContamIn).</v>
      </c>
      <c r="C94" s="919" t="str">
        <f>S!E50</f>
        <v>Final score=</v>
      </c>
      <c r="D94" s="248">
        <f>1-(S!F50)</f>
        <v>1</v>
      </c>
      <c r="E94" s="260"/>
      <c r="F94" s="835"/>
      <c r="G94" s="849">
        <f>D94</f>
        <v>1</v>
      </c>
      <c r="H94" s="4" t="s">
        <v>896</v>
      </c>
    </row>
    <row r="95" spans="1:8" ht="45" customHeight="1" thickBot="1" x14ac:dyDescent="0.3">
      <c r="A95" s="1002" t="str">
        <f>S!A51</f>
        <v>S4</v>
      </c>
      <c r="B95" s="892" t="str">
        <f>S!B51</f>
        <v>Excessive Sediment Loading from Runoff Contributing Area (SedRCA).</v>
      </c>
      <c r="C95" s="965" t="str">
        <f>S!E68</f>
        <v>Final score=</v>
      </c>
      <c r="D95" s="248">
        <f>1-(S!F68)</f>
        <v>1</v>
      </c>
      <c r="E95" s="93"/>
      <c r="F95" s="825"/>
      <c r="G95" s="849">
        <f>D95</f>
        <v>1</v>
      </c>
      <c r="H95" s="712" t="s">
        <v>897</v>
      </c>
    </row>
    <row r="96" spans="1:8" s="372" customFormat="1" ht="48.75" customHeight="1" thickBot="1" x14ac:dyDescent="0.3">
      <c r="A96" s="1003" t="s">
        <v>126</v>
      </c>
      <c r="B96" s="363" t="s">
        <v>1463</v>
      </c>
      <c r="C96" s="1004" t="s">
        <v>1271</v>
      </c>
      <c r="D96" s="1005" t="s">
        <v>115</v>
      </c>
      <c r="E96" s="1006" t="s">
        <v>771</v>
      </c>
      <c r="F96" s="363" t="s">
        <v>1474</v>
      </c>
      <c r="G96" s="808" t="s">
        <v>770</v>
      </c>
      <c r="H96" s="363" t="s">
        <v>772</v>
      </c>
    </row>
    <row r="97" spans="1:8" ht="30" customHeight="1" thickBot="1" x14ac:dyDescent="0.3">
      <c r="A97" s="870" t="str">
        <f>OF!A103</f>
        <v>OF17</v>
      </c>
      <c r="B97" s="1522" t="str">
        <f>OF!B103</f>
        <v>Non-anadromous Fish Species of Conservation Concern (RareFR)</v>
      </c>
      <c r="C97" s="114" t="str">
        <f>OF!C103</f>
        <v xml:space="preserve">According to the ORWAP Report, the score for occurrences of rare non-anadromous fish species in the vicinity of this AA is: </v>
      </c>
      <c r="D97" s="952"/>
      <c r="E97" s="1007"/>
      <c r="F97" s="258"/>
      <c r="G97" s="809">
        <f>MAX(F98:F101)/MAX(E98:E101)</f>
        <v>0</v>
      </c>
      <c r="H97" s="1522" t="s">
        <v>249</v>
      </c>
    </row>
    <row r="98" spans="1:8" ht="42" customHeight="1" x14ac:dyDescent="0.25">
      <c r="A98" s="871"/>
      <c r="B98" s="1521"/>
      <c r="C98" s="449" t="str">
        <f>OF!C104</f>
        <v>High (≥ 0.75 for maximum score, or ≥ 0.90 for this group's sum score), or there is a recent (within 5 years) onsite observation of any of these species by a qualified observer under conditions similar to what now occur.</v>
      </c>
      <c r="D98" s="44">
        <f>OF!D104</f>
        <v>0</v>
      </c>
      <c r="E98" s="952">
        <v>3</v>
      </c>
      <c r="F98" s="59">
        <f>D98*E98</f>
        <v>0</v>
      </c>
      <c r="G98" s="994"/>
      <c r="H98" s="1521"/>
    </row>
    <row r="99" spans="1:8" ht="16.2" customHeight="1" x14ac:dyDescent="0.25">
      <c r="A99" s="871"/>
      <c r="B99" s="1521"/>
      <c r="C99" s="450" t="str">
        <f>OF!C105</f>
        <v>Intermediate (i.e., not as described above or below).</v>
      </c>
      <c r="D99" s="44">
        <f>OF!D105</f>
        <v>0</v>
      </c>
      <c r="E99" s="952">
        <v>2</v>
      </c>
      <c r="F99" s="59">
        <f>D99*E99</f>
        <v>0</v>
      </c>
      <c r="G99" s="959"/>
      <c r="H99" s="1521"/>
    </row>
    <row r="100" spans="1:8" ht="16.2" customHeight="1" x14ac:dyDescent="0.25">
      <c r="A100" s="871"/>
      <c r="B100" s="1521"/>
      <c r="C100" s="450" t="str">
        <f>OF!C106</f>
        <v>Low (≤ 0.33 for both the maximum score this group's sum score, but not 0 for both).</v>
      </c>
      <c r="D100" s="44">
        <f>OF!D106</f>
        <v>0</v>
      </c>
      <c r="E100" s="952">
        <v>1</v>
      </c>
      <c r="F100" s="58">
        <f>D100*E100</f>
        <v>0</v>
      </c>
      <c r="G100" s="959"/>
      <c r="H100" s="1521"/>
    </row>
    <row r="101" spans="1:8" ht="27" customHeight="1" thickBot="1" x14ac:dyDescent="0.3">
      <c r="A101" s="873"/>
      <c r="B101" s="1523"/>
      <c r="C101" s="443" t="str">
        <f>OF!C107</f>
        <v>Zero for both this group's maximum and its sum score, and no recent onsite observation of these species by a qualified observer under conditions similar to what now occur.</v>
      </c>
      <c r="D101" s="17">
        <f>OF!D107</f>
        <v>0</v>
      </c>
      <c r="E101" s="1008">
        <v>0</v>
      </c>
      <c r="F101" s="243">
        <f>D101*E101</f>
        <v>0</v>
      </c>
      <c r="G101" s="958"/>
      <c r="H101" s="1523"/>
    </row>
    <row r="102" spans="1:8" ht="43.2" customHeight="1" thickBot="1" x14ac:dyDescent="0.3">
      <c r="A102" s="1597" t="str">
        <f>OF!A220</f>
        <v>OF42</v>
      </c>
      <c r="B102" s="1521" t="str">
        <f>OF!B220</f>
        <v>Zoning (Zoning)</v>
      </c>
      <c r="C102" s="836" t="str">
        <f>OF!C220</f>
        <v>According to ORWAP Map Viewer's Oregon Zoning layer, the dominant zoned land use designation for currently undeveloped parcels upslope from the AA and within 300 ft. of its upland edge is:</v>
      </c>
      <c r="D102" s="549"/>
      <c r="E102" s="1009"/>
      <c r="F102" s="46"/>
      <c r="G102" s="809">
        <f>IF((D106=1),"",MAX(F103:F105)/MAX(E103:E105))</f>
        <v>0</v>
      </c>
      <c r="H102" s="1521" t="s">
        <v>722</v>
      </c>
    </row>
    <row r="103" spans="1:8" ht="27" customHeight="1" x14ac:dyDescent="0.25">
      <c r="A103" s="1598"/>
      <c r="B103" s="1521"/>
      <c r="C103" s="449" t="str">
        <f>OF!C221</f>
        <v>Development (Commercial, Industrial, Urban Residential, etc.), or no undeveloped parcels exist upslope from the AA.</v>
      </c>
      <c r="D103" s="44">
        <f>OF!D221</f>
        <v>0</v>
      </c>
      <c r="E103" s="952">
        <v>3</v>
      </c>
      <c r="F103" s="58">
        <f>D103*E103</f>
        <v>0</v>
      </c>
      <c r="G103" s="956"/>
      <c r="H103" s="1521"/>
    </row>
    <row r="104" spans="1:8" ht="16.2" customHeight="1" x14ac:dyDescent="0.25">
      <c r="A104" s="1598"/>
      <c r="B104" s="1521"/>
      <c r="C104" s="449" t="str">
        <f>OF!C222</f>
        <v>Agriculture or Rural Residential.</v>
      </c>
      <c r="D104" s="44">
        <f>OF!D222</f>
        <v>0</v>
      </c>
      <c r="E104" s="952">
        <v>2</v>
      </c>
      <c r="F104" s="58">
        <f>D104*E104</f>
        <v>0</v>
      </c>
      <c r="G104" s="957"/>
      <c r="H104" s="1521"/>
    </row>
    <row r="105" spans="1:8" ht="16.2" customHeight="1" x14ac:dyDescent="0.25">
      <c r="A105" s="1598"/>
      <c r="B105" s="1521"/>
      <c r="C105" s="449" t="str">
        <f>OF!C223</f>
        <v>Forest or Open Space, or entirely public lands.</v>
      </c>
      <c r="D105" s="44">
        <f>OF!D223</f>
        <v>0</v>
      </c>
      <c r="E105" s="952">
        <v>1</v>
      </c>
      <c r="F105" s="58">
        <f>D105*E105</f>
        <v>0</v>
      </c>
      <c r="G105" s="957"/>
      <c r="H105" s="1521"/>
    </row>
    <row r="106" spans="1:8" ht="16.2" customHeight="1" thickBot="1" x14ac:dyDescent="0.3">
      <c r="A106" s="1627"/>
      <c r="B106" s="1521"/>
      <c r="C106" s="11" t="str">
        <f>OF!C224</f>
        <v>Not zoned, or no information.</v>
      </c>
      <c r="D106" s="17">
        <f>OF!D224</f>
        <v>0</v>
      </c>
      <c r="E106" s="1010"/>
      <c r="F106" s="54"/>
      <c r="G106" s="959"/>
      <c r="H106" s="1521"/>
    </row>
    <row r="107" spans="1:8" ht="45" customHeight="1" thickBot="1" x14ac:dyDescent="0.3">
      <c r="A107" s="879" t="str">
        <f>F!A340</f>
        <v>F70</v>
      </c>
      <c r="B107" s="114" t="str">
        <f>F!B340</f>
        <v>Consumptive Uses (Provisioning Services)  (Hunt)</v>
      </c>
      <c r="C107" s="226" t="str">
        <f>F!C344</f>
        <v>Fishing.</v>
      </c>
      <c r="D107" s="220">
        <f>F!D344</f>
        <v>0</v>
      </c>
      <c r="E107" s="1011"/>
      <c r="F107" s="835"/>
      <c r="G107" s="813">
        <f>D107</f>
        <v>0</v>
      </c>
      <c r="H107" s="4" t="s">
        <v>112</v>
      </c>
    </row>
    <row r="108" spans="1:8" ht="30" customHeight="1" thickBot="1" x14ac:dyDescent="0.3">
      <c r="A108" s="1012" t="s">
        <v>822</v>
      </c>
      <c r="B108" s="714" t="s">
        <v>824</v>
      </c>
      <c r="C108" s="1013" t="str">
        <f>WBF!C269</f>
        <v>Function Score for Feeding Waterbird Habitat</v>
      </c>
      <c r="D108" s="1014"/>
      <c r="E108" s="1015"/>
      <c r="F108" s="1015"/>
      <c r="G108" s="882">
        <f>FscoreWBF/10</f>
        <v>2.0833333333333332E-2</v>
      </c>
      <c r="H108" s="714" t="s">
        <v>424</v>
      </c>
    </row>
    <row r="109" spans="1:8" ht="21" customHeight="1" thickBot="1" x14ac:dyDescent="0.3">
      <c r="A109" s="11"/>
      <c r="B109" s="11"/>
      <c r="C109" s="1016"/>
      <c r="D109" s="1017"/>
      <c r="F109" s="1018"/>
      <c r="G109" s="1019"/>
      <c r="H109" s="393"/>
    </row>
    <row r="110" spans="1:8" ht="21" customHeight="1" x14ac:dyDescent="0.25">
      <c r="A110" s="11"/>
      <c r="B110" s="11"/>
      <c r="C110" s="1834" t="s">
        <v>610</v>
      </c>
      <c r="D110" s="1948" t="s">
        <v>131</v>
      </c>
      <c r="E110" s="1949"/>
      <c r="F110" s="1949"/>
      <c r="G110" s="986">
        <f>AVERAGE(Hydropd10,PermWpct10,PondWpctDry10,DepthDom10,DepthEven10,Groundw10,OutDura10)</f>
        <v>0</v>
      </c>
      <c r="H110" s="933" t="s">
        <v>1531</v>
      </c>
    </row>
    <row r="111" spans="1:8" ht="28.5" customHeight="1" x14ac:dyDescent="0.25">
      <c r="A111" s="11"/>
      <c r="B111" s="11"/>
      <c r="C111" s="1962"/>
      <c r="D111" s="1950" t="s">
        <v>129</v>
      </c>
      <c r="E111" s="1951"/>
      <c r="F111" s="1951"/>
      <c r="G111" s="987">
        <f>IF((NeverWater+TempWet&gt;0), "", AVERAGE(ThruFlo10,_SAV10,EmArea10, EmPct10,_GDD10,WoodOver10))</f>
        <v>0</v>
      </c>
      <c r="H111" s="934" t="s">
        <v>2245</v>
      </c>
    </row>
    <row r="112" spans="1:8" ht="30.75" customHeight="1" thickBot="1" x14ac:dyDescent="0.3">
      <c r="A112" s="11"/>
      <c r="B112" s="11"/>
      <c r="C112" s="1963"/>
      <c r="D112" s="1955" t="s">
        <v>1400</v>
      </c>
      <c r="E112" s="1955"/>
      <c r="F112" s="1950"/>
      <c r="G112" s="987">
        <f>AVERAGE(PestAnim10,AVERAGE(AltTiming10,ContamIn10,SedRCA10,WQin10,ConnecUp10), AVERAGE(_GDD10,IceDura10))</f>
        <v>0.66666666666666663</v>
      </c>
      <c r="H112" s="1020" t="s">
        <v>2248</v>
      </c>
    </row>
    <row r="113" spans="2:10" ht="33" customHeight="1" thickBot="1" x14ac:dyDescent="0.3">
      <c r="B113" s="11"/>
      <c r="C113" s="1807" t="s">
        <v>214</v>
      </c>
      <c r="D113" s="1808"/>
      <c r="E113" s="1809"/>
      <c r="F113" s="983" t="s">
        <v>6</v>
      </c>
      <c r="G113" s="782">
        <f>10*(IF((Tidal=1),TidalScoreFA,IF((FishAcc10=0),0, IF((NeverWater+Playa&gt;0),0,AVERAGE(Hydro10,Struc10,Stress10)))))</f>
        <v>0</v>
      </c>
      <c r="H113" s="251" t="s">
        <v>1532</v>
      </c>
      <c r="J113" s="8"/>
    </row>
    <row r="114" spans="2:10" ht="33" customHeight="1" thickBot="1" x14ac:dyDescent="0.3">
      <c r="B114" s="11"/>
      <c r="C114" s="1871" t="s">
        <v>215</v>
      </c>
      <c r="D114" s="1872"/>
      <c r="E114" s="1873"/>
      <c r="F114" s="983" t="s">
        <v>7</v>
      </c>
      <c r="G114" s="989">
        <f>10*(MAX(RareFish10, AVERAGE(RareFish10,FscoreWBFv10,Fishing10v,Zoning10v)))</f>
        <v>5.2083333333333329E-2</v>
      </c>
      <c r="H114" s="984" t="s">
        <v>668</v>
      </c>
    </row>
    <row r="115" spans="2:10" ht="21" customHeight="1" thickBot="1" x14ac:dyDescent="0.3">
      <c r="B115" s="11"/>
      <c r="C115" s="7"/>
      <c r="D115" s="14"/>
      <c r="E115" s="14"/>
    </row>
    <row r="116" spans="2:10" ht="21" customHeight="1" thickBot="1" x14ac:dyDescent="0.3">
      <c r="B116" s="11"/>
      <c r="C116" s="1021"/>
      <c r="D116" s="14"/>
      <c r="E116" s="14"/>
      <c r="H116" s="1022" t="s">
        <v>859</v>
      </c>
    </row>
    <row r="117" spans="2:10" ht="27" customHeight="1" x14ac:dyDescent="0.25">
      <c r="B117" s="11"/>
      <c r="C117" s="7"/>
      <c r="D117" s="14"/>
      <c r="E117" s="14"/>
      <c r="H117" s="716" t="s">
        <v>1338</v>
      </c>
    </row>
    <row r="118" spans="2:10" ht="27" customHeight="1" thickBot="1" x14ac:dyDescent="0.3">
      <c r="B118" s="11"/>
      <c r="C118" s="7"/>
      <c r="D118" s="14"/>
      <c r="E118" s="14"/>
      <c r="H118" s="716" t="s">
        <v>1339</v>
      </c>
    </row>
    <row r="119" spans="2:10" ht="30.6" customHeight="1" x14ac:dyDescent="0.25">
      <c r="B119" s="11"/>
      <c r="C119" s="7"/>
      <c r="D119" s="14"/>
      <c r="E119" s="14"/>
      <c r="H119" s="724" t="s">
        <v>1781</v>
      </c>
    </row>
    <row r="120" spans="2:10" ht="27" customHeight="1" x14ac:dyDescent="0.25">
      <c r="B120" s="11"/>
      <c r="C120" s="7"/>
      <c r="D120" s="14"/>
      <c r="E120" s="14"/>
      <c r="H120" s="725" t="s">
        <v>1018</v>
      </c>
    </row>
    <row r="121" spans="2:10" ht="42" customHeight="1" x14ac:dyDescent="0.25">
      <c r="B121" s="11"/>
      <c r="C121" s="7"/>
      <c r="D121" s="14"/>
      <c r="E121" s="14"/>
      <c r="H121" s="725" t="s">
        <v>1023</v>
      </c>
    </row>
    <row r="122" spans="2:10" ht="27" customHeight="1" x14ac:dyDescent="0.25">
      <c r="H122" s="716" t="s">
        <v>1340</v>
      </c>
    </row>
    <row r="123" spans="2:10" ht="27" customHeight="1" x14ac:dyDescent="0.25">
      <c r="H123" s="716" t="s">
        <v>1341</v>
      </c>
    </row>
    <row r="124" spans="2:10" ht="27" customHeight="1" x14ac:dyDescent="0.25">
      <c r="H124" s="716" t="s">
        <v>1342</v>
      </c>
    </row>
    <row r="125" spans="2:10" ht="27" customHeight="1" x14ac:dyDescent="0.25">
      <c r="H125" s="716" t="s">
        <v>1343</v>
      </c>
    </row>
    <row r="126" spans="2:10" ht="27" customHeight="1" x14ac:dyDescent="0.25">
      <c r="H126" s="725" t="s">
        <v>1032</v>
      </c>
    </row>
    <row r="127" spans="2:10" ht="42" thickBot="1" x14ac:dyDescent="0.3">
      <c r="H127" s="726" t="s">
        <v>1031</v>
      </c>
    </row>
  </sheetData>
  <sheetProtection password="C74A" sheet="1" objects="1" scenarios="1" formatCells="0" formatColumns="0" formatRows="0"/>
  <customSheetViews>
    <customSheetView guid="{B8E02330-2419-4DE6-AD01-7ACC7A5D18DD}" scale="75">
      <selection activeCell="H120" sqref="A2:H120"/>
      <pageMargins left="0.75" right="0.75" top="1" bottom="1" header="0.5" footer="0.5"/>
      <pageSetup orientation="portrait" r:id="rId1"/>
      <headerFooter alignWithMargins="0"/>
    </customSheetView>
  </customSheetViews>
  <mergeCells count="64">
    <mergeCell ref="E1:H1"/>
    <mergeCell ref="B89:B92"/>
    <mergeCell ref="C113:E113"/>
    <mergeCell ref="C114:E114"/>
    <mergeCell ref="A1:B1"/>
    <mergeCell ref="B3:B4"/>
    <mergeCell ref="B5:B8"/>
    <mergeCell ref="B9:B12"/>
    <mergeCell ref="A27:A31"/>
    <mergeCell ref="A21:A26"/>
    <mergeCell ref="A3:A4"/>
    <mergeCell ref="A5:A8"/>
    <mergeCell ref="H3:H4"/>
    <mergeCell ref="H5:H8"/>
    <mergeCell ref="H55:H61"/>
    <mergeCell ref="A9:A12"/>
    <mergeCell ref="H9:H12"/>
    <mergeCell ref="A32:A37"/>
    <mergeCell ref="A42:A48"/>
    <mergeCell ref="A49:A54"/>
    <mergeCell ref="B13:B20"/>
    <mergeCell ref="A13:A20"/>
    <mergeCell ref="H13:H20"/>
    <mergeCell ref="B21:B26"/>
    <mergeCell ref="B27:B31"/>
    <mergeCell ref="A38:A41"/>
    <mergeCell ref="H21:H26"/>
    <mergeCell ref="H38:H41"/>
    <mergeCell ref="B38:B41"/>
    <mergeCell ref="H27:H31"/>
    <mergeCell ref="B49:B54"/>
    <mergeCell ref="D111:F111"/>
    <mergeCell ref="A102:A106"/>
    <mergeCell ref="C110:C112"/>
    <mergeCell ref="D112:F112"/>
    <mergeCell ref="D110:F110"/>
    <mergeCell ref="B102:B106"/>
    <mergeCell ref="A89:A92"/>
    <mergeCell ref="A84:A88"/>
    <mergeCell ref="A73:A77"/>
    <mergeCell ref="B78:B83"/>
    <mergeCell ref="B62:B67"/>
    <mergeCell ref="A78:A83"/>
    <mergeCell ref="A55:A61"/>
    <mergeCell ref="B73:B77"/>
    <mergeCell ref="B70:B72"/>
    <mergeCell ref="A70:A72"/>
    <mergeCell ref="A62:A67"/>
    <mergeCell ref="H102:H106"/>
    <mergeCell ref="B97:B101"/>
    <mergeCell ref="B32:B37"/>
    <mergeCell ref="H32:H37"/>
    <mergeCell ref="H42:H48"/>
    <mergeCell ref="H49:H54"/>
    <mergeCell ref="B42:B48"/>
    <mergeCell ref="H97:H101"/>
    <mergeCell ref="H89:H92"/>
    <mergeCell ref="H73:H77"/>
    <mergeCell ref="B84:B88"/>
    <mergeCell ref="H84:H88"/>
    <mergeCell ref="H78:H83"/>
    <mergeCell ref="H70:H72"/>
    <mergeCell ref="B55:B61"/>
    <mergeCell ref="H62:H67"/>
  </mergeCells>
  <phoneticPr fontId="3" type="noConversion"/>
  <pageMargins left="0.75" right="0.75" top="1" bottom="1" header="0.5" footer="0.5"/>
  <pageSetup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7"/>
  <dimension ref="A1:BB720"/>
  <sheetViews>
    <sheetView zoomScaleNormal="100" workbookViewId="0">
      <selection activeCell="G281" sqref="G281:G290"/>
    </sheetView>
  </sheetViews>
  <sheetFormatPr defaultColWidth="9.33203125" defaultRowHeight="13.8" x14ac:dyDescent="0.25"/>
  <cols>
    <col min="1" max="1" width="5.77734375" style="2" customWidth="1"/>
    <col min="2" max="2" width="18.77734375" style="2" customWidth="1"/>
    <col min="3" max="3" width="75.77734375" style="2" customWidth="1"/>
    <col min="4" max="4" width="6.77734375" style="48" customWidth="1"/>
    <col min="5" max="5" width="8.77734375" style="48" customWidth="1"/>
    <col min="6" max="6" width="10.44140625" style="66" customWidth="1"/>
    <col min="7" max="7" width="12.44140625" style="10" customWidth="1"/>
    <col min="8" max="8" width="75.77734375" style="2" customWidth="1"/>
    <col min="9" max="9" width="14.6640625" style="3" customWidth="1"/>
    <col min="10" max="16384" width="9.33203125" style="3"/>
  </cols>
  <sheetData>
    <row r="1" spans="1:8" s="99" customFormat="1" ht="66" customHeight="1" thickBot="1" x14ac:dyDescent="0.3">
      <c r="A1" s="1826" t="s">
        <v>1546</v>
      </c>
      <c r="B1" s="1827"/>
      <c r="C1" s="151" t="s">
        <v>2247</v>
      </c>
      <c r="D1" s="1023" t="s">
        <v>1179</v>
      </c>
      <c r="E1" s="1992"/>
      <c r="F1" s="1993"/>
      <c r="G1" s="1993"/>
      <c r="H1" s="1993"/>
    </row>
    <row r="2" spans="1:8" s="435" customFormat="1" ht="45" customHeight="1" thickBot="1" x14ac:dyDescent="0.3">
      <c r="A2" s="1024" t="s">
        <v>126</v>
      </c>
      <c r="B2" s="1025" t="s">
        <v>1458</v>
      </c>
      <c r="C2" s="1026" t="s">
        <v>1271</v>
      </c>
      <c r="D2" s="1025" t="s">
        <v>115</v>
      </c>
      <c r="E2" s="1027" t="s">
        <v>771</v>
      </c>
      <c r="F2" s="1025" t="s">
        <v>1461</v>
      </c>
      <c r="G2" s="1028" t="s">
        <v>1273</v>
      </c>
      <c r="H2" s="1025" t="s">
        <v>772</v>
      </c>
    </row>
    <row r="3" spans="1:8" ht="30" customHeight="1" thickBot="1" x14ac:dyDescent="0.3">
      <c r="A3" s="1989" t="str">
        <f>OF!A4</f>
        <v>OF1</v>
      </c>
      <c r="B3" s="1599" t="str">
        <f>OF!B4</f>
        <v>Distance to Extensive Perennial Cover (DistPerCov)</v>
      </c>
      <c r="C3" s="836" t="str">
        <f>OF!C4</f>
        <v>The distance from the AA edge to the edge of the closest patch or corridor of perennial cover (see definition in column E) larger than 100 acres is:</v>
      </c>
      <c r="D3" s="549"/>
      <c r="E3" s="210"/>
      <c r="F3" s="955"/>
      <c r="G3" s="948">
        <f>MAX(F4:F9)/MAX(E4:E9)</f>
        <v>0</v>
      </c>
      <c r="H3" s="1599" t="s">
        <v>22</v>
      </c>
    </row>
    <row r="4" spans="1:8" ht="16.2" customHeight="1" x14ac:dyDescent="0.25">
      <c r="A4" s="1990"/>
      <c r="B4" s="1582"/>
      <c r="C4" s="11" t="str">
        <f>OF!C5</f>
        <v>&lt;100 ft.</v>
      </c>
      <c r="D4" s="44">
        <f>OF!D5</f>
        <v>0</v>
      </c>
      <c r="E4" s="848">
        <v>7</v>
      </c>
      <c r="F4" s="45">
        <f t="shared" ref="F4:F9" si="0">D4*E4</f>
        <v>0</v>
      </c>
      <c r="G4" s="956"/>
      <c r="H4" s="1582"/>
    </row>
    <row r="5" spans="1:8" ht="16.2" customHeight="1" x14ac:dyDescent="0.25">
      <c r="A5" s="1990"/>
      <c r="B5" s="1582"/>
      <c r="C5" s="286" t="str">
        <f>OF!C6</f>
        <v>100 to &lt;300 ft.</v>
      </c>
      <c r="D5" s="44">
        <f>OF!D6</f>
        <v>0</v>
      </c>
      <c r="E5" s="49">
        <v>6</v>
      </c>
      <c r="F5" s="45">
        <f t="shared" si="0"/>
        <v>0</v>
      </c>
      <c r="G5" s="957"/>
      <c r="H5" s="1582"/>
    </row>
    <row r="6" spans="1:8" ht="16.2" customHeight="1" x14ac:dyDescent="0.25">
      <c r="A6" s="1990"/>
      <c r="B6" s="1582"/>
      <c r="C6" s="286" t="str">
        <f>OF!C7</f>
        <v>300 to &lt;1000 ft.</v>
      </c>
      <c r="D6" s="44">
        <f>OF!D7</f>
        <v>0</v>
      </c>
      <c r="E6" s="49">
        <v>5</v>
      </c>
      <c r="F6" s="45">
        <f t="shared" si="0"/>
        <v>0</v>
      </c>
      <c r="G6" s="959"/>
      <c r="H6" s="1582"/>
    </row>
    <row r="7" spans="1:8" ht="16.2" customHeight="1" x14ac:dyDescent="0.25">
      <c r="A7" s="1990"/>
      <c r="B7" s="1582"/>
      <c r="C7" s="286" t="str">
        <f>OF!C8</f>
        <v>1000 ft. to &lt;0.5 mile.</v>
      </c>
      <c r="D7" s="44">
        <f>OF!D8</f>
        <v>0</v>
      </c>
      <c r="E7" s="49">
        <v>3</v>
      </c>
      <c r="F7" s="45">
        <f t="shared" si="0"/>
        <v>0</v>
      </c>
      <c r="G7" s="959"/>
      <c r="H7" s="1582"/>
    </row>
    <row r="8" spans="1:8" ht="16.2" customHeight="1" x14ac:dyDescent="0.25">
      <c r="A8" s="1990"/>
      <c r="B8" s="1582"/>
      <c r="C8" s="286" t="str">
        <f>OF!C9</f>
        <v>0.5 mile to 2 miles.</v>
      </c>
      <c r="D8" s="44">
        <f>OF!D9</f>
        <v>0</v>
      </c>
      <c r="E8" s="49">
        <v>2</v>
      </c>
      <c r="F8" s="45">
        <f t="shared" si="0"/>
        <v>0</v>
      </c>
      <c r="G8" s="957"/>
      <c r="H8" s="1582"/>
    </row>
    <row r="9" spans="1:8" ht="16.2" customHeight="1" thickBot="1" x14ac:dyDescent="0.3">
      <c r="A9" s="1990"/>
      <c r="B9" s="1582"/>
      <c r="C9" s="286" t="str">
        <f>OF!C10</f>
        <v>&gt; 2 miles.</v>
      </c>
      <c r="D9" s="198">
        <f>OF!D10</f>
        <v>0</v>
      </c>
      <c r="E9" s="67">
        <v>1</v>
      </c>
      <c r="F9" s="54">
        <f t="shared" si="0"/>
        <v>0</v>
      </c>
      <c r="G9" s="959"/>
      <c r="H9" s="1582"/>
    </row>
    <row r="10" spans="1:8" ht="30" customHeight="1" thickBot="1" x14ac:dyDescent="0.3">
      <c r="A10" s="1989" t="str">
        <f>OF!A15</f>
        <v>OF3</v>
      </c>
      <c r="B10" s="1599" t="str">
        <f>OF!B15</f>
        <v>Distance to Ponded Water (DistPond)</v>
      </c>
      <c r="C10" s="836" t="str">
        <f>OF!C15</f>
        <v>The distance from the AA edge to the closest (but separate) body of nontidal fresh water (wetland, pond, or lake) that  is ponded all or most of the year is:</v>
      </c>
      <c r="D10" s="549"/>
      <c r="E10" s="210"/>
      <c r="F10" s="955"/>
      <c r="G10" s="948">
        <f>MAX(F11:F16)/MAX(E11:E16)</f>
        <v>0</v>
      </c>
      <c r="H10" s="1599" t="s">
        <v>63</v>
      </c>
    </row>
    <row r="11" spans="1:8" ht="16.2" customHeight="1" x14ac:dyDescent="0.25">
      <c r="A11" s="1990"/>
      <c r="B11" s="1582"/>
      <c r="C11" s="11" t="str">
        <f>OF!C16</f>
        <v>&lt;100 ft.</v>
      </c>
      <c r="D11" s="44">
        <f>OF!D16</f>
        <v>0</v>
      </c>
      <c r="E11" s="49">
        <v>10</v>
      </c>
      <c r="F11" s="45">
        <f t="shared" ref="F11:F16" si="1">D11*E11</f>
        <v>0</v>
      </c>
      <c r="G11" s="956"/>
      <c r="H11" s="1582"/>
    </row>
    <row r="12" spans="1:8" ht="16.2" customHeight="1" x14ac:dyDescent="0.25">
      <c r="A12" s="1990"/>
      <c r="B12" s="1582"/>
      <c r="C12" s="286" t="str">
        <f>OF!C17</f>
        <v>100 to &lt;300 ft.</v>
      </c>
      <c r="D12" s="44">
        <f>OF!D17</f>
        <v>0</v>
      </c>
      <c r="E12" s="49">
        <v>8</v>
      </c>
      <c r="F12" s="45">
        <f t="shared" si="1"/>
        <v>0</v>
      </c>
      <c r="G12" s="957"/>
      <c r="H12" s="1582"/>
    </row>
    <row r="13" spans="1:8" ht="16.2" customHeight="1" x14ac:dyDescent="0.25">
      <c r="A13" s="1990"/>
      <c r="B13" s="1582"/>
      <c r="C13" s="286" t="str">
        <f>OF!C18</f>
        <v>300 to &lt;1000 ft.</v>
      </c>
      <c r="D13" s="44">
        <f>OF!D18</f>
        <v>0</v>
      </c>
      <c r="E13" s="49">
        <v>5</v>
      </c>
      <c r="F13" s="45">
        <f t="shared" si="1"/>
        <v>0</v>
      </c>
      <c r="G13" s="957"/>
      <c r="H13" s="1582"/>
    </row>
    <row r="14" spans="1:8" ht="16.2" customHeight="1" x14ac:dyDescent="0.25">
      <c r="A14" s="1990"/>
      <c r="B14" s="1582"/>
      <c r="C14" s="286" t="str">
        <f>OF!C19</f>
        <v>1000 ft. to &lt; 0.5 mile.</v>
      </c>
      <c r="D14" s="44">
        <f>OF!D19</f>
        <v>0</v>
      </c>
      <c r="E14" s="49">
        <v>2</v>
      </c>
      <c r="F14" s="45">
        <f t="shared" si="1"/>
        <v>0</v>
      </c>
      <c r="G14" s="957"/>
      <c r="H14" s="1582"/>
    </row>
    <row r="15" spans="1:8" ht="16.2" customHeight="1" x14ac:dyDescent="0.25">
      <c r="A15" s="1990"/>
      <c r="B15" s="1582"/>
      <c r="C15" s="286" t="str">
        <f>OF!C20</f>
        <v>0.5 mile to 2 miles.</v>
      </c>
      <c r="D15" s="44">
        <f>OF!D20</f>
        <v>0</v>
      </c>
      <c r="E15" s="49">
        <v>1</v>
      </c>
      <c r="F15" s="45">
        <f t="shared" si="1"/>
        <v>0</v>
      </c>
      <c r="G15" s="957"/>
      <c r="H15" s="1582"/>
    </row>
    <row r="16" spans="1:8" ht="16.2" customHeight="1" thickBot="1" x14ac:dyDescent="0.3">
      <c r="A16" s="1991"/>
      <c r="B16" s="1600"/>
      <c r="C16" s="443" t="str">
        <f>OF!C21</f>
        <v>&gt;2 miles.</v>
      </c>
      <c r="D16" s="198">
        <f>OF!D21</f>
        <v>0</v>
      </c>
      <c r="E16" s="245">
        <v>0</v>
      </c>
      <c r="F16" s="193">
        <f t="shared" si="1"/>
        <v>0</v>
      </c>
      <c r="G16" s="958"/>
      <c r="H16" s="1600"/>
    </row>
    <row r="17" spans="1:8" ht="30" customHeight="1" thickBot="1" x14ac:dyDescent="0.3">
      <c r="A17" s="1990" t="str">
        <f>OF!A33</f>
        <v>OF6</v>
      </c>
      <c r="B17" s="1582" t="str">
        <f>OF!B33</f>
        <v>Distance to Nearest Busy Road (DistRd)</v>
      </c>
      <c r="C17" s="4" t="str">
        <f>OF!C33</f>
        <v>The distance from the AA center to the nearest road with an average daytime traffic rate of at least 1 vehicle/ minute is:</v>
      </c>
      <c r="D17" s="65"/>
      <c r="E17" s="1009"/>
      <c r="F17" s="60"/>
      <c r="G17" s="947">
        <f>MAX(F18:F23)/MAX(E18:E23)</f>
        <v>0</v>
      </c>
      <c r="H17" s="1582" t="s">
        <v>212</v>
      </c>
    </row>
    <row r="18" spans="1:8" ht="16.2" customHeight="1" x14ac:dyDescent="0.25">
      <c r="A18" s="1990"/>
      <c r="B18" s="1582"/>
      <c r="C18" s="2" t="str">
        <f>OF!C34</f>
        <v>&lt;100 ft.</v>
      </c>
      <c r="D18" s="44">
        <f>OF!D34</f>
        <v>0</v>
      </c>
      <c r="E18" s="952">
        <v>0</v>
      </c>
      <c r="F18" s="45">
        <f t="shared" ref="F18:F23" si="2">D18*E18</f>
        <v>0</v>
      </c>
      <c r="G18" s="956"/>
      <c r="H18" s="1582"/>
    </row>
    <row r="19" spans="1:8" ht="16.2" customHeight="1" x14ac:dyDescent="0.25">
      <c r="A19" s="1990"/>
      <c r="B19" s="1582"/>
      <c r="C19" s="95" t="str">
        <f>OF!C35</f>
        <v>100 to &lt;300 ft.</v>
      </c>
      <c r="D19" s="44">
        <f>OF!D35</f>
        <v>0</v>
      </c>
      <c r="E19" s="952">
        <v>1</v>
      </c>
      <c r="F19" s="45">
        <f t="shared" si="2"/>
        <v>0</v>
      </c>
      <c r="G19" s="957"/>
      <c r="H19" s="1582"/>
    </row>
    <row r="20" spans="1:8" ht="16.2" customHeight="1" x14ac:dyDescent="0.25">
      <c r="A20" s="1990"/>
      <c r="B20" s="1582"/>
      <c r="C20" s="95" t="str">
        <f>OF!C36</f>
        <v>300 to &lt; 0.5 mile.</v>
      </c>
      <c r="D20" s="44">
        <f>OF!D36</f>
        <v>0</v>
      </c>
      <c r="E20" s="952">
        <v>2</v>
      </c>
      <c r="F20" s="45">
        <f t="shared" si="2"/>
        <v>0</v>
      </c>
      <c r="G20" s="957"/>
      <c r="H20" s="1582"/>
    </row>
    <row r="21" spans="1:8" ht="16.2" customHeight="1" x14ac:dyDescent="0.25">
      <c r="A21" s="1990"/>
      <c r="B21" s="1582"/>
      <c r="C21" s="95" t="str">
        <f>OF!C37</f>
        <v>0.5 to &lt;1 miles.</v>
      </c>
      <c r="D21" s="44">
        <f>OF!D37</f>
        <v>0</v>
      </c>
      <c r="E21" s="952">
        <v>4</v>
      </c>
      <c r="F21" s="45">
        <f t="shared" si="2"/>
        <v>0</v>
      </c>
      <c r="G21" s="957"/>
      <c r="H21" s="1582"/>
    </row>
    <row r="22" spans="1:8" ht="16.2" customHeight="1" x14ac:dyDescent="0.25">
      <c r="A22" s="1990"/>
      <c r="B22" s="1582"/>
      <c r="C22" s="95" t="str">
        <f>OF!C38</f>
        <v>1 to 2 miles.</v>
      </c>
      <c r="D22" s="44">
        <f>OF!D38</f>
        <v>0</v>
      </c>
      <c r="E22" s="952">
        <v>5</v>
      </c>
      <c r="F22" s="45">
        <f t="shared" si="2"/>
        <v>0</v>
      </c>
      <c r="G22" s="957"/>
      <c r="H22" s="1582"/>
    </row>
    <row r="23" spans="1:8" ht="16.2" customHeight="1" thickBot="1" x14ac:dyDescent="0.3">
      <c r="A23" s="1990"/>
      <c r="B23" s="1582"/>
      <c r="C23" s="95" t="str">
        <f>OF!C39</f>
        <v>&gt;2 miles.</v>
      </c>
      <c r="D23" s="198">
        <f>OF!D39</f>
        <v>0</v>
      </c>
      <c r="E23" s="1010">
        <v>6</v>
      </c>
      <c r="F23" s="54">
        <f t="shared" si="2"/>
        <v>0</v>
      </c>
      <c r="G23" s="959"/>
      <c r="H23" s="1582"/>
    </row>
    <row r="24" spans="1:8" ht="30" customHeight="1" thickBot="1" x14ac:dyDescent="0.3">
      <c r="A24" s="1989" t="str">
        <f>OF!A40</f>
        <v>OF7</v>
      </c>
      <c r="B24" s="1599" t="str">
        <f>OF!B40</f>
        <v>Size of Largest Nearby Patch of Perennial Cover (SizePerenn)</v>
      </c>
      <c r="C24" s="4" t="str">
        <f>OF!C40</f>
        <v>Including the AA's vegetated area, the largest patch or corridor that is perennial cover and is contiguous with vegetation in the AA , occupies:</v>
      </c>
      <c r="D24" s="65"/>
      <c r="E24" s="210"/>
      <c r="F24" s="955"/>
      <c r="G24" s="948">
        <f>MAX(F25:F29)/MAX(E25:E29)</f>
        <v>0</v>
      </c>
      <c r="H24" s="1599" t="s">
        <v>2001</v>
      </c>
    </row>
    <row r="25" spans="1:8" ht="16.2" customHeight="1" x14ac:dyDescent="0.25">
      <c r="A25" s="1990"/>
      <c r="B25" s="1582"/>
      <c r="C25" s="2" t="str">
        <f>OF!C41</f>
        <v>&lt;.01 acre.</v>
      </c>
      <c r="D25" s="44">
        <f>OF!D41</f>
        <v>0</v>
      </c>
      <c r="E25" s="848">
        <v>1</v>
      </c>
      <c r="F25" s="45">
        <f t="shared" ref="F25:F35" si="3">D25*E25</f>
        <v>0</v>
      </c>
      <c r="G25" s="956"/>
      <c r="H25" s="1582"/>
    </row>
    <row r="26" spans="1:8" ht="16.2" customHeight="1" x14ac:dyDescent="0.25">
      <c r="A26" s="1990"/>
      <c r="B26" s="1582"/>
      <c r="C26" s="95" t="str">
        <f>OF!C43</f>
        <v>1 to &lt;10 acres.</v>
      </c>
      <c r="D26" s="44">
        <f>OF!D43</f>
        <v>0</v>
      </c>
      <c r="E26" s="848">
        <v>3</v>
      </c>
      <c r="F26" s="45">
        <f t="shared" si="3"/>
        <v>0</v>
      </c>
      <c r="G26" s="957"/>
      <c r="H26" s="1582"/>
    </row>
    <row r="27" spans="1:8" ht="16.2" customHeight="1" x14ac:dyDescent="0.25">
      <c r="A27" s="1990"/>
      <c r="B27" s="1582"/>
      <c r="C27" s="95" t="str">
        <f>OF!C44</f>
        <v>10 to &lt;100 acres.</v>
      </c>
      <c r="D27" s="44">
        <f>OF!D44</f>
        <v>0</v>
      </c>
      <c r="E27" s="848">
        <v>4</v>
      </c>
      <c r="F27" s="45">
        <f t="shared" si="3"/>
        <v>0</v>
      </c>
      <c r="G27" s="957"/>
      <c r="H27" s="1582"/>
    </row>
    <row r="28" spans="1:8" ht="16.2" customHeight="1" x14ac:dyDescent="0.25">
      <c r="A28" s="1990"/>
      <c r="B28" s="1582"/>
      <c r="C28" s="95" t="str">
        <f>OF!C45</f>
        <v>100 to &lt;1000 acres.</v>
      </c>
      <c r="D28" s="44">
        <f>OF!D45</f>
        <v>0</v>
      </c>
      <c r="E28" s="848">
        <v>5</v>
      </c>
      <c r="F28" s="45">
        <f t="shared" si="3"/>
        <v>0</v>
      </c>
      <c r="G28" s="957"/>
      <c r="H28" s="1582"/>
    </row>
    <row r="29" spans="1:8" ht="16.2" customHeight="1" thickBot="1" x14ac:dyDescent="0.3">
      <c r="A29" s="1991"/>
      <c r="B29" s="1600"/>
      <c r="C29" s="254" t="str">
        <f>OF!C47</f>
        <v>&gt;10,000 acres.</v>
      </c>
      <c r="D29" s="17">
        <f>OF!D47</f>
        <v>0</v>
      </c>
      <c r="E29" s="470">
        <v>6</v>
      </c>
      <c r="F29" s="193">
        <f t="shared" si="3"/>
        <v>0</v>
      </c>
      <c r="G29" s="958"/>
      <c r="H29" s="1600"/>
    </row>
    <row r="30" spans="1:8" ht="30" customHeight="1" thickBot="1" x14ac:dyDescent="0.3">
      <c r="A30" s="1990" t="str">
        <f>OF!A53</f>
        <v>OF9</v>
      </c>
      <c r="B30" s="1582" t="str">
        <f>OF!B53</f>
        <v>Perennial Cover Percentage (PerCovPct)</v>
      </c>
      <c r="C30" s="75" t="str">
        <f>OF!C53</f>
        <v>Within a 2-mile radius of the AA center, the percentage of land that has perennial cover is:</v>
      </c>
      <c r="D30" s="549"/>
      <c r="E30" s="865"/>
      <c r="F30" s="46"/>
      <c r="G30" s="947">
        <f>MAX(F31:F35)/MAX(E31:E35)</f>
        <v>0</v>
      </c>
      <c r="H30" s="1582" t="s">
        <v>1131</v>
      </c>
    </row>
    <row r="31" spans="1:8" ht="16.2" customHeight="1" x14ac:dyDescent="0.25">
      <c r="A31" s="1990"/>
      <c r="B31" s="1582"/>
      <c r="C31" s="2" t="str">
        <f>OF!C54</f>
        <v>&lt;5% of the land.</v>
      </c>
      <c r="D31" s="44">
        <f>OF!D54</f>
        <v>0</v>
      </c>
      <c r="E31" s="49">
        <v>1</v>
      </c>
      <c r="F31" s="45">
        <f t="shared" si="3"/>
        <v>0</v>
      </c>
      <c r="G31" s="957"/>
      <c r="H31" s="1582"/>
    </row>
    <row r="32" spans="1:8" ht="16.2" customHeight="1" x14ac:dyDescent="0.25">
      <c r="A32" s="1990"/>
      <c r="B32" s="1582"/>
      <c r="C32" s="95" t="str">
        <f>OF!C55</f>
        <v>5 to &lt;20% of the land.</v>
      </c>
      <c r="D32" s="44">
        <f>OF!D55</f>
        <v>0</v>
      </c>
      <c r="E32" s="49">
        <v>2</v>
      </c>
      <c r="F32" s="45">
        <f t="shared" si="3"/>
        <v>0</v>
      </c>
      <c r="G32" s="957"/>
      <c r="H32" s="1582"/>
    </row>
    <row r="33" spans="1:8" ht="16.2" customHeight="1" x14ac:dyDescent="0.25">
      <c r="A33" s="1990"/>
      <c r="B33" s="1582"/>
      <c r="C33" s="95" t="str">
        <f>OF!C56</f>
        <v>20 to &lt;60% of the land.</v>
      </c>
      <c r="D33" s="44">
        <f>OF!D56</f>
        <v>0</v>
      </c>
      <c r="E33" s="49">
        <v>3</v>
      </c>
      <c r="F33" s="45">
        <f t="shared" si="3"/>
        <v>0</v>
      </c>
      <c r="G33" s="957"/>
      <c r="H33" s="1582"/>
    </row>
    <row r="34" spans="1:8" ht="16.2" customHeight="1" x14ac:dyDescent="0.25">
      <c r="A34" s="1990"/>
      <c r="B34" s="1582"/>
      <c r="C34" s="95" t="str">
        <f>OF!C57</f>
        <v>60 to 90% of the land.</v>
      </c>
      <c r="D34" s="44">
        <f>OF!D57</f>
        <v>0</v>
      </c>
      <c r="E34" s="49">
        <v>4</v>
      </c>
      <c r="F34" s="45">
        <f t="shared" si="3"/>
        <v>0</v>
      </c>
      <c r="G34" s="957"/>
      <c r="H34" s="1582"/>
    </row>
    <row r="35" spans="1:8" ht="16.2" customHeight="1" thickBot="1" x14ac:dyDescent="0.3">
      <c r="A35" s="1990"/>
      <c r="B35" s="1582"/>
      <c r="C35" s="95" t="str">
        <f>OF!C58</f>
        <v>&gt;90% of the land.</v>
      </c>
      <c r="D35" s="17">
        <f>OF!D58</f>
        <v>0</v>
      </c>
      <c r="E35" s="67">
        <v>6</v>
      </c>
      <c r="F35" s="54">
        <f t="shared" si="3"/>
        <v>0</v>
      </c>
      <c r="G35" s="959"/>
      <c r="H35" s="1582"/>
    </row>
    <row r="36" spans="1:8" ht="21" customHeight="1" thickBot="1" x14ac:dyDescent="0.3">
      <c r="A36" s="1989" t="str">
        <f>OF!A76</f>
        <v>OF13</v>
      </c>
      <c r="B36" s="1599" t="str">
        <f>OF!B76</f>
        <v>Local Wetland Connectivity (ConnLocalW)</v>
      </c>
      <c r="C36" s="75" t="str">
        <f>OF!C76</f>
        <v>Within a 0.5 mile radius of the AA center:</v>
      </c>
      <c r="D36" s="549"/>
      <c r="E36" s="210"/>
      <c r="F36" s="192"/>
      <c r="G36" s="948">
        <f>MAX(F37:F40)/MAX(E37:E40)</f>
        <v>0</v>
      </c>
      <c r="H36" s="1599" t="s">
        <v>425</v>
      </c>
    </row>
    <row r="37" spans="1:8" ht="16.2" customHeight="1" x14ac:dyDescent="0.25">
      <c r="A37" s="1990"/>
      <c r="B37" s="1582"/>
      <c r="C37" s="2" t="str">
        <f>OF!C77</f>
        <v>There are NO other wetlands.</v>
      </c>
      <c r="D37" s="44">
        <f>OF!D77</f>
        <v>0</v>
      </c>
      <c r="E37" s="49">
        <v>0</v>
      </c>
      <c r="F37" s="45">
        <f>D37*E37</f>
        <v>0</v>
      </c>
      <c r="G37" s="957"/>
      <c r="H37" s="1582"/>
    </row>
    <row r="38" spans="1:8" ht="42" customHeight="1" x14ac:dyDescent="0.25">
      <c r="A38" s="1990"/>
      <c r="B38" s="1582"/>
      <c r="C38" s="95" t="str">
        <f>OF!C78</f>
        <v>There are other wetlands (or a wetland), but NONE are connected to the AA by a corridor of perennial vegetation.  The corridor must be at least 150 ft wide along its entire length and not interrupted by roads with regular traffic.</v>
      </c>
      <c r="D38" s="44">
        <f>OF!D78</f>
        <v>0</v>
      </c>
      <c r="E38" s="49">
        <v>1</v>
      </c>
      <c r="F38" s="45">
        <f>D38*E38</f>
        <v>0</v>
      </c>
      <c r="G38" s="957"/>
      <c r="H38" s="1582"/>
    </row>
    <row r="39" spans="1:8" ht="26.25" customHeight="1" x14ac:dyDescent="0.25">
      <c r="A39" s="1990"/>
      <c r="B39" s="1582"/>
      <c r="C39" s="95" t="str">
        <f>OF!C79</f>
        <v>There are other wetlands (or a wetland), and ALL are connected to the AA by the type of corridor described.</v>
      </c>
      <c r="D39" s="44">
        <f>OF!D79</f>
        <v>0</v>
      </c>
      <c r="E39" s="49">
        <v>3</v>
      </c>
      <c r="F39" s="45">
        <f>D39*E39</f>
        <v>0</v>
      </c>
      <c r="G39" s="957"/>
      <c r="H39" s="1582"/>
    </row>
    <row r="40" spans="1:8" ht="27" customHeight="1" thickBot="1" x14ac:dyDescent="0.3">
      <c r="A40" s="1991"/>
      <c r="B40" s="1600"/>
      <c r="C40" s="254" t="str">
        <f>OF!C80</f>
        <v>There are other wetlands (or a wetland), and ONE or MORE (but not all) are connected to the AA by the type of corridor described.</v>
      </c>
      <c r="D40" s="17">
        <f>OF!D80</f>
        <v>0</v>
      </c>
      <c r="E40" s="245">
        <v>2</v>
      </c>
      <c r="F40" s="193">
        <f>D40*E40</f>
        <v>0</v>
      </c>
      <c r="G40" s="958"/>
      <c r="H40" s="1600"/>
    </row>
    <row r="41" spans="1:8" ht="60" customHeight="1" thickBot="1" x14ac:dyDescent="0.3">
      <c r="A41" s="1990" t="str">
        <f>OF!A81</f>
        <v>OF14</v>
      </c>
      <c r="B41" s="1582" t="str">
        <f>OF!B81</f>
        <v>Wetland Number &amp; Diversity Uniqueness (HUCbest)</v>
      </c>
      <c r="C41" s="836" t="str">
        <f>OF!C81</f>
        <v>According to the ORWAP Report, this AA is located in one of the HUCs that are listed as having a large diversity, area, or number of wetlands relative to the area of the HUC.   Select All of the following that are true:</v>
      </c>
      <c r="D41" s="549"/>
      <c r="E41" s="65"/>
      <c r="F41" s="46"/>
      <c r="G41" s="947">
        <f>IF((D46=1),"",MAX(F42:F45)/MAX(E42:E45))</f>
        <v>0</v>
      </c>
      <c r="H41" s="1582" t="s">
        <v>689</v>
      </c>
    </row>
    <row r="42" spans="1:8" ht="16.2" customHeight="1" x14ac:dyDescent="0.25">
      <c r="A42" s="1990"/>
      <c r="B42" s="1582"/>
      <c r="C42" s="449" t="str">
        <f>OF!C82</f>
        <v xml:space="preserve">Yes, for the HUC8 watershed               
</v>
      </c>
      <c r="D42" s="44">
        <f>OF!D82</f>
        <v>0</v>
      </c>
      <c r="E42" s="49">
        <v>4</v>
      </c>
      <c r="F42" s="59">
        <f>D42*E42</f>
        <v>0</v>
      </c>
      <c r="G42" s="957"/>
      <c r="H42" s="1582"/>
    </row>
    <row r="43" spans="1:8" ht="16.2" customHeight="1" x14ac:dyDescent="0.25">
      <c r="A43" s="1990"/>
      <c r="B43" s="1582"/>
      <c r="C43" s="450" t="str">
        <f>OF!C83</f>
        <v xml:space="preserve">Yes, for the HUC10 watershed </v>
      </c>
      <c r="D43" s="44">
        <f>OF!D83</f>
        <v>0</v>
      </c>
      <c r="E43" s="49">
        <v>2</v>
      </c>
      <c r="F43" s="59">
        <f>D43*E43</f>
        <v>0</v>
      </c>
      <c r="G43" s="957"/>
      <c r="H43" s="1582"/>
    </row>
    <row r="44" spans="1:8" ht="16.2" customHeight="1" x14ac:dyDescent="0.25">
      <c r="A44" s="1990"/>
      <c r="B44" s="1582"/>
      <c r="C44" s="450" t="str">
        <f>OF!C84</f>
        <v xml:space="preserve">Yes, for the HUC12 watershed </v>
      </c>
      <c r="D44" s="44">
        <f>OF!D84</f>
        <v>0</v>
      </c>
      <c r="E44" s="49">
        <v>1</v>
      </c>
      <c r="F44" s="59">
        <f>D44*E44</f>
        <v>0</v>
      </c>
      <c r="G44" s="957"/>
      <c r="H44" s="1582"/>
    </row>
    <row r="45" spans="1:8" ht="16.2" customHeight="1" x14ac:dyDescent="0.25">
      <c r="A45" s="1990"/>
      <c r="B45" s="1582"/>
      <c r="C45" s="450" t="str">
        <f>OF!C85</f>
        <v>None of above.</v>
      </c>
      <c r="D45" s="44">
        <f>OF!D85</f>
        <v>0</v>
      </c>
      <c r="E45" s="49">
        <v>0</v>
      </c>
      <c r="F45" s="59">
        <f>D45*E45</f>
        <v>0</v>
      </c>
      <c r="G45" s="957"/>
      <c r="H45" s="1582"/>
    </row>
    <row r="46" spans="1:8" ht="16.2" customHeight="1" thickBot="1" x14ac:dyDescent="0.3">
      <c r="A46" s="1990"/>
      <c r="B46" s="1582"/>
      <c r="C46" s="286" t="str">
        <f>OF!C86</f>
        <v>Data are inadequate (NWI mapping not completed in HUC).</v>
      </c>
      <c r="D46" s="198">
        <f>OF!D86</f>
        <v>0</v>
      </c>
      <c r="E46" s="67"/>
      <c r="F46" s="58"/>
      <c r="G46" s="959"/>
      <c r="H46" s="1582"/>
    </row>
    <row r="47" spans="1:8" ht="30" customHeight="1" thickBot="1" x14ac:dyDescent="0.3">
      <c r="A47" s="1989" t="str">
        <f>OF!A145</f>
        <v>OF27</v>
      </c>
      <c r="B47" s="1599" t="str">
        <f>OF!B145</f>
        <v>Hydrologic Landscape (Arid)</v>
      </c>
      <c r="C47" s="836" t="str">
        <f>OF!C145</f>
        <v>According to the ORWAP Report,  the wetland is in a hydrologic landscape unit classified as:</v>
      </c>
      <c r="D47" s="549"/>
      <c r="E47" s="1007"/>
      <c r="F47" s="192"/>
      <c r="G47" s="948">
        <f>MAX(F48:F53)/MAX(E48:E53)</f>
        <v>0</v>
      </c>
      <c r="H47" s="1599" t="s">
        <v>248</v>
      </c>
    </row>
    <row r="48" spans="1:8" ht="16.2" customHeight="1" x14ac:dyDescent="0.25">
      <c r="A48" s="1990"/>
      <c r="B48" s="1582"/>
      <c r="C48" s="449" t="str">
        <f>OF!C146</f>
        <v>Arid.</v>
      </c>
      <c r="D48" s="44">
        <f>OF!D146</f>
        <v>0</v>
      </c>
      <c r="E48" s="952">
        <v>1</v>
      </c>
      <c r="F48" s="59">
        <f t="shared" ref="F48:F53" si="4">D48*E48</f>
        <v>0</v>
      </c>
      <c r="G48" s="1029"/>
      <c r="H48" s="1582"/>
    </row>
    <row r="49" spans="1:8" ht="16.2" customHeight="1" x14ac:dyDescent="0.25">
      <c r="A49" s="1990"/>
      <c r="B49" s="1582"/>
      <c r="C49" s="450" t="str">
        <f>OF!C147</f>
        <v>Semi-arid.</v>
      </c>
      <c r="D49" s="44">
        <f>OF!D147</f>
        <v>0</v>
      </c>
      <c r="E49" s="952">
        <v>2</v>
      </c>
      <c r="F49" s="59">
        <f t="shared" si="4"/>
        <v>0</v>
      </c>
      <c r="G49" s="1029"/>
      <c r="H49" s="1582"/>
    </row>
    <row r="50" spans="1:8" ht="16.2" customHeight="1" x14ac:dyDescent="0.25">
      <c r="A50" s="1990"/>
      <c r="B50" s="1582"/>
      <c r="C50" s="450" t="str">
        <f>OF!C148</f>
        <v>Dry.</v>
      </c>
      <c r="D50" s="44">
        <f>OF!D148</f>
        <v>0</v>
      </c>
      <c r="E50" s="952">
        <v>3</v>
      </c>
      <c r="F50" s="59">
        <f t="shared" si="4"/>
        <v>0</v>
      </c>
      <c r="G50" s="1029"/>
      <c r="H50" s="1582"/>
    </row>
    <row r="51" spans="1:8" ht="16.2" customHeight="1" x14ac:dyDescent="0.25">
      <c r="A51" s="1990"/>
      <c r="B51" s="1582"/>
      <c r="C51" s="450" t="str">
        <f>OF!C149</f>
        <v>Moist.</v>
      </c>
      <c r="D51" s="44">
        <f>OF!D149</f>
        <v>0</v>
      </c>
      <c r="E51" s="952">
        <v>4</v>
      </c>
      <c r="F51" s="59">
        <f t="shared" si="4"/>
        <v>0</v>
      </c>
      <c r="G51" s="1029"/>
      <c r="H51" s="1582"/>
    </row>
    <row r="52" spans="1:8" ht="16.2" customHeight="1" x14ac:dyDescent="0.25">
      <c r="A52" s="1990"/>
      <c r="B52" s="1582"/>
      <c r="C52" s="450" t="str">
        <f>OF!C150</f>
        <v>Wet.</v>
      </c>
      <c r="D52" s="44">
        <f>OF!D150</f>
        <v>0</v>
      </c>
      <c r="E52" s="952">
        <v>5</v>
      </c>
      <c r="F52" s="59">
        <f t="shared" si="4"/>
        <v>0</v>
      </c>
      <c r="G52" s="1029"/>
      <c r="H52" s="1582"/>
    </row>
    <row r="53" spans="1:8" ht="16.2" customHeight="1" thickBot="1" x14ac:dyDescent="0.3">
      <c r="A53" s="1991"/>
      <c r="B53" s="1600"/>
      <c r="C53" s="443" t="str">
        <f>OF!C151</f>
        <v>Very Wet.</v>
      </c>
      <c r="D53" s="17">
        <f>OF!D151</f>
        <v>0</v>
      </c>
      <c r="E53" s="1008">
        <v>6</v>
      </c>
      <c r="F53" s="243">
        <f t="shared" si="4"/>
        <v>0</v>
      </c>
      <c r="G53" s="1030"/>
      <c r="H53" s="1600"/>
    </row>
    <row r="54" spans="1:8" ht="75" customHeight="1" thickBot="1" x14ac:dyDescent="0.3">
      <c r="A54" s="1990" t="str">
        <f>OF!A152</f>
        <v>OF28</v>
      </c>
      <c r="B54" s="1582" t="str">
        <f>OF!B152</f>
        <v>Input Water - Recognized Quality Issues (WQin)</v>
      </c>
      <c r="C54" s="75"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54" s="549"/>
      <c r="E54" s="1009"/>
      <c r="F54" s="60"/>
      <c r="G54" s="947">
        <f>IF((OF!D159=1),"",IF((D55+D56+D57=0),1,0))</f>
        <v>1</v>
      </c>
      <c r="H54" s="1582" t="s">
        <v>1595</v>
      </c>
    </row>
    <row r="55" spans="1:8" ht="16.2" customHeight="1" x14ac:dyDescent="0.25">
      <c r="A55" s="1990"/>
      <c r="B55" s="1582"/>
      <c r="C55" s="2" t="str">
        <f>OF!C153</f>
        <v>Total suspended solids (TSS), sedimentation, or turbidity.</v>
      </c>
      <c r="D55" s="44">
        <f>OF!D153</f>
        <v>0</v>
      </c>
      <c r="E55" s="952"/>
      <c r="F55" s="45"/>
      <c r="G55" s="956"/>
      <c r="H55" s="1582"/>
    </row>
    <row r="56" spans="1:8" ht="16.2" customHeight="1" x14ac:dyDescent="0.25">
      <c r="A56" s="1990"/>
      <c r="B56" s="1582"/>
      <c r="C56" s="95" t="str">
        <f>OF!C155</f>
        <v>Nitrates, ammonia, chlorophyll-a, or algae.</v>
      </c>
      <c r="D56" s="44">
        <f>OF!D155</f>
        <v>0</v>
      </c>
      <c r="E56" s="952"/>
      <c r="F56" s="45"/>
      <c r="G56" s="957"/>
      <c r="H56" s="1582"/>
    </row>
    <row r="57" spans="1:8" ht="16.2" customHeight="1" thickBot="1" x14ac:dyDescent="0.3">
      <c r="A57" s="1990"/>
      <c r="B57" s="1582"/>
      <c r="C57" s="95" t="str">
        <f>OF!C156</f>
        <v>Petrochemicals, heavy metals (iron, manganese, lead, zinc, etc.), other toxins.</v>
      </c>
      <c r="D57" s="198">
        <f>OF!D156</f>
        <v>0</v>
      </c>
      <c r="E57" s="1010"/>
      <c r="F57" s="54"/>
      <c r="G57" s="959"/>
      <c r="H57" s="1582"/>
    </row>
    <row r="58" spans="1:8" ht="21" customHeight="1" thickBot="1" x14ac:dyDescent="0.3">
      <c r="A58" s="1989" t="str">
        <f>OF!A159</f>
        <v>OF29</v>
      </c>
      <c r="B58" s="1599" t="str">
        <f>OF!B159</f>
        <v>Duration of Connection Beween Problem Area &amp; the AA (ConnecUp)</v>
      </c>
      <c r="C58" s="4" t="str">
        <f>OF!C159</f>
        <v>The upstream problem area mentioned above (OF28) has a surface water connection to the AA:</v>
      </c>
      <c r="D58" s="65"/>
      <c r="E58" s="1007"/>
      <c r="F58" s="192"/>
      <c r="G58" s="948" t="str">
        <f>IF((D55+D56+D57&gt;0),MAX(F59:F61)/MAX(E59:E61),"")</f>
        <v/>
      </c>
      <c r="H58" s="1599" t="s">
        <v>1593</v>
      </c>
    </row>
    <row r="59" spans="1:8" ht="16.2" customHeight="1" x14ac:dyDescent="0.25">
      <c r="A59" s="1990"/>
      <c r="B59" s="1582"/>
      <c r="C59" s="215" t="str">
        <f>OF!C160</f>
        <v>For 9 or more continuous months annually.</v>
      </c>
      <c r="D59" s="44">
        <f>OF!D160</f>
        <v>0</v>
      </c>
      <c r="E59" s="952">
        <v>0</v>
      </c>
      <c r="F59" s="45">
        <f>D59*E59</f>
        <v>0</v>
      </c>
      <c r="G59" s="957"/>
      <c r="H59" s="1582"/>
    </row>
    <row r="60" spans="1:8" ht="16.2" customHeight="1" x14ac:dyDescent="0.25">
      <c r="A60" s="1990"/>
      <c r="B60" s="1582"/>
      <c r="C60" s="216" t="str">
        <f>OF!C161</f>
        <v>Intermittently (at least once annually, but for less than 9 months continually).</v>
      </c>
      <c r="D60" s="44">
        <f>OF!D161</f>
        <v>0</v>
      </c>
      <c r="E60" s="952">
        <v>1</v>
      </c>
      <c r="F60" s="45">
        <f>D60*E60</f>
        <v>0</v>
      </c>
      <c r="G60" s="957"/>
      <c r="H60" s="1582"/>
    </row>
    <row r="61" spans="1:8" ht="16.2" customHeight="1" thickBot="1" x14ac:dyDescent="0.3">
      <c r="A61" s="1991"/>
      <c r="B61" s="1600"/>
      <c r="C61" s="254" t="str">
        <f>OF!C162</f>
        <v>Never (or less than annually).</v>
      </c>
      <c r="D61" s="17">
        <f>OF!D162</f>
        <v>0</v>
      </c>
      <c r="E61" s="1008">
        <v>3</v>
      </c>
      <c r="F61" s="193">
        <f>D61*E61</f>
        <v>0</v>
      </c>
      <c r="G61" s="958"/>
      <c r="H61" s="1600"/>
    </row>
    <row r="62" spans="1:8" ht="30" customHeight="1" thickBot="1" x14ac:dyDescent="0.3">
      <c r="A62" s="1990" t="str">
        <f>OF!A225</f>
        <v>OF43</v>
      </c>
      <c r="B62" s="1582" t="str">
        <f>OF!B225</f>
        <v>Growing Degree Days (GDD)</v>
      </c>
      <c r="C62" s="836" t="str">
        <f>OF!C225</f>
        <v xml:space="preserve">According to ORWAP Map Viewer's Growing Degree Days layer,  the long term normal Growing Degree Days category at the approximate location of the AA is: </v>
      </c>
      <c r="D62" s="549"/>
      <c r="E62" s="1031"/>
      <c r="F62" s="825"/>
      <c r="G62" s="947">
        <f>MAX(F63:F69)/MAX(E63:E69)</f>
        <v>0</v>
      </c>
      <c r="H62" s="1582" t="s">
        <v>113</v>
      </c>
    </row>
    <row r="63" spans="1:8" ht="16.2" customHeight="1" x14ac:dyDescent="0.25">
      <c r="A63" s="1990"/>
      <c r="B63" s="1582"/>
      <c r="C63" s="1032" t="str">
        <f>OF!C226</f>
        <v>&lt;256.</v>
      </c>
      <c r="D63" s="44">
        <f>OF!D226</f>
        <v>0</v>
      </c>
      <c r="E63" s="1033">
        <v>1</v>
      </c>
      <c r="F63" s="45">
        <f t="shared" ref="F63:F69" si="5">D63*E63</f>
        <v>0</v>
      </c>
      <c r="G63" s="59"/>
      <c r="H63" s="1582"/>
    </row>
    <row r="64" spans="1:8" ht="16.2" customHeight="1" x14ac:dyDescent="0.25">
      <c r="A64" s="1990"/>
      <c r="B64" s="1582"/>
      <c r="C64" s="1034" t="str">
        <f>OF!C227</f>
        <v>256 - 1020.</v>
      </c>
      <c r="D64" s="44">
        <f>OF!D227</f>
        <v>0</v>
      </c>
      <c r="E64" s="1033">
        <v>2</v>
      </c>
      <c r="F64" s="45">
        <f t="shared" si="5"/>
        <v>0</v>
      </c>
      <c r="G64" s="59"/>
      <c r="H64" s="1582"/>
    </row>
    <row r="65" spans="1:8" ht="16.2" customHeight="1" x14ac:dyDescent="0.25">
      <c r="A65" s="1990"/>
      <c r="B65" s="1582"/>
      <c r="C65" s="1034" t="str">
        <f>OF!C228</f>
        <v>1021-1785.</v>
      </c>
      <c r="D65" s="44">
        <f>OF!D228</f>
        <v>0</v>
      </c>
      <c r="E65" s="1033">
        <v>3</v>
      </c>
      <c r="F65" s="45">
        <f t="shared" si="5"/>
        <v>0</v>
      </c>
      <c r="G65" s="59"/>
      <c r="H65" s="1582"/>
    </row>
    <row r="66" spans="1:8" ht="16.2" customHeight="1" x14ac:dyDescent="0.25">
      <c r="A66" s="1990"/>
      <c r="B66" s="1582"/>
      <c r="C66" s="1034" t="str">
        <f>OF!C229</f>
        <v>1786 - 2550.</v>
      </c>
      <c r="D66" s="44">
        <f>OF!D229</f>
        <v>0</v>
      </c>
      <c r="E66" s="1033">
        <v>4</v>
      </c>
      <c r="F66" s="45">
        <f t="shared" si="5"/>
        <v>0</v>
      </c>
      <c r="G66" s="59"/>
      <c r="H66" s="1582"/>
    </row>
    <row r="67" spans="1:8" ht="16.2" customHeight="1" x14ac:dyDescent="0.25">
      <c r="A67" s="1990"/>
      <c r="B67" s="1582"/>
      <c r="C67" s="1034" t="str">
        <f>OF!C230</f>
        <v>2551 - 3315.</v>
      </c>
      <c r="D67" s="44">
        <f>OF!D230</f>
        <v>0</v>
      </c>
      <c r="E67" s="1033">
        <v>5</v>
      </c>
      <c r="F67" s="45">
        <f t="shared" si="5"/>
        <v>0</v>
      </c>
      <c r="G67" s="59"/>
      <c r="H67" s="1582"/>
    </row>
    <row r="68" spans="1:8" ht="16.2" customHeight="1" x14ac:dyDescent="0.25">
      <c r="A68" s="1990"/>
      <c r="B68" s="1582"/>
      <c r="C68" s="1034" t="str">
        <f>OF!C231</f>
        <v>3316 - 4079.</v>
      </c>
      <c r="D68" s="44">
        <f>OF!D231</f>
        <v>0</v>
      </c>
      <c r="E68" s="1033">
        <v>6</v>
      </c>
      <c r="F68" s="45">
        <f t="shared" si="5"/>
        <v>0</v>
      </c>
      <c r="G68" s="59"/>
      <c r="H68" s="1582"/>
    </row>
    <row r="69" spans="1:8" ht="16.2" customHeight="1" thickBot="1" x14ac:dyDescent="0.3">
      <c r="A69" s="1990"/>
      <c r="B69" s="1582"/>
      <c r="C69" s="906" t="str">
        <f>OF!C232</f>
        <v>&gt; 4079.</v>
      </c>
      <c r="D69" s="17">
        <f>OF!D232</f>
        <v>0</v>
      </c>
      <c r="E69" s="1033">
        <v>7</v>
      </c>
      <c r="F69" s="54">
        <f t="shared" si="5"/>
        <v>0</v>
      </c>
      <c r="G69" s="58"/>
      <c r="H69" s="1582"/>
    </row>
    <row r="70" spans="1:8" ht="45" customHeight="1" thickBot="1" x14ac:dyDescent="0.3">
      <c r="A70" s="912" t="str">
        <f>F!A5</f>
        <v>F2</v>
      </c>
      <c r="B70" s="4" t="str">
        <f>F!B5</f>
        <v>Ponded Condition (Lentic)</v>
      </c>
      <c r="C70" s="466" t="str">
        <f>F!C5</f>
        <v xml:space="preserve">At least once every 2 years, some part of the AA contains a cumulative total of &gt;900 sq.ft. of surface water that is ponded. The water persists for &gt;6 days and may be hidden beneath emergent vegetation or scattered in small pools. Enter 1, if true.  </v>
      </c>
      <c r="D70" s="834">
        <f>F!D5</f>
        <v>0</v>
      </c>
      <c r="E70" s="1035"/>
      <c r="F70" s="249"/>
      <c r="G70" s="815">
        <f>D70</f>
        <v>0</v>
      </c>
      <c r="H70" s="4" t="s">
        <v>688</v>
      </c>
    </row>
    <row r="71" spans="1:8" ht="45" customHeight="1" thickBot="1" x14ac:dyDescent="0.3">
      <c r="A71" s="1865" t="str">
        <f>F!A13</f>
        <v>F4</v>
      </c>
      <c r="B71" s="1582" t="str">
        <f>F!B13</f>
        <v>Flooded Persistently - % of AA (PermW)</v>
      </c>
      <c r="C71" s="75" t="str">
        <f>F!C13</f>
        <v xml:space="preserve">Identify the parts of the AA that still contain surface water even during the driest times of a normal year . At that time, the percentage of the AA that still contains surface water is: </v>
      </c>
      <c r="D71" s="549"/>
      <c r="E71" s="65"/>
      <c r="F71" s="60"/>
      <c r="G71" s="954">
        <f>IF((NeverWater+TempWet&gt;0),"",MAX(F72:F75)/MAX(E72:E75))</f>
        <v>0</v>
      </c>
      <c r="H71" s="1582" t="s">
        <v>1624</v>
      </c>
    </row>
    <row r="72" spans="1:8" ht="16.2" customHeight="1" x14ac:dyDescent="0.25">
      <c r="A72" s="1865"/>
      <c r="B72" s="1582"/>
      <c r="C72" s="2" t="str">
        <f>F!C14</f>
        <v>1 to &lt;25% of the AA.</v>
      </c>
      <c r="D72" s="44">
        <f>F!D14</f>
        <v>0</v>
      </c>
      <c r="E72" s="49">
        <v>1</v>
      </c>
      <c r="F72" s="45">
        <f>D72*E72</f>
        <v>0</v>
      </c>
      <c r="G72" s="956"/>
      <c r="H72" s="1582"/>
    </row>
    <row r="73" spans="1:8" ht="16.2" customHeight="1" x14ac:dyDescent="0.25">
      <c r="A73" s="1865"/>
      <c r="B73" s="1582"/>
      <c r="C73" s="95" t="str">
        <f>F!C15</f>
        <v>25 to &lt;50% of the AA.</v>
      </c>
      <c r="D73" s="44">
        <f>F!D15</f>
        <v>0</v>
      </c>
      <c r="E73" s="49">
        <v>2</v>
      </c>
      <c r="F73" s="45">
        <f>D73*E73</f>
        <v>0</v>
      </c>
      <c r="G73" s="957"/>
      <c r="H73" s="1582"/>
    </row>
    <row r="74" spans="1:8" ht="16.2" customHeight="1" x14ac:dyDescent="0.25">
      <c r="A74" s="1865"/>
      <c r="B74" s="1582"/>
      <c r="C74" s="95" t="str">
        <f>F!C16</f>
        <v>50 to 95% of the AA.</v>
      </c>
      <c r="D74" s="44">
        <f>F!D16</f>
        <v>0</v>
      </c>
      <c r="E74" s="49">
        <v>3</v>
      </c>
      <c r="F74" s="45">
        <f>D74*E74</f>
        <v>0</v>
      </c>
      <c r="G74" s="957"/>
      <c r="H74" s="1582"/>
    </row>
    <row r="75" spans="1:8" ht="16.2" customHeight="1" thickBot="1" x14ac:dyDescent="0.3">
      <c r="A75" s="1865"/>
      <c r="B75" s="1582"/>
      <c r="C75" s="95" t="str">
        <f>F!C17</f>
        <v>&gt;95% of the AA.</v>
      </c>
      <c r="D75" s="17">
        <f>F!D17</f>
        <v>0</v>
      </c>
      <c r="E75" s="67">
        <v>4</v>
      </c>
      <c r="F75" s="54">
        <f>D75*E75</f>
        <v>0</v>
      </c>
      <c r="G75" s="959"/>
      <c r="H75" s="1582"/>
    </row>
    <row r="76" spans="1:8" s="77" customFormat="1" ht="21" customHeight="1" thickBot="1" x14ac:dyDescent="0.3">
      <c r="A76" s="1864" t="str">
        <f>F!A35</f>
        <v>F8</v>
      </c>
      <c r="B76" s="1599" t="str">
        <f>F!B35</f>
        <v>% Emergent Plants (EmPct)</v>
      </c>
      <c r="C76" s="114" t="str">
        <f>F!C35</f>
        <v>Emergent plants occupy an annual maximum of:</v>
      </c>
      <c r="D76" s="210"/>
      <c r="E76" s="210"/>
      <c r="F76" s="955"/>
      <c r="G76" s="815">
        <f>IF((NeverWater=1),"",IF((NoEm=1),"",MAX(F77:F81)/MAX(E77:E81)))</f>
        <v>0</v>
      </c>
      <c r="H76" s="1599" t="s">
        <v>1681</v>
      </c>
    </row>
    <row r="77" spans="1:8" s="77" customFormat="1" ht="16.2" customHeight="1" x14ac:dyDescent="0.25">
      <c r="A77" s="1865"/>
      <c r="B77" s="1582"/>
      <c r="C77" s="449" t="str">
        <f>F!C36</f>
        <v>&lt;5% of the parts of the AA that are inundated for &gt;7 days at some time of the year.</v>
      </c>
      <c r="D77" s="44">
        <f>F!D36</f>
        <v>0</v>
      </c>
      <c r="E77" s="49">
        <v>1</v>
      </c>
      <c r="F77" s="45">
        <f>D77*E77</f>
        <v>0</v>
      </c>
      <c r="G77" s="994"/>
      <c r="H77" s="1582"/>
    </row>
    <row r="78" spans="1:8" s="77" customFormat="1" ht="16.2" customHeight="1" x14ac:dyDescent="0.25">
      <c r="A78" s="1865"/>
      <c r="B78" s="1582"/>
      <c r="C78" s="450" t="str">
        <f>F!C37</f>
        <v>5 to &lt;30% of the parts of the AA that are inundated for &gt;7 days at some time of the year.</v>
      </c>
      <c r="D78" s="44">
        <f>F!D37</f>
        <v>0</v>
      </c>
      <c r="E78" s="49">
        <v>2</v>
      </c>
      <c r="F78" s="45">
        <f>D78*E78</f>
        <v>0</v>
      </c>
      <c r="G78" s="959"/>
      <c r="H78" s="1582"/>
    </row>
    <row r="79" spans="1:8" s="77" customFormat="1" ht="16.2" customHeight="1" x14ac:dyDescent="0.25">
      <c r="A79" s="1865"/>
      <c r="B79" s="1582"/>
      <c r="C79" s="450" t="str">
        <f>F!C38</f>
        <v>30 to &lt;60% of the parts of the AA that are inundated for &gt;7 days at some time of the year.</v>
      </c>
      <c r="D79" s="44">
        <f>F!D38</f>
        <v>0</v>
      </c>
      <c r="E79" s="49">
        <v>3</v>
      </c>
      <c r="F79" s="45">
        <f>D79*E79</f>
        <v>0</v>
      </c>
      <c r="G79" s="959"/>
      <c r="H79" s="1582"/>
    </row>
    <row r="80" spans="1:8" s="77" customFormat="1" ht="16.2" customHeight="1" x14ac:dyDescent="0.25">
      <c r="A80" s="1865"/>
      <c r="B80" s="1582"/>
      <c r="C80" s="450" t="str">
        <f>F!C39</f>
        <v>60 to 95% of the parts of the AA that are inundated for &gt;7 days at some time of the year.</v>
      </c>
      <c r="D80" s="44">
        <f>F!D39</f>
        <v>0</v>
      </c>
      <c r="E80" s="848">
        <v>4</v>
      </c>
      <c r="F80" s="45">
        <f>D80*E80</f>
        <v>0</v>
      </c>
      <c r="G80" s="959"/>
      <c r="H80" s="1582"/>
    </row>
    <row r="81" spans="1:8" s="77" customFormat="1" ht="16.2" customHeight="1" thickBot="1" x14ac:dyDescent="0.3">
      <c r="A81" s="1866"/>
      <c r="B81" s="1600"/>
      <c r="C81" s="443" t="str">
        <f>F!C40</f>
        <v>&gt;95% of the parts of the AA that are inundated for &gt;7 days at some time of the year.</v>
      </c>
      <c r="D81" s="17">
        <f>F!D40</f>
        <v>0</v>
      </c>
      <c r="E81" s="470">
        <v>3</v>
      </c>
      <c r="F81" s="193">
        <f>D81*E81</f>
        <v>0</v>
      </c>
      <c r="G81" s="958"/>
      <c r="H81" s="1600"/>
    </row>
    <row r="82" spans="1:8" ht="30" customHeight="1" thickBot="1" x14ac:dyDescent="0.3">
      <c r="A82" s="1865" t="str">
        <f>F!A54</f>
        <v>F12</v>
      </c>
      <c r="B82" s="1582" t="str">
        <f>F!B54</f>
        <v>All Ponded Water as Percentage - Wettest (PondWpctWet)</v>
      </c>
      <c r="C82" s="4" t="str">
        <f>F!C54</f>
        <v>When water levels are highest, during a normal year, the surface water that is ponded continually for &gt;6 days occupies:</v>
      </c>
      <c r="D82" s="210"/>
      <c r="E82" s="865"/>
      <c r="F82" s="46"/>
      <c r="G82" s="954">
        <f>IF((NeverWater+TempWet&gt;0),"",MAX(F83:F88)/MAX(E83:E88))</f>
        <v>0</v>
      </c>
      <c r="H82" s="1582" t="s">
        <v>1625</v>
      </c>
    </row>
    <row r="83" spans="1:8" ht="27" customHeight="1" x14ac:dyDescent="0.25">
      <c r="A83" s="1865"/>
      <c r="B83" s="1582"/>
      <c r="C83" s="215" t="str">
        <f>F!C55</f>
        <v xml:space="preserve">&lt;1% or none of the AA.  Surface water is completely or nearly absent then, or is entirely flowing. 
Enter 1 and SKIP TO F22. </v>
      </c>
      <c r="D83" s="44">
        <f>F!D55</f>
        <v>0</v>
      </c>
      <c r="E83" s="49">
        <v>1</v>
      </c>
      <c r="F83" s="45">
        <f t="shared" ref="F83:F88" si="6">D83*E83</f>
        <v>0</v>
      </c>
      <c r="G83" s="957"/>
      <c r="H83" s="1582"/>
    </row>
    <row r="84" spans="1:8" ht="16.2" customHeight="1" x14ac:dyDescent="0.25">
      <c r="A84" s="1865"/>
      <c r="B84" s="1582"/>
      <c r="C84" s="215" t="str">
        <f>F!C56</f>
        <v>1-5% of the AA.</v>
      </c>
      <c r="D84" s="44">
        <f>F!D56</f>
        <v>0</v>
      </c>
      <c r="E84" s="49">
        <v>2</v>
      </c>
      <c r="F84" s="45">
        <f t="shared" si="6"/>
        <v>0</v>
      </c>
      <c r="G84" s="959"/>
      <c r="H84" s="1582"/>
    </row>
    <row r="85" spans="1:8" ht="16.2" customHeight="1" x14ac:dyDescent="0.25">
      <c r="A85" s="1865"/>
      <c r="B85" s="1582"/>
      <c r="C85" s="216" t="str">
        <f>F!C57</f>
        <v>5 to &lt;30% of the AA.</v>
      </c>
      <c r="D85" s="44">
        <f>F!D57</f>
        <v>0</v>
      </c>
      <c r="E85" s="49">
        <v>3</v>
      </c>
      <c r="F85" s="45">
        <f t="shared" si="6"/>
        <v>0</v>
      </c>
      <c r="G85" s="959"/>
      <c r="H85" s="1582"/>
    </row>
    <row r="86" spans="1:8" ht="16.2" customHeight="1" x14ac:dyDescent="0.25">
      <c r="A86" s="1865"/>
      <c r="B86" s="1582"/>
      <c r="C86" s="216" t="str">
        <f>F!C58</f>
        <v>30 to &lt;70% of the AA.</v>
      </c>
      <c r="D86" s="44">
        <f>F!D58</f>
        <v>0</v>
      </c>
      <c r="E86" s="49">
        <v>4</v>
      </c>
      <c r="F86" s="45">
        <f t="shared" si="6"/>
        <v>0</v>
      </c>
      <c r="G86" s="959"/>
      <c r="H86" s="1582"/>
    </row>
    <row r="87" spans="1:8" s="2" customFormat="1" ht="16.2" customHeight="1" x14ac:dyDescent="0.25">
      <c r="A87" s="1865"/>
      <c r="B87" s="1582"/>
      <c r="C87" s="216" t="str">
        <f>F!C59</f>
        <v>70 to 95% of the AA.</v>
      </c>
      <c r="D87" s="44">
        <f>F!D59</f>
        <v>0</v>
      </c>
      <c r="E87" s="49">
        <v>5</v>
      </c>
      <c r="F87" s="45">
        <f t="shared" si="6"/>
        <v>0</v>
      </c>
      <c r="G87" s="59"/>
      <c r="H87" s="1582"/>
    </row>
    <row r="88" spans="1:8" s="2" customFormat="1" ht="16.2" customHeight="1" thickBot="1" x14ac:dyDescent="0.3">
      <c r="A88" s="1865"/>
      <c r="B88" s="1582"/>
      <c r="C88" s="95" t="str">
        <f>F!C60</f>
        <v>&gt;95% of the AA.</v>
      </c>
      <c r="D88" s="17">
        <f>F!D60</f>
        <v>0</v>
      </c>
      <c r="E88" s="49">
        <v>6</v>
      </c>
      <c r="F88" s="59">
        <f t="shared" si="6"/>
        <v>0</v>
      </c>
      <c r="G88" s="58"/>
      <c r="H88" s="1582"/>
    </row>
    <row r="89" spans="1:8" ht="30" customHeight="1" thickBot="1" x14ac:dyDescent="0.3">
      <c r="A89" s="1864" t="str">
        <f>F!A71</f>
        <v>F14</v>
      </c>
      <c r="B89" s="1599" t="str">
        <f>F!B71</f>
        <v>Ponded Open Water Distribution - Wettest  (WaterMixWet)</v>
      </c>
      <c r="C89" s="75" t="str">
        <f>F!C71</f>
        <v>When water levels are highest, during a normal year, the distribution (in aerial view) of ponded open water patches larger than 0.01 acre (400 sq. ft) within the AA is:</v>
      </c>
      <c r="D89" s="549"/>
      <c r="E89" s="1007"/>
      <c r="F89" s="1036"/>
      <c r="G89" s="815">
        <f>IF((NeverWater+TempWet&gt;0),"",IF((NoPond=1),"", MAX(F90:F93)/MAX(E90:E93)))</f>
        <v>0</v>
      </c>
      <c r="H89" s="1599" t="s">
        <v>1626</v>
      </c>
    </row>
    <row r="90" spans="1:8" ht="57" customHeight="1" x14ac:dyDescent="0.25">
      <c r="A90" s="1865"/>
      <c r="B90" s="1582"/>
      <c r="C90" s="215" t="str">
        <f>F!C72</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90" s="44">
        <f>F!D72</f>
        <v>0</v>
      </c>
      <c r="E90" s="952">
        <v>4</v>
      </c>
      <c r="F90" s="45">
        <f>D90*E90</f>
        <v>0</v>
      </c>
      <c r="G90" s="956"/>
      <c r="H90" s="1582"/>
    </row>
    <row r="91" spans="1:8" ht="53.25" customHeight="1" x14ac:dyDescent="0.25">
      <c r="A91" s="1865"/>
      <c r="B91" s="1582"/>
      <c r="C91" s="216" t="str">
        <f>F!C73</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91" s="44">
        <f>F!D73</f>
        <v>0</v>
      </c>
      <c r="E91" s="952">
        <v>3</v>
      </c>
      <c r="F91" s="45">
        <f>D91*E91</f>
        <v>0</v>
      </c>
      <c r="G91" s="956"/>
      <c r="H91" s="1582"/>
    </row>
    <row r="92" spans="1:8" ht="42" customHeight="1" x14ac:dyDescent="0.25">
      <c r="A92" s="1865"/>
      <c r="B92" s="1582"/>
      <c r="C92" s="216" t="str">
        <f>F!C74</f>
        <v xml:space="preserve">(a) Vegetation OR open water comprise &gt;70% of the AA (and its bordering  waters) AND (b) There are several small patches of open water scattered within vegetation or several small vegetation clump "islands" scattered within open water. </v>
      </c>
      <c r="D92" s="44">
        <f>F!D74</f>
        <v>0</v>
      </c>
      <c r="E92" s="952">
        <v>2</v>
      </c>
      <c r="F92" s="45">
        <f>D92*E92</f>
        <v>0</v>
      </c>
      <c r="G92" s="956"/>
      <c r="H92" s="1582"/>
    </row>
    <row r="93" spans="1:8" ht="72.75" customHeight="1" thickBot="1" x14ac:dyDescent="0.3">
      <c r="A93" s="1866"/>
      <c r="B93" s="1600"/>
      <c r="C93" s="254" t="str">
        <f>F!C75</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93" s="198">
        <f>F!D75</f>
        <v>0</v>
      </c>
      <c r="E93" s="1008">
        <v>1</v>
      </c>
      <c r="F93" s="193">
        <f>D93*E93</f>
        <v>0</v>
      </c>
      <c r="G93" s="1037"/>
      <c r="H93" s="1600"/>
    </row>
    <row r="94" spans="1:8" ht="57" customHeight="1" thickBot="1" x14ac:dyDescent="0.3">
      <c r="A94" s="1982" t="str">
        <f>F!A76</f>
        <v>F15</v>
      </c>
      <c r="B94" s="1689" t="str">
        <f>F!B76</f>
        <v>Width of Vegetated Zone - Wettest  (WidthWet)</v>
      </c>
      <c r="C94" s="931" t="str">
        <f>F!C76</f>
        <v>When water levels are highest, during a normal year, the width of the vegetated wetland  that separates the largest patch of open water within or bordering the AA from the closest adjacent uplands, is predominantly: 
[Note: This is not asking for the maximum width.]</v>
      </c>
      <c r="D94" s="549"/>
      <c r="E94" s="1038"/>
      <c r="F94" s="956"/>
      <c r="G94" s="954">
        <f>IF((NeverWater+TempWet&gt;0),"",IF((NoPond=1),"",MAX(F95:F100)/MAX(E95:E100)))</f>
        <v>0</v>
      </c>
      <c r="H94" s="1582" t="s">
        <v>1697</v>
      </c>
    </row>
    <row r="95" spans="1:8" ht="16.2" customHeight="1" x14ac:dyDescent="0.25">
      <c r="A95" s="1983"/>
      <c r="B95" s="1987"/>
      <c r="C95" s="893" t="str">
        <f>F!C77</f>
        <v>&lt;5 ft, or no vegetation between upland and open water.</v>
      </c>
      <c r="D95" s="47">
        <f>F!D77</f>
        <v>0</v>
      </c>
      <c r="E95" s="1009">
        <v>0</v>
      </c>
      <c r="F95" s="45">
        <f t="shared" ref="F95:F100" si="7">D95*E95</f>
        <v>0</v>
      </c>
      <c r="G95" s="956"/>
      <c r="H95" s="1583"/>
    </row>
    <row r="96" spans="1:8" ht="16.2" customHeight="1" x14ac:dyDescent="0.25">
      <c r="A96" s="1983"/>
      <c r="B96" s="1987"/>
      <c r="C96" s="894" t="str">
        <f>F!C78</f>
        <v>5 to &lt;30 ft.</v>
      </c>
      <c r="D96" s="47">
        <f>F!D78</f>
        <v>0</v>
      </c>
      <c r="E96" s="1009">
        <v>1</v>
      </c>
      <c r="F96" s="45">
        <f t="shared" si="7"/>
        <v>0</v>
      </c>
      <c r="G96" s="957"/>
      <c r="H96" s="1583"/>
    </row>
    <row r="97" spans="1:8" ht="16.2" customHeight="1" x14ac:dyDescent="0.25">
      <c r="A97" s="1983"/>
      <c r="B97" s="1987"/>
      <c r="C97" s="894" t="str">
        <f>F!C79</f>
        <v>30 to &lt;50 ft.</v>
      </c>
      <c r="D97" s="47">
        <f>F!D79</f>
        <v>0</v>
      </c>
      <c r="E97" s="1009">
        <v>2</v>
      </c>
      <c r="F97" s="45">
        <f t="shared" si="7"/>
        <v>0</v>
      </c>
      <c r="G97" s="957"/>
      <c r="H97" s="1583"/>
    </row>
    <row r="98" spans="1:8" ht="16.2" customHeight="1" x14ac:dyDescent="0.25">
      <c r="A98" s="1983"/>
      <c r="B98" s="1987"/>
      <c r="C98" s="894" t="str">
        <f>F!C80</f>
        <v>50 to &lt;100 ft.</v>
      </c>
      <c r="D98" s="47">
        <f>F!D80</f>
        <v>0</v>
      </c>
      <c r="E98" s="1009">
        <v>3</v>
      </c>
      <c r="F98" s="45">
        <f t="shared" si="7"/>
        <v>0</v>
      </c>
      <c r="G98" s="959"/>
      <c r="H98" s="1583"/>
    </row>
    <row r="99" spans="1:8" ht="16.2" customHeight="1" x14ac:dyDescent="0.25">
      <c r="A99" s="1983"/>
      <c r="B99" s="1987"/>
      <c r="C99" s="894" t="str">
        <f>F!C81</f>
        <v>100 to 300 ft.</v>
      </c>
      <c r="D99" s="47">
        <f>F!D81</f>
        <v>0</v>
      </c>
      <c r="E99" s="1009">
        <v>4</v>
      </c>
      <c r="F99" s="45">
        <f t="shared" si="7"/>
        <v>0</v>
      </c>
      <c r="G99" s="959"/>
      <c r="H99" s="1583"/>
    </row>
    <row r="100" spans="1:8" ht="16.2" customHeight="1" thickBot="1" x14ac:dyDescent="0.3">
      <c r="A100" s="1983"/>
      <c r="B100" s="1987"/>
      <c r="C100" s="1039" t="str">
        <f>F!C82</f>
        <v>&gt; 300 ft.</v>
      </c>
      <c r="D100" s="80">
        <f>F!D82</f>
        <v>0</v>
      </c>
      <c r="E100" s="1031">
        <v>5</v>
      </c>
      <c r="F100" s="54">
        <f t="shared" si="7"/>
        <v>0</v>
      </c>
      <c r="G100" s="959"/>
      <c r="H100" s="1583"/>
    </row>
    <row r="101" spans="1:8" ht="45" customHeight="1" thickBot="1" x14ac:dyDescent="0.3">
      <c r="A101" s="1864" t="str">
        <f>F!A83</f>
        <v>F16</v>
      </c>
      <c r="B101" s="1599" t="str">
        <f>F!B83</f>
        <v>All Ponded Water as a Percentage (Driest)  (PondWpctDry)</v>
      </c>
      <c r="C101" s="75" t="str">
        <f>F!C83</f>
        <v>When water levels are lowest, during a normal year, but surface water still occupies &gt;1,076 sq feet (100 sq meter) OR  &gt;1% of the AA (whichever is more), the water that is ponded (either visible or concealed by vegetation) in the AA occupies:</v>
      </c>
      <c r="D101" s="549"/>
      <c r="E101" s="210"/>
      <c r="F101" s="241"/>
      <c r="G101" s="815">
        <f>IF((NeverWater+TempWet&gt;0),"",IF((NoPond=1),"",MAX(F102:F107)/MAX(E102:E107)))</f>
        <v>0</v>
      </c>
      <c r="H101" s="1599" t="s">
        <v>1627</v>
      </c>
    </row>
    <row r="102" spans="1:8" ht="27.75" customHeight="1" x14ac:dyDescent="0.25">
      <c r="A102" s="1865"/>
      <c r="B102" s="1582"/>
      <c r="C102" s="215" t="str">
        <f>F!C84</f>
        <v xml:space="preserve">&lt;1% or none. Surface water is completely or nearly absent then, or is entirely flowing. Enter 1 and SKIP TO F22. </v>
      </c>
      <c r="D102" s="44">
        <f>F!D84</f>
        <v>0</v>
      </c>
      <c r="E102" s="49">
        <v>1</v>
      </c>
      <c r="F102" s="45">
        <f t="shared" ref="F102:F107" si="8">D102*E102</f>
        <v>0</v>
      </c>
      <c r="G102" s="957"/>
      <c r="H102" s="1582"/>
    </row>
    <row r="103" spans="1:8" ht="16.2" customHeight="1" x14ac:dyDescent="0.25">
      <c r="A103" s="1865"/>
      <c r="B103" s="1582"/>
      <c r="C103" s="216" t="str">
        <f>F!C85</f>
        <v>1 to 5% of the AA.</v>
      </c>
      <c r="D103" s="44">
        <f>F!D85</f>
        <v>0</v>
      </c>
      <c r="E103" s="49">
        <v>2</v>
      </c>
      <c r="F103" s="45">
        <f t="shared" si="8"/>
        <v>0</v>
      </c>
      <c r="G103" s="957"/>
      <c r="H103" s="1582"/>
    </row>
    <row r="104" spans="1:8" ht="16.2" customHeight="1" x14ac:dyDescent="0.25">
      <c r="A104" s="1865"/>
      <c r="B104" s="1582"/>
      <c r="C104" s="216" t="str">
        <f>F!C86</f>
        <v>5 to &lt;30% of the AA.</v>
      </c>
      <c r="D104" s="44">
        <f>F!D86</f>
        <v>0</v>
      </c>
      <c r="E104" s="49">
        <v>3</v>
      </c>
      <c r="F104" s="45">
        <f t="shared" si="8"/>
        <v>0</v>
      </c>
      <c r="G104" s="957"/>
      <c r="H104" s="1582"/>
    </row>
    <row r="105" spans="1:8" ht="16.2" customHeight="1" x14ac:dyDescent="0.25">
      <c r="A105" s="1865"/>
      <c r="B105" s="1582"/>
      <c r="C105" s="216" t="str">
        <f>F!C87</f>
        <v>30 to &lt;70% of the AA.</v>
      </c>
      <c r="D105" s="44">
        <f>F!D87</f>
        <v>0</v>
      </c>
      <c r="E105" s="49">
        <v>4</v>
      </c>
      <c r="F105" s="45">
        <f t="shared" si="8"/>
        <v>0</v>
      </c>
      <c r="G105" s="957"/>
      <c r="H105" s="1582"/>
    </row>
    <row r="106" spans="1:8" ht="16.2" customHeight="1" x14ac:dyDescent="0.25">
      <c r="A106" s="1865"/>
      <c r="B106" s="1582"/>
      <c r="C106" s="216" t="str">
        <f>F!C88</f>
        <v>70 to 95% of the AA.</v>
      </c>
      <c r="D106" s="44">
        <f>F!D88</f>
        <v>0</v>
      </c>
      <c r="E106" s="49">
        <v>5</v>
      </c>
      <c r="F106" s="45">
        <f t="shared" si="8"/>
        <v>0</v>
      </c>
      <c r="G106" s="957"/>
      <c r="H106" s="1582"/>
    </row>
    <row r="107" spans="1:8" ht="16.2" customHeight="1" thickBot="1" x14ac:dyDescent="0.3">
      <c r="A107" s="1866"/>
      <c r="B107" s="1600"/>
      <c r="C107" s="254" t="str">
        <f>F!C89</f>
        <v>&gt;95% of the AA.</v>
      </c>
      <c r="D107" s="17">
        <f>F!D89</f>
        <v>0</v>
      </c>
      <c r="E107" s="245">
        <v>6</v>
      </c>
      <c r="F107" s="243">
        <f t="shared" si="8"/>
        <v>0</v>
      </c>
      <c r="G107" s="958"/>
      <c r="H107" s="1600"/>
    </row>
    <row r="108" spans="1:8" ht="30" customHeight="1" thickBot="1" x14ac:dyDescent="0.3">
      <c r="A108" s="1865" t="str">
        <f>F!A100</f>
        <v>F18</v>
      </c>
      <c r="B108" s="1582" t="str">
        <f>F!B100</f>
        <v>Ponded Open Water Distribution - (Driest)  (WaterMixDry)</v>
      </c>
      <c r="C108" s="75" t="str">
        <f>F!C100</f>
        <v>When water levels are lowest, during a normal year, the distribution of ponded open water patches larger than 0.01 acre (400 sq. ft) within the AA is:</v>
      </c>
      <c r="D108" s="549"/>
      <c r="E108" s="1038"/>
      <c r="F108" s="956"/>
      <c r="G108" s="954">
        <f>IF((NeverWater+TempWet&gt;0),"",IF((NoPond2=1),"",IF((NoPondOW2=1),"",MAX(F109:F112)/MAX(E109:E112))))</f>
        <v>0</v>
      </c>
      <c r="H108" s="1582" t="s">
        <v>1626</v>
      </c>
    </row>
    <row r="109" spans="1:8" ht="57" customHeight="1" x14ac:dyDescent="0.25">
      <c r="A109" s="1865"/>
      <c r="B109" s="1582"/>
      <c r="C109" s="215" t="str">
        <f>F!C101</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109" s="44">
        <f>F!D101</f>
        <v>0</v>
      </c>
      <c r="E109" s="952">
        <v>4</v>
      </c>
      <c r="F109" s="45">
        <f>D109*E109</f>
        <v>0</v>
      </c>
      <c r="G109" s="956"/>
      <c r="H109" s="1582"/>
    </row>
    <row r="110" spans="1:8" ht="53.25" customHeight="1" x14ac:dyDescent="0.25">
      <c r="A110" s="1865"/>
      <c r="B110" s="1582"/>
      <c r="C110" s="216" t="str">
        <f>F!C102</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110" s="44">
        <f>F!D102</f>
        <v>0</v>
      </c>
      <c r="E110" s="952">
        <v>3</v>
      </c>
      <c r="F110" s="45">
        <f>D110*E110</f>
        <v>0</v>
      </c>
      <c r="G110" s="956"/>
      <c r="H110" s="1582"/>
    </row>
    <row r="111" spans="1:8" ht="42" customHeight="1" x14ac:dyDescent="0.25">
      <c r="A111" s="1865"/>
      <c r="B111" s="1582"/>
      <c r="C111" s="216" t="str">
        <f>F!C103</f>
        <v xml:space="preserve">(a) Vegetation OR open water comprise &gt;70% of the AA (and its bordering  waters) AND (b) There are several small patches of open water scattered within vegetation or several small vegetation clump "islands" scattered within  open water. </v>
      </c>
      <c r="D111" s="44">
        <f>F!D103</f>
        <v>0</v>
      </c>
      <c r="E111" s="952">
        <v>2</v>
      </c>
      <c r="F111" s="45">
        <f>D111*E111</f>
        <v>0</v>
      </c>
      <c r="G111" s="956"/>
      <c r="H111" s="1582"/>
    </row>
    <row r="112" spans="1:8" ht="72.75" customHeight="1" thickBot="1" x14ac:dyDescent="0.3">
      <c r="A112" s="1865"/>
      <c r="B112" s="1582"/>
      <c r="C112" s="95" t="str">
        <f>F!C104</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112" s="198">
        <f>F!D104</f>
        <v>0</v>
      </c>
      <c r="E112" s="1010">
        <v>1</v>
      </c>
      <c r="F112" s="54">
        <f>D112*E112</f>
        <v>0</v>
      </c>
      <c r="G112" s="994"/>
      <c r="H112" s="1582"/>
    </row>
    <row r="113" spans="1:8" ht="30" customHeight="1" thickBot="1" x14ac:dyDescent="0.3">
      <c r="A113" s="1864" t="str">
        <f>F!A106</f>
        <v>F20</v>
      </c>
      <c r="B113" s="1599" t="str">
        <f>F!B106</f>
        <v xml:space="preserve">Floating-leaved &amp; Submerged Aquatic Vegetation (SAV)  </v>
      </c>
      <c r="C113" s="75" t="str">
        <f>F!C106</f>
        <v>SAV (submerged &amp; floating-leaved aquatic vegetation, excluding the species listed above) occupies an annual maximum of:</v>
      </c>
      <c r="D113" s="549"/>
      <c r="E113" s="1040"/>
      <c r="F113" s="241"/>
      <c r="G113" s="815">
        <f>IF((NeverWater+TempWet&gt;0),"",IF((NoPond2=1),"",IF((NoPondOW2=1),"",IF((D119=1),"",MAX(F114:F119)/MAX(E114:E119)))))</f>
        <v>0</v>
      </c>
      <c r="H113" s="1599" t="s">
        <v>1698</v>
      </c>
    </row>
    <row r="114" spans="1:8" ht="16.2" customHeight="1" x14ac:dyDescent="0.25">
      <c r="A114" s="1865"/>
      <c r="B114" s="1582"/>
      <c r="C114" s="2" t="str">
        <f>F!C107</f>
        <v>none, or &lt;5% of the water area.</v>
      </c>
      <c r="D114" s="44">
        <f>F!D107</f>
        <v>0</v>
      </c>
      <c r="E114" s="952">
        <v>0</v>
      </c>
      <c r="F114" s="45">
        <f>D114*E114</f>
        <v>0</v>
      </c>
      <c r="G114" s="956"/>
      <c r="H114" s="1582"/>
    </row>
    <row r="115" spans="1:8" ht="16.2" customHeight="1" x14ac:dyDescent="0.25">
      <c r="A115" s="1865"/>
      <c r="B115" s="1582"/>
      <c r="C115" s="95" t="str">
        <f>F!C108</f>
        <v>5 to &lt;25% of the water area.</v>
      </c>
      <c r="D115" s="44">
        <f>F!D108</f>
        <v>0</v>
      </c>
      <c r="E115" s="952">
        <v>1</v>
      </c>
      <c r="F115" s="45">
        <f>D115*E115</f>
        <v>0</v>
      </c>
      <c r="G115" s="956"/>
      <c r="H115" s="1582"/>
    </row>
    <row r="116" spans="1:8" ht="16.2" customHeight="1" x14ac:dyDescent="0.25">
      <c r="A116" s="1865"/>
      <c r="B116" s="1582"/>
      <c r="C116" s="95" t="str">
        <f>F!C109</f>
        <v>25 to &lt;50% of the water area.</v>
      </c>
      <c r="D116" s="44">
        <f>F!D109</f>
        <v>0</v>
      </c>
      <c r="E116" s="952">
        <v>2</v>
      </c>
      <c r="F116" s="45">
        <f>D116*E116</f>
        <v>0</v>
      </c>
      <c r="G116" s="956"/>
      <c r="H116" s="1582"/>
    </row>
    <row r="117" spans="1:8" ht="16.2" customHeight="1" x14ac:dyDescent="0.25">
      <c r="A117" s="1865"/>
      <c r="B117" s="1582"/>
      <c r="C117" s="95" t="str">
        <f>F!C110</f>
        <v>50 to 95% of the water area.</v>
      </c>
      <c r="D117" s="44">
        <f>F!D110</f>
        <v>0</v>
      </c>
      <c r="E117" s="952">
        <v>3</v>
      </c>
      <c r="F117" s="45">
        <f>D117*E117</f>
        <v>0</v>
      </c>
      <c r="G117" s="956"/>
      <c r="H117" s="1582"/>
    </row>
    <row r="118" spans="1:8" ht="16.2" customHeight="1" x14ac:dyDescent="0.25">
      <c r="A118" s="1865"/>
      <c r="B118" s="1582"/>
      <c r="C118" s="95" t="str">
        <f>F!C111</f>
        <v>&gt;95% of the water area.</v>
      </c>
      <c r="D118" s="44">
        <f>F!D111</f>
        <v>0</v>
      </c>
      <c r="E118" s="952">
        <v>4</v>
      </c>
      <c r="F118" s="45">
        <f>D118*E118</f>
        <v>0</v>
      </c>
      <c r="G118" s="957"/>
      <c r="H118" s="1582"/>
    </row>
    <row r="119" spans="1:8" ht="16.2" customHeight="1" thickBot="1" x14ac:dyDescent="0.3">
      <c r="A119" s="1866"/>
      <c r="B119" s="1600"/>
      <c r="C119" s="254" t="str">
        <f>F!C112</f>
        <v>many SAV plants present, but impossible to select from the above categories.</v>
      </c>
      <c r="D119" s="198">
        <f>F!D112</f>
        <v>0</v>
      </c>
      <c r="E119" s="1008"/>
      <c r="F119" s="193"/>
      <c r="G119" s="1037"/>
      <c r="H119" s="1600"/>
    </row>
    <row r="120" spans="1:8" ht="21" customHeight="1" thickBot="1" x14ac:dyDescent="0.3">
      <c r="A120" s="1865" t="str">
        <f>F!A120</f>
        <v>F22</v>
      </c>
      <c r="B120" s="1582" t="str">
        <f>F!B120</f>
        <v>Beaver (Beaver)</v>
      </c>
      <c r="C120" s="75" t="str">
        <f>F!C120</f>
        <v>Use of the AA by beaver during the past 5 years is:  Select most applicable ONE.</v>
      </c>
      <c r="D120" s="549"/>
      <c r="E120" s="65"/>
      <c r="F120" s="60"/>
      <c r="G120" s="954">
        <f>IF((NeverWater+TempWet&gt;0),"",IF((NoPondOW2=1),"",MAX(F121:F125)/MAX(E121:E125)))</f>
        <v>0</v>
      </c>
      <c r="H120" s="1582" t="s">
        <v>2002</v>
      </c>
    </row>
    <row r="121" spans="1:8" ht="16.2" customHeight="1" x14ac:dyDescent="0.25">
      <c r="A121" s="1865"/>
      <c r="B121" s="1582"/>
      <c r="C121" s="215" t="str">
        <f>F!C121</f>
        <v>Evident from direct observation or presence of gnawed limbs, dams, tracks, dens, or lodges.</v>
      </c>
      <c r="D121" s="44">
        <f>F!D121</f>
        <v>0</v>
      </c>
      <c r="E121" s="49">
        <v>5</v>
      </c>
      <c r="F121" s="59">
        <f>D121*E121</f>
        <v>0</v>
      </c>
      <c r="G121" s="957"/>
      <c r="H121" s="1582"/>
    </row>
    <row r="122" spans="1:8" ht="67.5" customHeight="1" x14ac:dyDescent="0.25">
      <c r="A122" s="1865"/>
      <c r="B122" s="1582"/>
      <c r="C122" s="216" t="str">
        <f>F!C122</f>
        <v>Very likely based on known occurrence in this part of the region and proximity to ALL of the following (a) a persistent freshwater wetland, pond, or lake, or a perennial low-gradient (&lt;5%) channel, and (b) average valley width is &gt; 150 ft and (c) &gt;20% cumulative cover of aspen, cottonwood, alder, and willow in vegetated areas within 150 ft of the AA's edge.  Or there is evidence of beaver just outside the AA.</v>
      </c>
      <c r="D122" s="44">
        <f>F!D122</f>
        <v>0</v>
      </c>
      <c r="E122" s="49">
        <v>3</v>
      </c>
      <c r="F122" s="59">
        <f>D122*E122</f>
        <v>0</v>
      </c>
      <c r="G122" s="957"/>
      <c r="H122" s="1582"/>
    </row>
    <row r="123" spans="1:8" ht="57" customHeight="1" x14ac:dyDescent="0.25">
      <c r="A123" s="1865"/>
      <c r="B123" s="1582"/>
      <c r="C123" s="216" t="str">
        <f>F!C123</f>
        <v>Somewhat likely based on known occurrence in this part of the region and proximity to ALL of the following (a) a persistent freshwater wetland, pond, or lake, or a perennial low or mid-gradient (&lt;10%) channel, and (b) average valley width is &gt;50 ft, and (c) &gt;20% cumulative cover of hardwood trees and shrubs in vegetated areas within 150 ft of the AA's edge.</v>
      </c>
      <c r="D123" s="44">
        <f>F!D123</f>
        <v>0</v>
      </c>
      <c r="E123" s="49">
        <v>2</v>
      </c>
      <c r="F123" s="59">
        <f>D123*E123</f>
        <v>0</v>
      </c>
      <c r="G123" s="957"/>
      <c r="H123" s="1582"/>
    </row>
    <row r="124" spans="1:8" ht="27" customHeight="1" x14ac:dyDescent="0.25">
      <c r="A124" s="1865"/>
      <c r="B124" s="1582"/>
      <c r="C124" s="216" t="str">
        <f>F!C124</f>
        <v>Unlikely because site characteristics above are deficient, and/or this is an area where beaver are routinely removed.  But beaver occur within 2 miles.</v>
      </c>
      <c r="D124" s="44">
        <f>F!D124</f>
        <v>0</v>
      </c>
      <c r="E124" s="49">
        <v>1</v>
      </c>
      <c r="F124" s="59">
        <f>D124*E124</f>
        <v>0</v>
      </c>
      <c r="G124" s="957"/>
      <c r="H124" s="1582"/>
    </row>
    <row r="125" spans="1:8" ht="16.2" customHeight="1" thickBot="1" x14ac:dyDescent="0.3">
      <c r="A125" s="1865"/>
      <c r="B125" s="1582"/>
      <c r="C125" s="95" t="str">
        <f>F!C125</f>
        <v>None.  Beaver are absent from this part of the region.</v>
      </c>
      <c r="D125" s="198">
        <f>F!D125</f>
        <v>0</v>
      </c>
      <c r="E125" s="67">
        <v>0</v>
      </c>
      <c r="F125" s="58">
        <f>D125*E125</f>
        <v>0</v>
      </c>
      <c r="G125" s="959"/>
      <c r="H125" s="1582"/>
    </row>
    <row r="126" spans="1:8" ht="21" customHeight="1" thickBot="1" x14ac:dyDescent="0.3">
      <c r="A126" s="1864" t="str">
        <f>F!A128</f>
        <v>F25</v>
      </c>
      <c r="B126" s="1599" t="str">
        <f>F!B128</f>
        <v>Water Fluctuation Range - Maximum  (Fluctu)</v>
      </c>
      <c r="C126" s="4" t="str">
        <f>F!C128</f>
        <v>The maximum vertical fluctuation in surface water within the AA, during a normal year is:</v>
      </c>
      <c r="D126" s="65"/>
      <c r="E126" s="210"/>
      <c r="F126" s="955"/>
      <c r="G126" s="815">
        <f>MAX(F127:F131)/MAX(E127:E131)</f>
        <v>0</v>
      </c>
      <c r="H126" s="1599" t="s">
        <v>1628</v>
      </c>
    </row>
    <row r="127" spans="1:8" ht="16.2" customHeight="1" x14ac:dyDescent="0.25">
      <c r="A127" s="1865"/>
      <c r="B127" s="1582"/>
      <c r="C127" s="215" t="str">
        <f>F!C129</f>
        <v>&lt;0.5 ft or stable.</v>
      </c>
      <c r="D127" s="44">
        <f>F!D129</f>
        <v>0</v>
      </c>
      <c r="E127" s="49">
        <v>5</v>
      </c>
      <c r="F127" s="45">
        <f>D127*E127</f>
        <v>0</v>
      </c>
      <c r="G127" s="956"/>
      <c r="H127" s="1582"/>
    </row>
    <row r="128" spans="1:8" ht="16.2" customHeight="1" x14ac:dyDescent="0.25">
      <c r="A128" s="1865"/>
      <c r="B128" s="1582"/>
      <c r="C128" s="216" t="str">
        <f>F!C130</f>
        <v>0.5 to &lt; 1 ft.</v>
      </c>
      <c r="D128" s="44">
        <f>F!D130</f>
        <v>0</v>
      </c>
      <c r="E128" s="49">
        <v>4</v>
      </c>
      <c r="F128" s="45">
        <f>D128*E128</f>
        <v>0</v>
      </c>
      <c r="G128" s="957"/>
      <c r="H128" s="1582"/>
    </row>
    <row r="129" spans="1:8" ht="16.2" customHeight="1" x14ac:dyDescent="0.25">
      <c r="A129" s="1865"/>
      <c r="B129" s="1582"/>
      <c r="C129" s="216" t="str">
        <f>F!C131</f>
        <v>1 to &lt;3 ft.</v>
      </c>
      <c r="D129" s="44">
        <f>F!D131</f>
        <v>0</v>
      </c>
      <c r="E129" s="49">
        <v>3</v>
      </c>
      <c r="F129" s="45">
        <f>D129*E129</f>
        <v>0</v>
      </c>
      <c r="G129" s="957"/>
      <c r="H129" s="1582"/>
    </row>
    <row r="130" spans="1:8" ht="16.2" customHeight="1" x14ac:dyDescent="0.25">
      <c r="A130" s="1865"/>
      <c r="B130" s="1582"/>
      <c r="C130" s="216" t="str">
        <f>F!C132</f>
        <v>3 to 6 ft.</v>
      </c>
      <c r="D130" s="44">
        <f>F!D132</f>
        <v>0</v>
      </c>
      <c r="E130" s="49">
        <v>2</v>
      </c>
      <c r="F130" s="45">
        <f>D130*E130</f>
        <v>0</v>
      </c>
      <c r="G130" s="957"/>
      <c r="H130" s="1582"/>
    </row>
    <row r="131" spans="1:8" ht="16.2" customHeight="1" thickBot="1" x14ac:dyDescent="0.3">
      <c r="A131" s="1866"/>
      <c r="B131" s="1600"/>
      <c r="C131" s="254" t="str">
        <f>F!C133</f>
        <v>&gt;6 ft.</v>
      </c>
      <c r="D131" s="17">
        <f>F!D133</f>
        <v>0</v>
      </c>
      <c r="E131" s="245">
        <v>1</v>
      </c>
      <c r="F131" s="193">
        <f>D131*E131</f>
        <v>0</v>
      </c>
      <c r="G131" s="958"/>
      <c r="H131" s="1600"/>
    </row>
    <row r="132" spans="1:8" ht="21" customHeight="1" thickBot="1" x14ac:dyDescent="0.3">
      <c r="A132" s="1864" t="str">
        <f>F!A140</f>
        <v>F27</v>
      </c>
      <c r="B132" s="1599" t="str">
        <f>F!B140</f>
        <v>Salinity, Alkalinity, Conductance (Salin)</v>
      </c>
      <c r="C132" s="114" t="str">
        <f>F!C140</f>
        <v>The AA's surface water is mostly:</v>
      </c>
      <c r="D132" s="210"/>
      <c r="E132" s="210"/>
      <c r="F132" s="192"/>
      <c r="G132" s="815">
        <f>IF((D136=1),"",MAX(F133:F135)/MAX(E133:E135))</f>
        <v>0</v>
      </c>
      <c r="H132" s="1599" t="s">
        <v>246</v>
      </c>
    </row>
    <row r="133" spans="1:8" ht="42" customHeight="1" x14ac:dyDescent="0.25">
      <c r="A133" s="1865"/>
      <c r="B133" s="1582"/>
      <c r="C133" s="449" t="str">
        <f>F!C141</f>
        <v>Brackish or saline. Plants that indicate saline conditions dominate the vegetation. Salt crust may be obvious around the perimeter and on flats.</v>
      </c>
      <c r="D133" s="44">
        <f>F!D141</f>
        <v>0</v>
      </c>
      <c r="E133" s="49">
        <v>0</v>
      </c>
      <c r="F133" s="59">
        <f>D133*E133</f>
        <v>0</v>
      </c>
      <c r="G133" s="957"/>
      <c r="H133" s="1582"/>
    </row>
    <row r="134" spans="1:8" ht="27" customHeight="1" x14ac:dyDescent="0.25">
      <c r="A134" s="1865"/>
      <c r="B134" s="1582"/>
      <c r="C134" s="450" t="str">
        <f>F!C142</f>
        <v>Slightly brackish.  Plants that indicate saline conditions are common.  Salt crust may or may not be present along perimeter.</v>
      </c>
      <c r="D134" s="44">
        <f>F!D142</f>
        <v>0</v>
      </c>
      <c r="E134" s="49">
        <v>1</v>
      </c>
      <c r="F134" s="59">
        <f>D134*E134</f>
        <v>0</v>
      </c>
      <c r="G134" s="957"/>
      <c r="H134" s="1582"/>
    </row>
    <row r="135" spans="1:8" ht="27" customHeight="1" x14ac:dyDescent="0.25">
      <c r="A135" s="1865"/>
      <c r="B135" s="1582"/>
      <c r="C135" s="450" t="str">
        <f>F!C143</f>
        <v>Fresh.  [Note:  Assume this to be the condition unless wetland is known to be a playa or there is other contradicting evidence].</v>
      </c>
      <c r="D135" s="44">
        <f>F!D143</f>
        <v>0</v>
      </c>
      <c r="E135" s="49">
        <v>2</v>
      </c>
      <c r="F135" s="59">
        <f>D135*E135</f>
        <v>0</v>
      </c>
      <c r="G135" s="959"/>
      <c r="H135" s="1582"/>
    </row>
    <row r="136" spans="1:8" ht="16.2" customHeight="1" thickBot="1" x14ac:dyDescent="0.3">
      <c r="A136" s="1866"/>
      <c r="B136" s="1600"/>
      <c r="C136" s="286" t="str">
        <f>F!C144</f>
        <v>Unknown.</v>
      </c>
      <c r="D136" s="17">
        <f>F!D144</f>
        <v>0</v>
      </c>
      <c r="E136" s="67"/>
      <c r="F136" s="58"/>
      <c r="G136" s="959"/>
      <c r="H136" s="1582"/>
    </row>
    <row r="137" spans="1:8" ht="45" customHeight="1" thickBot="1" x14ac:dyDescent="0.3">
      <c r="A137" s="910" t="str">
        <f>F!A145</f>
        <v>F28</v>
      </c>
      <c r="B137" s="712" t="str">
        <f>F!B145</f>
        <v>Fish &amp; Waterborne Pests (FishAcc)</v>
      </c>
      <c r="C137" s="75" t="str">
        <f>F!C148</f>
        <v>Fish (native or stocked) are known to be present in the AA, or can access it during at least one day annually.</v>
      </c>
      <c r="D137" s="220">
        <f>F!D148</f>
        <v>0</v>
      </c>
      <c r="E137" s="880"/>
      <c r="F137" s="835"/>
      <c r="G137" s="815">
        <f>1-D137</f>
        <v>1</v>
      </c>
      <c r="H137" s="4" t="s">
        <v>37</v>
      </c>
    </row>
    <row r="138" spans="1:8" ht="30" customHeight="1" thickBot="1" x14ac:dyDescent="0.3">
      <c r="A138" s="1864" t="str">
        <f>F!A150</f>
        <v>F29</v>
      </c>
      <c r="B138" s="1599" t="str">
        <f>F!B150</f>
        <v>Non-native Aquatic Animals (PestAnim)</v>
      </c>
      <c r="C138" s="75" t="str">
        <f>F!C150</f>
        <v>The following are known or likely to have reproducing populations in this AA, its wetland, or in water bodies within 300 ft that connect to the AA at least seasonally.  Select All that apply:</v>
      </c>
      <c r="D138" s="549"/>
      <c r="E138" s="208"/>
      <c r="F138" s="241"/>
      <c r="G138" s="996">
        <f>IF((D139+D140+D141&gt;1),0,1)</f>
        <v>1</v>
      </c>
      <c r="H138" s="1599" t="s">
        <v>1134</v>
      </c>
    </row>
    <row r="139" spans="1:8" ht="16.2" customHeight="1" x14ac:dyDescent="0.25">
      <c r="A139" s="1865"/>
      <c r="B139" s="1582"/>
      <c r="C139" s="2" t="str">
        <f>F!C151</f>
        <v>Non-native amphibians (e.g., bullfrog) or reptiles (e.g., red-ear slider).</v>
      </c>
      <c r="D139" s="44">
        <f>F!D151</f>
        <v>0</v>
      </c>
      <c r="E139" s="865">
        <v>1</v>
      </c>
      <c r="F139" s="59">
        <f>D139*E139</f>
        <v>0</v>
      </c>
      <c r="G139" s="1041"/>
      <c r="H139" s="1582"/>
    </row>
    <row r="140" spans="1:8" ht="16.2" customHeight="1" x14ac:dyDescent="0.25">
      <c r="A140" s="1865"/>
      <c r="B140" s="1582"/>
      <c r="C140" s="95" t="str">
        <f>F!C152</f>
        <v>Carp.</v>
      </c>
      <c r="D140" s="44">
        <f>F!D152</f>
        <v>0</v>
      </c>
      <c r="E140" s="865">
        <v>1</v>
      </c>
      <c r="F140" s="59">
        <f>D140*E140</f>
        <v>0</v>
      </c>
      <c r="G140" s="1042"/>
      <c r="H140" s="1582"/>
    </row>
    <row r="141" spans="1:8" ht="16.2" customHeight="1" thickBot="1" x14ac:dyDescent="0.3">
      <c r="A141" s="1866"/>
      <c r="B141" s="1600"/>
      <c r="C141" s="254" t="str">
        <f>F!C153</f>
        <v>Non-native fish that prey on tadpoles or turtles (e.g., bass, walleye, crappie, brook trout).</v>
      </c>
      <c r="D141" s="17">
        <f>F!D153</f>
        <v>0</v>
      </c>
      <c r="E141" s="992">
        <v>1</v>
      </c>
      <c r="F141" s="243">
        <f>D141*E141</f>
        <v>0</v>
      </c>
      <c r="G141" s="1043"/>
      <c r="H141" s="1600"/>
    </row>
    <row r="142" spans="1:8" ht="21" customHeight="1" thickBot="1" x14ac:dyDescent="0.3">
      <c r="A142" s="1864" t="str">
        <f>F!A183</f>
        <v>F36</v>
      </c>
      <c r="B142" s="1599" t="str">
        <f>F!B183</f>
        <v>Internal Gradient (Gradient)</v>
      </c>
      <c r="C142" s="836" t="str">
        <f>F!C183</f>
        <v>The gradient from the lowest to highest point of land within the AA (or from outlet to inlet) is:</v>
      </c>
      <c r="D142" s="549"/>
      <c r="E142" s="210"/>
      <c r="F142" s="878"/>
      <c r="G142" s="815">
        <f>MAX(F143:F146)/MAX(E143:E146)</f>
        <v>0</v>
      </c>
      <c r="H142" s="1599" t="s">
        <v>247</v>
      </c>
    </row>
    <row r="143" spans="1:8" ht="16.2" customHeight="1" x14ac:dyDescent="0.25">
      <c r="A143" s="1865"/>
      <c r="B143" s="1582"/>
      <c r="C143" s="449" t="str">
        <f>F!C184</f>
        <v>&lt;2% (internal flow is absent or barely detectable; basically flat).</v>
      </c>
      <c r="D143" s="44">
        <f>F!D184</f>
        <v>0</v>
      </c>
      <c r="E143" s="49">
        <v>4</v>
      </c>
      <c r="F143" s="844">
        <f>D143*E143</f>
        <v>0</v>
      </c>
      <c r="G143" s="792"/>
      <c r="H143" s="1582"/>
    </row>
    <row r="144" spans="1:8" ht="16.2" customHeight="1" x14ac:dyDescent="0.25">
      <c r="A144" s="1865"/>
      <c r="B144" s="1582"/>
      <c r="C144" s="450" t="str">
        <f>F!C185</f>
        <v>2 to &lt;6%.</v>
      </c>
      <c r="D144" s="44">
        <f>F!D185</f>
        <v>0</v>
      </c>
      <c r="E144" s="49">
        <v>2</v>
      </c>
      <c r="F144" s="844">
        <f>D144*E144</f>
        <v>0</v>
      </c>
      <c r="G144" s="793"/>
      <c r="H144" s="1582"/>
    </row>
    <row r="145" spans="1:8" ht="16.2" customHeight="1" x14ac:dyDescent="0.25">
      <c r="A145" s="1865"/>
      <c r="B145" s="1582"/>
      <c r="C145" s="450" t="str">
        <f>F!C186</f>
        <v>6 to 10%.</v>
      </c>
      <c r="D145" s="44">
        <f>F!D186</f>
        <v>0</v>
      </c>
      <c r="E145" s="49">
        <v>1</v>
      </c>
      <c r="F145" s="844">
        <f>D145*E145</f>
        <v>0</v>
      </c>
      <c r="G145" s="793"/>
      <c r="H145" s="1582"/>
    </row>
    <row r="146" spans="1:8" ht="16.2" customHeight="1" thickBot="1" x14ac:dyDescent="0.3">
      <c r="A146" s="1866"/>
      <c r="B146" s="1600"/>
      <c r="C146" s="443" t="str">
        <f>F!C187</f>
        <v>&gt;10%.</v>
      </c>
      <c r="D146" s="17">
        <f>F!D187</f>
        <v>0</v>
      </c>
      <c r="E146" s="245">
        <v>0</v>
      </c>
      <c r="F146" s="845">
        <f>D146*E146</f>
        <v>0</v>
      </c>
      <c r="G146" s="794"/>
      <c r="H146" s="1600"/>
    </row>
    <row r="147" spans="1:8" s="77" customFormat="1" ht="56.25" customHeight="1" thickBot="1" x14ac:dyDescent="0.3">
      <c r="A147" s="1865" t="str">
        <f>F!A213</f>
        <v>F42</v>
      </c>
      <c r="B147" s="1582" t="str">
        <f>F!B213</f>
        <v>Mowing, Grazing, Fire (VegCut)</v>
      </c>
      <c r="C147" s="836" t="str">
        <f>F!C213</f>
        <v>There is evidence that grazing by domestic or wild animals -- or mowing (multiple times per year), plowing, herbicides, harvesting, or fire -- has repeatedly reduced the AA's vegetation cover (plants that normally grows taller than 4") to less than 4 inches, or has created an obvious browse line, over the following extent:</v>
      </c>
      <c r="D147" s="549"/>
      <c r="E147" s="865"/>
      <c r="F147" s="46"/>
      <c r="G147" s="954">
        <f>MAX(F148:F152)/MAX(E148:E152)</f>
        <v>0</v>
      </c>
      <c r="H147" s="1582" t="s">
        <v>428</v>
      </c>
    </row>
    <row r="148" spans="1:8" s="77" customFormat="1" ht="16.2" customHeight="1" x14ac:dyDescent="0.25">
      <c r="A148" s="1865"/>
      <c r="B148" s="1582"/>
      <c r="C148" s="449" t="str">
        <f>F!C214</f>
        <v>0% (No evidence of such activities).</v>
      </c>
      <c r="D148" s="44">
        <f>F!D214</f>
        <v>0</v>
      </c>
      <c r="E148" s="848">
        <v>5</v>
      </c>
      <c r="F148" s="45">
        <f>D148*E148</f>
        <v>0</v>
      </c>
      <c r="G148" s="957"/>
      <c r="H148" s="1582"/>
    </row>
    <row r="149" spans="1:8" s="77" customFormat="1" ht="27" customHeight="1" x14ac:dyDescent="0.25">
      <c r="A149" s="1865"/>
      <c r="B149" s="1582"/>
      <c r="C149" s="450" t="str">
        <f>F!C215</f>
        <v>Trace to 5% of the normally vegetated AA (grazing, mowing, or fire have occurred but vegetation height effects are mostly unnoticeable).</v>
      </c>
      <c r="D149" s="44">
        <f>F!D215</f>
        <v>0</v>
      </c>
      <c r="E149" s="848">
        <v>4</v>
      </c>
      <c r="F149" s="45">
        <f>D149*E149</f>
        <v>0</v>
      </c>
      <c r="G149" s="957"/>
      <c r="H149" s="1582"/>
    </row>
    <row r="150" spans="1:8" s="77" customFormat="1" ht="16.2" customHeight="1" x14ac:dyDescent="0.25">
      <c r="A150" s="1865"/>
      <c r="B150" s="1582"/>
      <c r="C150" s="450" t="str">
        <f>F!C216</f>
        <v>5 to &lt;50% of the normally vegetated AA.</v>
      </c>
      <c r="D150" s="44">
        <f>F!D216</f>
        <v>0</v>
      </c>
      <c r="E150" s="848">
        <v>2</v>
      </c>
      <c r="F150" s="45">
        <f>D150*E150</f>
        <v>0</v>
      </c>
      <c r="G150" s="957"/>
      <c r="H150" s="1582"/>
    </row>
    <row r="151" spans="1:8" s="77" customFormat="1" ht="16.2" customHeight="1" x14ac:dyDescent="0.25">
      <c r="A151" s="1865"/>
      <c r="B151" s="1582"/>
      <c r="C151" s="450" t="str">
        <f>F!C217</f>
        <v>50 to 95% of the normally vegetated AA.</v>
      </c>
      <c r="D151" s="44">
        <f>F!D217</f>
        <v>0</v>
      </c>
      <c r="E151" s="848">
        <v>1</v>
      </c>
      <c r="F151" s="45">
        <f>D151*E151</f>
        <v>0</v>
      </c>
      <c r="G151" s="957"/>
      <c r="H151" s="1582"/>
    </row>
    <row r="152" spans="1:8" s="77" customFormat="1" ht="16.2" customHeight="1" thickBot="1" x14ac:dyDescent="0.3">
      <c r="A152" s="1865"/>
      <c r="B152" s="1582"/>
      <c r="C152" s="286" t="str">
        <f>F!C218</f>
        <v>&gt;95% of the normally vegetated AA.</v>
      </c>
      <c r="D152" s="17">
        <f>F!D218</f>
        <v>0</v>
      </c>
      <c r="E152" s="868">
        <v>0</v>
      </c>
      <c r="F152" s="54">
        <f>D152*E152</f>
        <v>0</v>
      </c>
      <c r="G152" s="959"/>
      <c r="H152" s="1582"/>
    </row>
    <row r="153" spans="1:8" ht="45" customHeight="1" thickBot="1" x14ac:dyDescent="0.3">
      <c r="A153" s="1864" t="str">
        <f>F!A240</f>
        <v>F48</v>
      </c>
      <c r="B153" s="1599" t="str">
        <f>F!B240</f>
        <v>Abovewater Wood (WoodOver)</v>
      </c>
      <c r="C153" s="114" t="str">
        <f>F!C240</f>
        <v>The number of horizontal wood pieces thicker than 4 inches that are partly submerged during most of the spring or early summer, thus potentially serving as basking sites for turtles, birds, or frogs and cover for fish is:</v>
      </c>
      <c r="D153" s="210"/>
      <c r="E153" s="210"/>
      <c r="F153" s="1044"/>
      <c r="G153" s="815">
        <f>IF((NeverWater+TempWet&gt;0),"",IF((HistOpenland=1),"",MAX(F154:F156)/MAX(E154:E156)))</f>
        <v>0</v>
      </c>
      <c r="H153" s="1599" t="s">
        <v>1739</v>
      </c>
    </row>
    <row r="154" spans="1:8" ht="16.2" customHeight="1" x14ac:dyDescent="0.25">
      <c r="A154" s="1865"/>
      <c r="B154" s="1582"/>
      <c r="C154" s="449" t="str">
        <f>F!C241</f>
        <v>None.</v>
      </c>
      <c r="D154" s="44">
        <f>F!D241</f>
        <v>0</v>
      </c>
      <c r="E154" s="49">
        <v>0</v>
      </c>
      <c r="F154" s="843">
        <f>D154*E154</f>
        <v>0</v>
      </c>
      <c r="G154" s="793"/>
      <c r="H154" s="1582"/>
    </row>
    <row r="155" spans="1:8" ht="16.2" customHeight="1" x14ac:dyDescent="0.25">
      <c r="A155" s="1865"/>
      <c r="B155" s="1582"/>
      <c r="C155" s="450" t="str">
        <f>F!C242</f>
        <v>Few.</v>
      </c>
      <c r="D155" s="44">
        <f>F!D242</f>
        <v>0</v>
      </c>
      <c r="E155" s="49">
        <v>1</v>
      </c>
      <c r="F155" s="843">
        <f>D155*E155</f>
        <v>0</v>
      </c>
      <c r="G155" s="793"/>
      <c r="H155" s="1582"/>
    </row>
    <row r="156" spans="1:8" ht="16.2" customHeight="1" thickBot="1" x14ac:dyDescent="0.3">
      <c r="A156" s="1866"/>
      <c r="B156" s="1600"/>
      <c r="C156" s="443" t="str">
        <f>F!C243</f>
        <v>Several (e.g., &gt;3 per 300 ft of channel or shoreline).</v>
      </c>
      <c r="D156" s="17">
        <f>F!D243</f>
        <v>0</v>
      </c>
      <c r="E156" s="245">
        <v>2</v>
      </c>
      <c r="F156" s="845">
        <f>D156*E156</f>
        <v>0</v>
      </c>
      <c r="G156" s="794"/>
      <c r="H156" s="1600"/>
    </row>
    <row r="157" spans="1:8" ht="30" customHeight="1" thickBot="1" x14ac:dyDescent="0.3">
      <c r="A157" s="1865" t="str">
        <f>F!A244</f>
        <v>F49</v>
      </c>
      <c r="B157" s="1582" t="str">
        <f>F!B244</f>
        <v>Downed Wood (WoodDown)</v>
      </c>
      <c r="C157" s="836" t="str">
        <f>F!C244</f>
        <v>The number of downed wood pieces longer than 6 ft and with diameter &gt;4 inches that are not submerged during most of the growing season, is:</v>
      </c>
      <c r="D157" s="549"/>
      <c r="E157" s="65"/>
      <c r="F157" s="866"/>
      <c r="G157" s="954">
        <f>IF((NoWoody=1),"",IF((HistOpenland=1),"",MAX(F158:F159)/MAX(E158:E159)))</f>
        <v>0</v>
      </c>
      <c r="H157" s="1582" t="s">
        <v>1740</v>
      </c>
    </row>
    <row r="158" spans="1:8" ht="16.2" customHeight="1" x14ac:dyDescent="0.25">
      <c r="A158" s="1865"/>
      <c r="B158" s="1582"/>
      <c r="C158" s="449" t="str">
        <f>F!C245</f>
        <v>Few or none.</v>
      </c>
      <c r="D158" s="44">
        <f>F!D245</f>
        <v>0</v>
      </c>
      <c r="E158" s="49">
        <v>0</v>
      </c>
      <c r="F158" s="843">
        <f>D158*E158</f>
        <v>0</v>
      </c>
      <c r="G158" s="793"/>
      <c r="H158" s="1582"/>
    </row>
    <row r="159" spans="1:8" ht="16.2" customHeight="1" thickBot="1" x14ac:dyDescent="0.3">
      <c r="A159" s="1865"/>
      <c r="B159" s="1582"/>
      <c r="C159" s="286" t="str">
        <f>F!C246</f>
        <v>Several.</v>
      </c>
      <c r="D159" s="198">
        <f>F!D246</f>
        <v>0</v>
      </c>
      <c r="E159" s="67">
        <v>1</v>
      </c>
      <c r="F159" s="844">
        <f>D159*E159</f>
        <v>0</v>
      </c>
      <c r="G159" s="800"/>
      <c r="H159" s="1582"/>
    </row>
    <row r="160" spans="1:8" ht="30" customHeight="1" thickBot="1" x14ac:dyDescent="0.3">
      <c r="A160" s="1864" t="str">
        <f>F!A260</f>
        <v>F52</v>
      </c>
      <c r="B160" s="1599" t="str">
        <f>F!B260</f>
        <v>Upland Perennial Cover - % of Perimeter (PerimPctPer)</v>
      </c>
      <c r="C160" s="75" t="str">
        <f>F!C260</f>
        <v xml:space="preserve">The percentage of the AA's edge (perimeter) that is comprised of a band of upland perennial cover wider than 10 ft and taller than 6 inches, during most of the growing season is:  </v>
      </c>
      <c r="D160" s="549"/>
      <c r="E160" s="208"/>
      <c r="F160" s="192"/>
      <c r="G160" s="815">
        <f>MAX(F161:F166)/MAX(E161:E166)</f>
        <v>0</v>
      </c>
      <c r="H160" s="1599" t="s">
        <v>1132</v>
      </c>
    </row>
    <row r="161" spans="1:8" ht="16.2" customHeight="1" x14ac:dyDescent="0.25">
      <c r="A161" s="1983"/>
      <c r="B161" s="1987"/>
      <c r="C161" s="2" t="str">
        <f>F!C261</f>
        <v>&lt;5%.</v>
      </c>
      <c r="D161" s="44">
        <f>F!D261</f>
        <v>0</v>
      </c>
      <c r="E161" s="848">
        <v>0</v>
      </c>
      <c r="F161" s="45">
        <f t="shared" ref="F161:F166" si="9">D161*E161</f>
        <v>0</v>
      </c>
      <c r="G161" s="959"/>
      <c r="H161" s="1985"/>
    </row>
    <row r="162" spans="1:8" ht="16.2" customHeight="1" x14ac:dyDescent="0.25">
      <c r="A162" s="1983"/>
      <c r="B162" s="1987"/>
      <c r="C162" s="95" t="str">
        <f>F!C262</f>
        <v>5 to &lt;25%.</v>
      </c>
      <c r="D162" s="44">
        <f>F!D262</f>
        <v>0</v>
      </c>
      <c r="E162" s="848">
        <v>1</v>
      </c>
      <c r="F162" s="45">
        <f t="shared" si="9"/>
        <v>0</v>
      </c>
      <c r="G162" s="959"/>
      <c r="H162" s="1985"/>
    </row>
    <row r="163" spans="1:8" ht="16.2" customHeight="1" x14ac:dyDescent="0.25">
      <c r="A163" s="1983"/>
      <c r="B163" s="1987"/>
      <c r="C163" s="95" t="str">
        <f>F!C263</f>
        <v>25 to &lt;50%.</v>
      </c>
      <c r="D163" s="44">
        <f>F!D263</f>
        <v>0</v>
      </c>
      <c r="E163" s="848">
        <v>3</v>
      </c>
      <c r="F163" s="45">
        <f t="shared" si="9"/>
        <v>0</v>
      </c>
      <c r="G163" s="959"/>
      <c r="H163" s="1985"/>
    </row>
    <row r="164" spans="1:8" ht="16.2" customHeight="1" x14ac:dyDescent="0.25">
      <c r="A164" s="1983"/>
      <c r="B164" s="1987"/>
      <c r="C164" s="95" t="str">
        <f>F!C264</f>
        <v>50 to &lt;75%.</v>
      </c>
      <c r="D164" s="44">
        <f>F!D264</f>
        <v>0</v>
      </c>
      <c r="E164" s="848">
        <v>4</v>
      </c>
      <c r="F164" s="45">
        <f t="shared" si="9"/>
        <v>0</v>
      </c>
      <c r="G164" s="959"/>
      <c r="H164" s="1985"/>
    </row>
    <row r="165" spans="1:8" ht="16.2" customHeight="1" x14ac:dyDescent="0.25">
      <c r="A165" s="1983"/>
      <c r="B165" s="1987"/>
      <c r="C165" s="95" t="str">
        <f>F!C265</f>
        <v>75 to 95%.</v>
      </c>
      <c r="D165" s="44">
        <f>F!D265</f>
        <v>0</v>
      </c>
      <c r="E165" s="848">
        <v>5</v>
      </c>
      <c r="F165" s="45">
        <f t="shared" si="9"/>
        <v>0</v>
      </c>
      <c r="G165" s="959"/>
      <c r="H165" s="1985"/>
    </row>
    <row r="166" spans="1:8" ht="16.2" customHeight="1" thickBot="1" x14ac:dyDescent="0.3">
      <c r="A166" s="1984"/>
      <c r="B166" s="1988"/>
      <c r="C166" s="254" t="str">
        <f>F!C266</f>
        <v>&gt;95%.</v>
      </c>
      <c r="D166" s="198">
        <f>F!D266</f>
        <v>0</v>
      </c>
      <c r="E166" s="470">
        <v>6</v>
      </c>
      <c r="F166" s="193">
        <f t="shared" si="9"/>
        <v>0</v>
      </c>
      <c r="G166" s="958"/>
      <c r="H166" s="1654"/>
    </row>
    <row r="167" spans="1:8" ht="70.5" customHeight="1" thickBot="1" x14ac:dyDescent="0.3">
      <c r="A167" s="1865" t="str">
        <f>F!A267</f>
        <v>F53</v>
      </c>
      <c r="B167" s="1582" t="str">
        <f>F!B267</f>
        <v>Upland Perennial Cover - Width (Buffer)  (BuffWidth)</v>
      </c>
      <c r="C167" s="75"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67" s="549"/>
      <c r="E167" s="65"/>
      <c r="F167" s="963"/>
      <c r="G167" s="954">
        <f>MAX(F168:F173)/MAX(E168:E173)</f>
        <v>0</v>
      </c>
      <c r="H167" s="1582" t="s">
        <v>0</v>
      </c>
    </row>
    <row r="168" spans="1:8" ht="18" customHeight="1" x14ac:dyDescent="0.25">
      <c r="A168" s="1983"/>
      <c r="B168" s="1987"/>
      <c r="C168" s="2" t="str">
        <f>F!C268</f>
        <v xml:space="preserve">&lt; 5 ft, or none.  </v>
      </c>
      <c r="D168" s="44">
        <f>F!D268</f>
        <v>0</v>
      </c>
      <c r="E168" s="848">
        <v>0</v>
      </c>
      <c r="F168" s="45">
        <f t="shared" ref="F168:F173" si="10">D168*E168</f>
        <v>0</v>
      </c>
      <c r="G168" s="956"/>
      <c r="H168" s="1985"/>
    </row>
    <row r="169" spans="1:8" ht="18" customHeight="1" x14ac:dyDescent="0.25">
      <c r="A169" s="1983"/>
      <c r="B169" s="1987"/>
      <c r="C169" s="95" t="str">
        <f>F!C269</f>
        <v>5 to &lt;30 ft.</v>
      </c>
      <c r="D169" s="44">
        <f>F!D269</f>
        <v>0</v>
      </c>
      <c r="E169" s="848">
        <v>2</v>
      </c>
      <c r="F169" s="45">
        <f t="shared" si="10"/>
        <v>0</v>
      </c>
      <c r="G169" s="957"/>
      <c r="H169" s="1985"/>
    </row>
    <row r="170" spans="1:8" ht="18" customHeight="1" x14ac:dyDescent="0.25">
      <c r="A170" s="1983"/>
      <c r="B170" s="1987"/>
      <c r="C170" s="95" t="str">
        <f>F!C270</f>
        <v>30 to &lt;50 ft.</v>
      </c>
      <c r="D170" s="44">
        <f>F!D270</f>
        <v>0</v>
      </c>
      <c r="E170" s="848">
        <v>3</v>
      </c>
      <c r="F170" s="45">
        <f t="shared" si="10"/>
        <v>0</v>
      </c>
      <c r="G170" s="957"/>
      <c r="H170" s="1985"/>
    </row>
    <row r="171" spans="1:8" ht="18" customHeight="1" x14ac:dyDescent="0.25">
      <c r="A171" s="1983"/>
      <c r="B171" s="1987"/>
      <c r="C171" s="95" t="str">
        <f>F!C271</f>
        <v>50 to &lt;100 ft.</v>
      </c>
      <c r="D171" s="44">
        <f>F!D271</f>
        <v>0</v>
      </c>
      <c r="E171" s="848">
        <v>4</v>
      </c>
      <c r="F171" s="45">
        <f t="shared" si="10"/>
        <v>0</v>
      </c>
      <c r="G171" s="957"/>
      <c r="H171" s="1985"/>
    </row>
    <row r="172" spans="1:8" ht="18" customHeight="1" x14ac:dyDescent="0.25">
      <c r="A172" s="1983"/>
      <c r="B172" s="1987"/>
      <c r="C172" s="95" t="str">
        <f>F!C272</f>
        <v>100  to 300 ft.</v>
      </c>
      <c r="D172" s="44">
        <f>F!D272</f>
        <v>0</v>
      </c>
      <c r="E172" s="848">
        <v>5</v>
      </c>
      <c r="F172" s="45">
        <f t="shared" si="10"/>
        <v>0</v>
      </c>
      <c r="G172" s="959"/>
      <c r="H172" s="1985"/>
    </row>
    <row r="173" spans="1:8" ht="18" customHeight="1" thickBot="1" x14ac:dyDescent="0.3">
      <c r="A173" s="1983"/>
      <c r="B173" s="1987"/>
      <c r="C173" s="95" t="str">
        <f>F!C273</f>
        <v xml:space="preserve">&gt; 300 ft. </v>
      </c>
      <c r="D173" s="17">
        <f>F!D273</f>
        <v>0</v>
      </c>
      <c r="E173" s="868">
        <v>6</v>
      </c>
      <c r="F173" s="54">
        <f t="shared" si="10"/>
        <v>0</v>
      </c>
      <c r="G173" s="959"/>
      <c r="H173" s="1985"/>
    </row>
    <row r="174" spans="1:8" ht="41.25" customHeight="1" thickBot="1" x14ac:dyDescent="0.3">
      <c r="A174" s="1864" t="str">
        <f>F!A288</f>
        <v>F56</v>
      </c>
      <c r="B174" s="1599" t="str">
        <f>F!B288</f>
        <v>Bare Ground &amp; Accumulated Plant Litter (Gcover)</v>
      </c>
      <c r="C174" s="75" t="str">
        <f>F!C288</f>
        <v>Consider the parts of the AA that go dry during a normal year. Viewed from 6 inches above the soil surface, the condition in most of that area just before the year's longest inundation period begins is:</v>
      </c>
      <c r="D174" s="549"/>
      <c r="E174" s="208"/>
      <c r="F174" s="192"/>
      <c r="G174" s="815">
        <f>IF((D179=1),"",MAX(F175:F178)/MAX(E175:E178))</f>
        <v>0</v>
      </c>
      <c r="H174" s="1599" t="s">
        <v>426</v>
      </c>
    </row>
    <row r="175" spans="1:8" ht="52.5" customHeight="1" x14ac:dyDescent="0.25">
      <c r="A175" s="1865"/>
      <c r="B175" s="1582"/>
      <c r="C175" s="215"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175" s="44">
        <f>F!D289</f>
        <v>0</v>
      </c>
      <c r="E175" s="848">
        <v>3</v>
      </c>
      <c r="F175" s="45">
        <f>D175*E175</f>
        <v>0</v>
      </c>
      <c r="G175" s="957"/>
      <c r="H175" s="1582"/>
    </row>
    <row r="176" spans="1:8" ht="27" customHeight="1" x14ac:dyDescent="0.25">
      <c r="A176" s="1865"/>
      <c r="B176" s="1582"/>
      <c r="C176" s="216" t="str">
        <f>F!C290</f>
        <v>Some (5-20%) bare ground or remaining thatch is visible.  Herbaceous plants have moderate stem densities and do not closely hug the ground.</v>
      </c>
      <c r="D176" s="44">
        <f>F!D290</f>
        <v>0</v>
      </c>
      <c r="E176" s="848">
        <v>4</v>
      </c>
      <c r="F176" s="45">
        <f>D176*E176</f>
        <v>0</v>
      </c>
      <c r="G176" s="957"/>
      <c r="H176" s="1582"/>
    </row>
    <row r="177" spans="1:54" ht="27" customHeight="1" x14ac:dyDescent="0.25">
      <c r="A177" s="1865"/>
      <c r="B177" s="1582"/>
      <c r="C177" s="216" t="str">
        <f>F!C291</f>
        <v>Much (20-50%) bare ground or thatch is visible.  Low stem density and/or tall plants with little living ground cover during early growing season.</v>
      </c>
      <c r="D177" s="44">
        <f>F!D291</f>
        <v>0</v>
      </c>
      <c r="E177" s="848">
        <v>2</v>
      </c>
      <c r="F177" s="45">
        <f>D177*E177</f>
        <v>0</v>
      </c>
      <c r="G177" s="957"/>
      <c r="H177" s="1582"/>
    </row>
    <row r="178" spans="1:54" ht="16.2" customHeight="1" x14ac:dyDescent="0.25">
      <c r="A178" s="1865"/>
      <c r="B178" s="1582"/>
      <c r="C178" s="216" t="str">
        <f>F!C292</f>
        <v>Mostly (&gt;50%) bare ground or thatch.</v>
      </c>
      <c r="D178" s="44">
        <f>F!D292</f>
        <v>0</v>
      </c>
      <c r="E178" s="848">
        <v>1</v>
      </c>
      <c r="F178" s="45">
        <f>D178*E178</f>
        <v>0</v>
      </c>
      <c r="G178" s="957"/>
      <c r="H178" s="1582"/>
    </row>
    <row r="179" spans="1:54" ht="16.2" customHeight="1" thickBot="1" x14ac:dyDescent="0.3">
      <c r="A179" s="1866"/>
      <c r="B179" s="1600"/>
      <c r="C179" s="254" t="str">
        <f>F!C293</f>
        <v>Not applicable.  All of the AA is inundated throughout most years.</v>
      </c>
      <c r="D179" s="17">
        <f>F!D293</f>
        <v>0</v>
      </c>
      <c r="E179" s="470"/>
      <c r="F179" s="193"/>
      <c r="G179" s="958"/>
      <c r="H179" s="1600"/>
    </row>
    <row r="180" spans="1:54" s="9" customFormat="1" ht="44.25" customHeight="1" thickBot="1" x14ac:dyDescent="0.3">
      <c r="A180" s="1865" t="str">
        <f>F!A294</f>
        <v>F57</v>
      </c>
      <c r="B180" s="1582" t="str">
        <f>F!B294</f>
        <v>Ground Irregularity (Girreg)</v>
      </c>
      <c r="C180" s="75" t="str">
        <f>F!C294</f>
        <v xml:space="preserve"> In parts of the AA that lack persistent water, the number of small pits, raised mounds, hummocks, boulders, upturned trees, animal burrows, islands, natural levees, wide soil cracks, and microdepressions is:</v>
      </c>
      <c r="D180" s="549"/>
      <c r="E180" s="65"/>
      <c r="F180" s="963"/>
      <c r="G180" s="954">
        <f>MAX(F181:F183)/MAX(E181:E183)</f>
        <v>0</v>
      </c>
      <c r="H180" s="1896" t="s">
        <v>177</v>
      </c>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12"/>
    </row>
    <row r="181" spans="1:54" s="9" customFormat="1" ht="27" customHeight="1" x14ac:dyDescent="0.25">
      <c r="A181" s="1865"/>
      <c r="B181" s="1582"/>
      <c r="C181" s="215" t="str">
        <f>F!C295</f>
        <v>Few or none, or the entire AA is always water-covered.  Minimal microtopography; &lt;1% of the AA, e.g., many flat sites having a single hydroperiod.</v>
      </c>
      <c r="D181" s="44">
        <f>F!D295</f>
        <v>0</v>
      </c>
      <c r="E181" s="848">
        <v>0</v>
      </c>
      <c r="F181" s="45">
        <f>D181*E181</f>
        <v>0</v>
      </c>
      <c r="G181" s="956"/>
      <c r="H181" s="162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12"/>
    </row>
    <row r="182" spans="1:54" s="9" customFormat="1" ht="16.2" customHeight="1" x14ac:dyDescent="0.25">
      <c r="A182" s="1865"/>
      <c r="B182" s="1582"/>
      <c r="C182" s="216" t="str">
        <f>F!C296</f>
        <v>Intermediate.</v>
      </c>
      <c r="D182" s="44">
        <f>F!D296</f>
        <v>0</v>
      </c>
      <c r="E182" s="49">
        <v>1</v>
      </c>
      <c r="F182" s="45">
        <f>D182*E182</f>
        <v>0</v>
      </c>
      <c r="G182" s="957"/>
      <c r="H182" s="162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12"/>
    </row>
    <row r="183" spans="1:54" s="9" customFormat="1" ht="16.2" customHeight="1" thickBot="1" x14ac:dyDescent="0.3">
      <c r="A183" s="1865"/>
      <c r="B183" s="1582"/>
      <c r="C183" s="95" t="str">
        <f>F!C297</f>
        <v>Several (extensive micro-topography).</v>
      </c>
      <c r="D183" s="17">
        <f>F!D297</f>
        <v>0</v>
      </c>
      <c r="E183" s="67">
        <v>2</v>
      </c>
      <c r="F183" s="54">
        <f>D183*E183</f>
        <v>0</v>
      </c>
      <c r="G183" s="959"/>
      <c r="H183" s="1897"/>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12"/>
    </row>
    <row r="184" spans="1:54" ht="60" customHeight="1" thickBot="1" x14ac:dyDescent="0.3">
      <c r="A184" s="1864" t="str">
        <f>F!A328</f>
        <v>F68</v>
      </c>
      <c r="B184" s="1599" t="str">
        <f>F!B328</f>
        <v>Core Area 1 (VisitNo)</v>
      </c>
      <c r="C184" s="75"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184" s="549"/>
      <c r="E184" s="1007"/>
      <c r="F184" s="955"/>
      <c r="G184" s="815">
        <f>MAX(F185:F190)/MAX(E185:E190)</f>
        <v>0</v>
      </c>
      <c r="H184" s="1599" t="s">
        <v>427</v>
      </c>
    </row>
    <row r="185" spans="1:54" ht="16.2" customHeight="1" x14ac:dyDescent="0.25">
      <c r="A185" s="1865"/>
      <c r="B185" s="1582"/>
      <c r="C185" s="215" t="str">
        <f>F!C329</f>
        <v>&lt;5% and no inhabited building is within 300 ft of the AA.</v>
      </c>
      <c r="D185" s="44">
        <f>F!D329</f>
        <v>0</v>
      </c>
      <c r="E185" s="1045">
        <v>1</v>
      </c>
      <c r="F185" s="45">
        <f t="shared" ref="F185:F190" si="11">D185*E185</f>
        <v>0</v>
      </c>
      <c r="G185" s="956"/>
      <c r="H185" s="1582"/>
    </row>
    <row r="186" spans="1:54" ht="16.2" customHeight="1" x14ac:dyDescent="0.25">
      <c r="A186" s="1865"/>
      <c r="B186" s="1582"/>
      <c r="C186" s="216" t="str">
        <f>F!C330</f>
        <v>&lt;5% and inhabited building is within 300 ft of the AA.</v>
      </c>
      <c r="D186" s="44">
        <f>F!D330</f>
        <v>0</v>
      </c>
      <c r="E186" s="1045">
        <v>0</v>
      </c>
      <c r="F186" s="45">
        <f t="shared" si="11"/>
        <v>0</v>
      </c>
      <c r="G186" s="957"/>
      <c r="H186" s="1582"/>
    </row>
    <row r="187" spans="1:54" ht="16.2" customHeight="1" x14ac:dyDescent="0.25">
      <c r="A187" s="1865"/>
      <c r="B187" s="1582"/>
      <c r="C187" s="216" t="str">
        <f>F!C331</f>
        <v>5 to &lt;50% and no inhabited building is within 300 ft of the AA.</v>
      </c>
      <c r="D187" s="44">
        <f>F!D331</f>
        <v>0</v>
      </c>
      <c r="E187" s="1045">
        <v>3</v>
      </c>
      <c r="F187" s="45">
        <f t="shared" si="11"/>
        <v>0</v>
      </c>
      <c r="G187" s="957"/>
      <c r="H187" s="1582"/>
    </row>
    <row r="188" spans="1:54" ht="16.2" customHeight="1" x14ac:dyDescent="0.25">
      <c r="A188" s="1865"/>
      <c r="B188" s="1582"/>
      <c r="C188" s="216" t="str">
        <f>F!C332</f>
        <v>5 to &lt;50% and inhabited building is within 300 ft of the AA.</v>
      </c>
      <c r="D188" s="44">
        <f>F!D332</f>
        <v>0</v>
      </c>
      <c r="E188" s="1045">
        <v>2</v>
      </c>
      <c r="F188" s="45">
        <f t="shared" si="11"/>
        <v>0</v>
      </c>
      <c r="G188" s="957"/>
      <c r="H188" s="1582"/>
    </row>
    <row r="189" spans="1:54" ht="16.2" customHeight="1" x14ac:dyDescent="0.25">
      <c r="A189" s="1865"/>
      <c r="B189" s="1582"/>
      <c r="C189" s="216" t="str">
        <f>F!C333</f>
        <v>50 to 95% with or without inhabited building nearby.</v>
      </c>
      <c r="D189" s="44">
        <f>F!D333</f>
        <v>0</v>
      </c>
      <c r="E189" s="1045">
        <v>4</v>
      </c>
      <c r="F189" s="45">
        <f t="shared" si="11"/>
        <v>0</v>
      </c>
      <c r="G189" s="957"/>
      <c r="H189" s="1582"/>
    </row>
    <row r="190" spans="1:54" ht="16.2" customHeight="1" thickBot="1" x14ac:dyDescent="0.3">
      <c r="A190" s="1866"/>
      <c r="B190" s="1600"/>
      <c r="C190" s="254" t="str">
        <f>F!C334</f>
        <v>&gt;95% of the AA with or without inhabited building nearby.</v>
      </c>
      <c r="D190" s="17">
        <f>F!D334</f>
        <v>0</v>
      </c>
      <c r="E190" s="1046">
        <v>5</v>
      </c>
      <c r="F190" s="193">
        <f t="shared" si="11"/>
        <v>0</v>
      </c>
      <c r="G190" s="958"/>
      <c r="H190" s="1600"/>
    </row>
    <row r="191" spans="1:54" ht="30" customHeight="1" thickBot="1" x14ac:dyDescent="0.3">
      <c r="A191" s="1865" t="str">
        <f>F!A335</f>
        <v>F69</v>
      </c>
      <c r="B191" s="1582" t="str">
        <f>F!B335</f>
        <v>Core Area 2 (VisitOften)</v>
      </c>
      <c r="C191" s="75" t="str">
        <f>F!C335</f>
        <v>The part of the AA visited by humans almost daily for several weeks during an average growing season probably comprises:  [The Note in the preceding question applies here as well].</v>
      </c>
      <c r="D191" s="549"/>
      <c r="E191" s="1047"/>
      <c r="F191" s="963"/>
      <c r="G191" s="954">
        <f>MAX(F192:F195)/MAX(E192:E195)</f>
        <v>0</v>
      </c>
      <c r="H191" s="1582" t="s">
        <v>124</v>
      </c>
    </row>
    <row r="192" spans="1:54" ht="16.2" customHeight="1" x14ac:dyDescent="0.25">
      <c r="A192" s="1865"/>
      <c r="B192" s="1582"/>
      <c r="C192" s="215" t="str">
        <f>F!C336</f>
        <v>&lt;5%.</v>
      </c>
      <c r="D192" s="44">
        <f>F!D336</f>
        <v>0</v>
      </c>
      <c r="E192" s="1045">
        <v>3</v>
      </c>
      <c r="F192" s="45">
        <f>D192*E192</f>
        <v>0</v>
      </c>
      <c r="G192" s="956"/>
      <c r="H192" s="1582"/>
    </row>
    <row r="193" spans="1:8" ht="16.2" customHeight="1" x14ac:dyDescent="0.25">
      <c r="A193" s="1865"/>
      <c r="B193" s="1582"/>
      <c r="C193" s="216" t="str">
        <f>F!C337</f>
        <v>5 to &lt;50%.</v>
      </c>
      <c r="D193" s="44">
        <f>F!D337</f>
        <v>0</v>
      </c>
      <c r="E193" s="1045">
        <v>2</v>
      </c>
      <c r="F193" s="45">
        <f>D193*E193</f>
        <v>0</v>
      </c>
      <c r="G193" s="957"/>
      <c r="H193" s="1582"/>
    </row>
    <row r="194" spans="1:8" ht="16.2" customHeight="1" x14ac:dyDescent="0.25">
      <c r="A194" s="1865"/>
      <c r="B194" s="1582"/>
      <c r="C194" s="216" t="str">
        <f>F!C338</f>
        <v>50 to 95%.</v>
      </c>
      <c r="D194" s="44">
        <f>F!D338</f>
        <v>0</v>
      </c>
      <c r="E194" s="1045">
        <v>1</v>
      </c>
      <c r="F194" s="45">
        <f>D194*E194</f>
        <v>0</v>
      </c>
      <c r="G194" s="957"/>
      <c r="H194" s="1582"/>
    </row>
    <row r="195" spans="1:8" ht="16.2" customHeight="1" thickBot="1" x14ac:dyDescent="0.3">
      <c r="A195" s="1865"/>
      <c r="B195" s="1582"/>
      <c r="C195" s="95" t="str">
        <f>F!C339</f>
        <v>&gt;95% of the AA.</v>
      </c>
      <c r="D195" s="44">
        <f>F!D339</f>
        <v>0</v>
      </c>
      <c r="E195" s="1048">
        <v>0</v>
      </c>
      <c r="F195" s="54">
        <f>D195*E195</f>
        <v>0</v>
      </c>
      <c r="G195" s="959"/>
      <c r="H195" s="1582"/>
    </row>
    <row r="196" spans="1:8" s="435" customFormat="1" ht="36" customHeight="1" thickBot="1" x14ac:dyDescent="0.3">
      <c r="A196" s="1049" t="s">
        <v>126</v>
      </c>
      <c r="B196" s="1049" t="s">
        <v>1466</v>
      </c>
      <c r="C196" s="1050" t="s">
        <v>1271</v>
      </c>
      <c r="D196" s="1049" t="s">
        <v>115</v>
      </c>
      <c r="E196" s="1051" t="s">
        <v>771</v>
      </c>
      <c r="F196" s="1049" t="s">
        <v>1461</v>
      </c>
      <c r="G196" s="1052" t="s">
        <v>1273</v>
      </c>
      <c r="H196" s="1049" t="s">
        <v>772</v>
      </c>
    </row>
    <row r="197" spans="1:8" ht="21" customHeight="1" thickBot="1" x14ac:dyDescent="0.3">
      <c r="A197" s="1969" t="str">
        <f>T!A5</f>
        <v>T1</v>
      </c>
      <c r="B197" s="1975" t="str">
        <f>T!B5</f>
        <v>Estuarine Position (EstPosT)</v>
      </c>
      <c r="C197" s="219" t="str">
        <f>T!C5</f>
        <v>The AA's relative position in the estuary is:</v>
      </c>
      <c r="D197" s="1053"/>
      <c r="E197" s="1054"/>
      <c r="F197" s="192"/>
      <c r="G197" s="1055">
        <f>MAX(F198:F200)/MAX(E198:E200)</f>
        <v>0</v>
      </c>
      <c r="H197" s="1911" t="s">
        <v>2019</v>
      </c>
    </row>
    <row r="198" spans="1:8" ht="24.75" customHeight="1" x14ac:dyDescent="0.25">
      <c r="A198" s="1970"/>
      <c r="B198" s="1976"/>
      <c r="C198" s="148" t="str">
        <f>T!C6</f>
        <v>Lower 1/3 (often on a bay and distant from the head-of-tide of a major river; includes most saline tidal wetlands).</v>
      </c>
      <c r="D198" s="47">
        <f>T!D6</f>
        <v>0</v>
      </c>
      <c r="E198" s="1056">
        <v>0</v>
      </c>
      <c r="F198" s="45">
        <f>D198*E198</f>
        <v>0</v>
      </c>
      <c r="G198" s="1057"/>
      <c r="H198" s="1912"/>
    </row>
    <row r="199" spans="1:8" x14ac:dyDescent="0.25">
      <c r="A199" s="1970"/>
      <c r="B199" s="1976"/>
      <c r="C199" s="145" t="str">
        <f>T!C7</f>
        <v>Mid 1/3.</v>
      </c>
      <c r="D199" s="47">
        <f>T!D7</f>
        <v>0</v>
      </c>
      <c r="E199" s="1056">
        <v>1</v>
      </c>
      <c r="F199" s="45">
        <f>D199*E199</f>
        <v>0</v>
      </c>
      <c r="G199" s="1058"/>
      <c r="H199" s="1912"/>
    </row>
    <row r="200" spans="1:8" ht="14.4" thickBot="1" x14ac:dyDescent="0.3">
      <c r="A200" s="1971"/>
      <c r="B200" s="1977"/>
      <c r="C200" s="149" t="str">
        <f>T!C8</f>
        <v>Upper 1/3 (near the head-of-tide of a major river; includes most brackish and fresh tidal wetlands).</v>
      </c>
      <c r="D200" s="242">
        <f>T!D8</f>
        <v>0</v>
      </c>
      <c r="E200" s="1059">
        <v>2</v>
      </c>
      <c r="F200" s="193">
        <f>D200*E200</f>
        <v>0</v>
      </c>
      <c r="G200" s="1060"/>
      <c r="H200" s="1913"/>
    </row>
    <row r="201" spans="1:8" ht="21" customHeight="1" thickBot="1" x14ac:dyDescent="0.3">
      <c r="A201" s="1061" t="str">
        <f>T!A9</f>
        <v>T2</v>
      </c>
      <c r="B201" s="1976" t="str">
        <f>T!B9</f>
        <v>Salinity (SalinT)</v>
      </c>
      <c r="C201" s="219" t="str">
        <f>T!C9</f>
        <v>At high tide during most of the year, the daily salinity in most of the inundated part of the AA is:</v>
      </c>
      <c r="D201" s="1062"/>
      <c r="E201" s="1056"/>
      <c r="F201" s="46"/>
      <c r="G201" s="1055">
        <f>MAX(F202:F206)/MAX(E202:E206)</f>
        <v>0</v>
      </c>
      <c r="H201" s="1911" t="s">
        <v>2020</v>
      </c>
    </row>
    <row r="202" spans="1:8" x14ac:dyDescent="0.25">
      <c r="A202" s="1063"/>
      <c r="B202" s="1976"/>
      <c r="C202" s="148" t="str">
        <f>T!C10</f>
        <v xml:space="preserve">Saline (&gt;25 ppt salinity, undiluted seawater).  </v>
      </c>
      <c r="D202" s="47">
        <f>T!D10</f>
        <v>0</v>
      </c>
      <c r="E202" s="1056">
        <v>0</v>
      </c>
      <c r="F202" s="45">
        <f t="shared" ref="F202:F253" si="12">D202*E202</f>
        <v>0</v>
      </c>
      <c r="G202" s="998"/>
      <c r="H202" s="1912"/>
    </row>
    <row r="203" spans="1:8" x14ac:dyDescent="0.25">
      <c r="A203" s="1063"/>
      <c r="B203" s="1976"/>
      <c r="C203" s="145" t="str">
        <f>T!C11</f>
        <v>Moderately saline (5 to 25 ppt salinity).</v>
      </c>
      <c r="D203" s="47">
        <f>T!D11</f>
        <v>0</v>
      </c>
      <c r="E203" s="1064">
        <v>0</v>
      </c>
      <c r="F203" s="45">
        <f t="shared" si="12"/>
        <v>0</v>
      </c>
      <c r="G203" s="998"/>
      <c r="H203" s="1912"/>
    </row>
    <row r="204" spans="1:8" x14ac:dyDescent="0.25">
      <c r="A204" s="1063"/>
      <c r="B204" s="1976"/>
      <c r="C204" s="145" t="str">
        <f>T!C12</f>
        <v>Brackish (0.5 to &lt;5 ppt salinity, "oligohaline").</v>
      </c>
      <c r="D204" s="47">
        <f>T!D12</f>
        <v>0</v>
      </c>
      <c r="E204" s="1064">
        <v>1</v>
      </c>
      <c r="F204" s="45">
        <f t="shared" si="12"/>
        <v>0</v>
      </c>
      <c r="G204" s="998"/>
      <c r="H204" s="1912"/>
    </row>
    <row r="205" spans="1:8" x14ac:dyDescent="0.25">
      <c r="A205" s="1063"/>
      <c r="B205" s="1976"/>
      <c r="C205" s="145" t="str">
        <f>T!C13</f>
        <v>Fresh (&lt;0.5 ppt salinity).</v>
      </c>
      <c r="D205" s="47">
        <f>T!D13</f>
        <v>0</v>
      </c>
      <c r="E205" s="1064">
        <v>3</v>
      </c>
      <c r="F205" s="45">
        <f t="shared" si="12"/>
        <v>0</v>
      </c>
      <c r="G205" s="998"/>
      <c r="H205" s="1912"/>
    </row>
    <row r="206" spans="1:8" ht="14.4" thickBot="1" x14ac:dyDescent="0.3">
      <c r="A206" s="1063"/>
      <c r="B206" s="1976"/>
      <c r="C206" s="1065" t="str">
        <f>T!C14</f>
        <v>Unknown.</v>
      </c>
      <c r="D206" s="80">
        <f>T!D14</f>
        <v>0</v>
      </c>
      <c r="E206" s="1066">
        <v>0</v>
      </c>
      <c r="F206" s="54">
        <f t="shared" si="12"/>
        <v>0</v>
      </c>
      <c r="G206" s="1067"/>
      <c r="H206" s="1913"/>
    </row>
    <row r="207" spans="1:8" ht="30" customHeight="1" thickBot="1" x14ac:dyDescent="0.3">
      <c r="A207" s="1068" t="str">
        <f>T!A15</f>
        <v>T3</v>
      </c>
      <c r="B207" s="1975" t="str">
        <f>T!B15</f>
        <v>Low Marsh (LowMarshT)</v>
      </c>
      <c r="C207" s="219" t="str">
        <f>T!C15</f>
        <v>The percent of the vegetated part of the AA that is "low marsh" (covered by tidal water for part of almost every day) is:</v>
      </c>
      <c r="D207" s="1062"/>
      <c r="E207" s="1054"/>
      <c r="F207" s="192"/>
      <c r="G207" s="1055">
        <f>MAX(F208:F214)/MAX(E208:E214)</f>
        <v>0</v>
      </c>
      <c r="H207" s="1911" t="s">
        <v>2021</v>
      </c>
    </row>
    <row r="208" spans="1:8" x14ac:dyDescent="0.25">
      <c r="A208" s="1063"/>
      <c r="B208" s="1976"/>
      <c r="C208" s="148" t="str">
        <f>T!C16</f>
        <v>None, or &lt;1%.</v>
      </c>
      <c r="D208" s="47">
        <f>T!D16</f>
        <v>0</v>
      </c>
      <c r="E208" s="1064">
        <v>6</v>
      </c>
      <c r="F208" s="45">
        <f t="shared" si="12"/>
        <v>0</v>
      </c>
      <c r="G208" s="998"/>
      <c r="H208" s="1912"/>
    </row>
    <row r="209" spans="1:8" x14ac:dyDescent="0.25">
      <c r="A209" s="1063"/>
      <c r="B209" s="1976"/>
      <c r="C209" s="145" t="str">
        <f>T!C17</f>
        <v>1 to &lt;10%.</v>
      </c>
      <c r="D209" s="47">
        <f>T!D17</f>
        <v>0</v>
      </c>
      <c r="E209" s="1064">
        <v>5</v>
      </c>
      <c r="F209" s="45">
        <f t="shared" si="12"/>
        <v>0</v>
      </c>
      <c r="G209" s="998"/>
      <c r="H209" s="1912"/>
    </row>
    <row r="210" spans="1:8" x14ac:dyDescent="0.25">
      <c r="A210" s="1063"/>
      <c r="B210" s="1976"/>
      <c r="C210" s="145" t="str">
        <f>T!C18</f>
        <v>10 to &lt;25%.</v>
      </c>
      <c r="D210" s="47">
        <f>T!D18</f>
        <v>0</v>
      </c>
      <c r="E210" s="1064">
        <v>4</v>
      </c>
      <c r="F210" s="45">
        <f t="shared" si="12"/>
        <v>0</v>
      </c>
      <c r="G210" s="998"/>
      <c r="H210" s="1912"/>
    </row>
    <row r="211" spans="1:8" x14ac:dyDescent="0.25">
      <c r="A211" s="1063"/>
      <c r="B211" s="1976"/>
      <c r="C211" s="145" t="str">
        <f>T!C19</f>
        <v>25 &lt;50%.</v>
      </c>
      <c r="D211" s="47">
        <f>T!D19</f>
        <v>0</v>
      </c>
      <c r="E211" s="1064">
        <v>3</v>
      </c>
      <c r="F211" s="45">
        <f t="shared" si="12"/>
        <v>0</v>
      </c>
      <c r="G211" s="998"/>
      <c r="H211" s="1912"/>
    </row>
    <row r="212" spans="1:8" x14ac:dyDescent="0.25">
      <c r="A212" s="1063"/>
      <c r="B212" s="1976"/>
      <c r="C212" s="145" t="str">
        <f>T!C20</f>
        <v>50 to &lt;75%.</v>
      </c>
      <c r="D212" s="47">
        <f>T!D20</f>
        <v>0</v>
      </c>
      <c r="E212" s="1064">
        <v>2</v>
      </c>
      <c r="F212" s="45">
        <f t="shared" si="12"/>
        <v>0</v>
      </c>
      <c r="G212" s="998"/>
      <c r="H212" s="1912"/>
    </row>
    <row r="213" spans="1:8" x14ac:dyDescent="0.25">
      <c r="A213" s="1063"/>
      <c r="B213" s="1976"/>
      <c r="C213" s="145" t="str">
        <f>T!C21</f>
        <v>75 to 90%.</v>
      </c>
      <c r="D213" s="47">
        <f>T!D21</f>
        <v>0</v>
      </c>
      <c r="E213" s="1064">
        <v>1</v>
      </c>
      <c r="F213" s="45">
        <f t="shared" si="12"/>
        <v>0</v>
      </c>
      <c r="G213" s="998"/>
      <c r="H213" s="1912"/>
    </row>
    <row r="214" spans="1:8" ht="14.4" thickBot="1" x14ac:dyDescent="0.3">
      <c r="A214" s="1069"/>
      <c r="B214" s="1977"/>
      <c r="C214" s="149" t="str">
        <f>T!C22</f>
        <v>&gt;90%.</v>
      </c>
      <c r="D214" s="242">
        <f>T!D22</f>
        <v>0</v>
      </c>
      <c r="E214" s="1070">
        <v>0</v>
      </c>
      <c r="F214" s="193">
        <f t="shared" si="12"/>
        <v>0</v>
      </c>
      <c r="G214" s="999"/>
      <c r="H214" s="1913"/>
    </row>
    <row r="215" spans="1:8" ht="30" customHeight="1" thickBot="1" x14ac:dyDescent="0.3">
      <c r="A215" s="1966" t="str">
        <f>T!A23</f>
        <v>T4</v>
      </c>
      <c r="B215" s="1976" t="str">
        <f>T!B23</f>
        <v>Width of Vegetated Zone at Daily High Tide (WidthHiT)</v>
      </c>
      <c r="C215" s="219" t="str">
        <f>T!C23</f>
        <v>At average daily HIGH tide condition, the width of the vegetated wetland that separates adjoining uplands (if any) from subtidal water within or adjoining the AA, is predominantly:</v>
      </c>
      <c r="D215" s="1062"/>
      <c r="E215" s="1054"/>
      <c r="F215" s="192"/>
      <c r="G215" s="1055">
        <f>MAX(F216:F221)/MAX(E216:E221)</f>
        <v>0</v>
      </c>
      <c r="H215" s="1911" t="s">
        <v>2022</v>
      </c>
    </row>
    <row r="216" spans="1:8" x14ac:dyDescent="0.25">
      <c r="A216" s="1967"/>
      <c r="B216" s="1976"/>
      <c r="C216" s="148" t="str">
        <f>T!C24</f>
        <v>&lt;5 ft, or no vegetation between upland and subtidal water.</v>
      </c>
      <c r="D216" s="47">
        <f>T!D24</f>
        <v>0</v>
      </c>
      <c r="E216" s="1064">
        <v>0</v>
      </c>
      <c r="F216" s="45">
        <f t="shared" si="12"/>
        <v>0</v>
      </c>
      <c r="G216" s="998"/>
      <c r="H216" s="1912"/>
    </row>
    <row r="217" spans="1:8" x14ac:dyDescent="0.25">
      <c r="A217" s="1967"/>
      <c r="B217" s="1976"/>
      <c r="C217" s="145" t="str">
        <f>T!C25</f>
        <v>5 to &lt;30 ft.</v>
      </c>
      <c r="D217" s="47">
        <f>T!D25</f>
        <v>0</v>
      </c>
      <c r="E217" s="1064">
        <v>1</v>
      </c>
      <c r="F217" s="45">
        <f t="shared" si="12"/>
        <v>0</v>
      </c>
      <c r="G217" s="998"/>
      <c r="H217" s="1912"/>
    </row>
    <row r="218" spans="1:8" x14ac:dyDescent="0.25">
      <c r="A218" s="1967"/>
      <c r="B218" s="1976"/>
      <c r="C218" s="145" t="str">
        <f>T!C26</f>
        <v>30 to &lt;50 ft.</v>
      </c>
      <c r="D218" s="47">
        <f>T!D26</f>
        <v>0</v>
      </c>
      <c r="E218" s="1064">
        <v>2</v>
      </c>
      <c r="F218" s="45">
        <f t="shared" si="12"/>
        <v>0</v>
      </c>
      <c r="G218" s="998"/>
      <c r="H218" s="1912"/>
    </row>
    <row r="219" spans="1:8" x14ac:dyDescent="0.25">
      <c r="A219" s="1967"/>
      <c r="B219" s="1976"/>
      <c r="C219" s="145" t="str">
        <f>T!C27</f>
        <v>50 to &lt;100 ft.</v>
      </c>
      <c r="D219" s="47">
        <f>T!D27</f>
        <v>0</v>
      </c>
      <c r="E219" s="1064">
        <v>3</v>
      </c>
      <c r="F219" s="45">
        <f t="shared" si="12"/>
        <v>0</v>
      </c>
      <c r="G219" s="998"/>
      <c r="H219" s="1912"/>
    </row>
    <row r="220" spans="1:8" x14ac:dyDescent="0.25">
      <c r="A220" s="1967"/>
      <c r="B220" s="1976"/>
      <c r="C220" s="145" t="str">
        <f>T!C28</f>
        <v>100 to 300 ft.</v>
      </c>
      <c r="D220" s="47">
        <f>T!D28</f>
        <v>0</v>
      </c>
      <c r="E220" s="1064">
        <v>4</v>
      </c>
      <c r="F220" s="45">
        <f t="shared" si="12"/>
        <v>0</v>
      </c>
      <c r="G220" s="998"/>
      <c r="H220" s="1912"/>
    </row>
    <row r="221" spans="1:8" ht="14.4" thickBot="1" x14ac:dyDescent="0.3">
      <c r="A221" s="1968"/>
      <c r="B221" s="1977"/>
      <c r="C221" s="149" t="str">
        <f>T!C29</f>
        <v>&gt; 300 ft.</v>
      </c>
      <c r="D221" s="242">
        <f>T!D29</f>
        <v>0</v>
      </c>
      <c r="E221" s="1070">
        <v>5</v>
      </c>
      <c r="F221" s="193">
        <f t="shared" si="12"/>
        <v>0</v>
      </c>
      <c r="G221" s="999"/>
      <c r="H221" s="1913"/>
    </row>
    <row r="222" spans="1:8" ht="30" customHeight="1" thickBot="1" x14ac:dyDescent="0.3">
      <c r="A222" s="1969" t="str">
        <f>T!A42</f>
        <v>T7</v>
      </c>
      <c r="B222" s="1975" t="str">
        <f>T!B42</f>
        <v>Outflow Duration (OutDuraT)</v>
      </c>
      <c r="C222" s="219" t="str">
        <f>T!C42</f>
        <v>The most durable surface water connection (outlet channel, ditch, tidegate, pipe, overbank water exchange) between the AA and marine waters, which allows fish passage, is:</v>
      </c>
      <c r="D222" s="1062"/>
      <c r="E222" s="1054"/>
      <c r="F222" s="192"/>
      <c r="G222" s="1055">
        <f>MAX(F223:F226)/MAX(E223:E226)</f>
        <v>0</v>
      </c>
      <c r="H222" s="1911" t="s">
        <v>2023</v>
      </c>
    </row>
    <row r="223" spans="1:8" x14ac:dyDescent="0.25">
      <c r="A223" s="1970"/>
      <c r="B223" s="1976"/>
      <c r="C223" s="148" t="str">
        <f>T!C43</f>
        <v>Regular (nearly all of the daily high tides, &gt;9 months/year).</v>
      </c>
      <c r="D223" s="47">
        <f>T!D43</f>
        <v>0</v>
      </c>
      <c r="E223" s="1064">
        <v>0</v>
      </c>
      <c r="F223" s="45">
        <f t="shared" si="12"/>
        <v>0</v>
      </c>
      <c r="G223" s="998"/>
      <c r="H223" s="1912"/>
    </row>
    <row r="224" spans="1:8" x14ac:dyDescent="0.25">
      <c r="A224" s="1970"/>
      <c r="B224" s="1976"/>
      <c r="C224" s="145" t="str">
        <f>T!C44</f>
        <v>Seasonal (14 days to 9 months/year, not necessarily consecutive, at least monthly).</v>
      </c>
      <c r="D224" s="47">
        <f>T!D44</f>
        <v>0</v>
      </c>
      <c r="E224" s="1064">
        <v>1</v>
      </c>
      <c r="F224" s="45">
        <f t="shared" si="12"/>
        <v>0</v>
      </c>
      <c r="G224" s="998"/>
      <c r="H224" s="1912"/>
    </row>
    <row r="225" spans="1:8" ht="27.6" x14ac:dyDescent="0.25">
      <c r="A225" s="1970"/>
      <c r="B225" s="1976"/>
      <c r="C225" s="145" t="str">
        <f>T!C45</f>
        <v>Temporary (mainly during "king tide", "spring tide", or peak discharge flow in an associated river; &lt;14 days per year, not necessarily consecutive).</v>
      </c>
      <c r="D225" s="47">
        <f>T!D45</f>
        <v>0</v>
      </c>
      <c r="E225" s="1064">
        <v>3</v>
      </c>
      <c r="F225" s="45">
        <f t="shared" si="12"/>
        <v>0</v>
      </c>
      <c r="G225" s="998"/>
      <c r="H225" s="1912"/>
    </row>
    <row r="226" spans="1:8" ht="14.4" thickBot="1" x14ac:dyDescent="0.3">
      <c r="A226" s="1971"/>
      <c r="B226" s="1692"/>
      <c r="C226" s="149" t="str">
        <f>T!C46</f>
        <v>No tidal connection allows fish passage between marine waters and the AA.</v>
      </c>
      <c r="D226" s="242">
        <f>T!D46</f>
        <v>0</v>
      </c>
      <c r="E226" s="1070">
        <v>4</v>
      </c>
      <c r="F226" s="193">
        <f t="shared" si="12"/>
        <v>0</v>
      </c>
      <c r="G226" s="999"/>
      <c r="H226" s="1913"/>
    </row>
    <row r="227" spans="1:8" ht="21" customHeight="1" thickBot="1" x14ac:dyDescent="0.3">
      <c r="A227" s="1972" t="str">
        <f>T!A57</f>
        <v>T10</v>
      </c>
      <c r="B227" s="1522" t="str">
        <f>T!B57</f>
        <v>Tidal-Nontidal Hydro- connectivity (TnonT)</v>
      </c>
      <c r="C227" s="4" t="str">
        <f>T!C57</f>
        <v>This tidal wetland is : Select first one that applies.</v>
      </c>
      <c r="D227" s="1062"/>
      <c r="E227" s="1054"/>
      <c r="F227" s="192"/>
      <c r="G227" s="1055">
        <f>MAX(F228:F233)/MAX(E228:E233)</f>
        <v>0</v>
      </c>
      <c r="H227" s="1911" t="s">
        <v>2024</v>
      </c>
    </row>
    <row r="228" spans="1:8" ht="27.6" x14ac:dyDescent="0.25">
      <c r="A228" s="1973"/>
      <c r="B228" s="1521"/>
      <c r="C228" s="112" t="str">
        <f>T!C58</f>
        <v xml:space="preserve">Adjacent to a nontidal palustrine wetland that contains surface water at least seasonally. Anadromous fish can access both wetlands during spring. Mostly not separated by a dike or other barrier.  </v>
      </c>
      <c r="D228" s="44">
        <f>T!D58</f>
        <v>0</v>
      </c>
      <c r="E228" s="1064">
        <v>4</v>
      </c>
      <c r="F228" s="45">
        <f t="shared" si="12"/>
        <v>0</v>
      </c>
      <c r="G228" s="998"/>
      <c r="H228" s="1912"/>
    </row>
    <row r="229" spans="1:8" ht="27.6" x14ac:dyDescent="0.25">
      <c r="A229" s="1973"/>
      <c r="B229" s="1521"/>
      <c r="C229" s="84" t="str">
        <f>T!C59</f>
        <v>Adjacent to a nontidal palustrine wetland that contains surface water at least seasonally. Anadromous fish can access both wetlands during spring.  Mostly separated by a dike, road, or other partial barrier.</v>
      </c>
      <c r="D229" s="44">
        <f>T!D59</f>
        <v>0</v>
      </c>
      <c r="E229" s="1064">
        <v>4</v>
      </c>
      <c r="F229" s="45">
        <f t="shared" si="12"/>
        <v>0</v>
      </c>
      <c r="G229" s="998"/>
      <c r="H229" s="1912"/>
    </row>
    <row r="230" spans="1:8" ht="27.6" x14ac:dyDescent="0.25">
      <c r="A230" s="1973"/>
      <c r="B230" s="1521"/>
      <c r="C230" s="84" t="str">
        <f>T!C60</f>
        <v xml:space="preserve">Adjacent to a nontidal palustrine wetland that contains surface water at least seasonally. Anadromous fish cannot access both wetlands during spring.  </v>
      </c>
      <c r="D230" s="44">
        <f>T!D60</f>
        <v>0</v>
      </c>
      <c r="E230" s="1064">
        <v>4</v>
      </c>
      <c r="F230" s="45">
        <f t="shared" si="12"/>
        <v>0</v>
      </c>
      <c r="G230" s="998"/>
      <c r="H230" s="1912"/>
    </row>
    <row r="231" spans="1:8" ht="27.6" x14ac:dyDescent="0.25">
      <c r="A231" s="1973"/>
      <c r="B231" s="1521"/>
      <c r="C231" s="84" t="str">
        <f>T!C61</f>
        <v>Not adjacent to a nontidal palustrine wetland that contains surface water.  Has a freshwater tributary that allows fish passage during the springtime to a nontidal wetland &lt; 1 mile upstream.</v>
      </c>
      <c r="D231" s="44">
        <f>T!D61</f>
        <v>0</v>
      </c>
      <c r="E231" s="1064">
        <v>2</v>
      </c>
      <c r="F231" s="45">
        <f t="shared" si="12"/>
        <v>0</v>
      </c>
      <c r="G231" s="998"/>
      <c r="H231" s="1912"/>
    </row>
    <row r="232" spans="1:8" ht="27.6" x14ac:dyDescent="0.25">
      <c r="A232" s="1973"/>
      <c r="B232" s="1521"/>
      <c r="C232" s="84" t="str">
        <f>T!C62</f>
        <v>Not adjacent to a nontidal palustrine wetland that contains surface water.  Has a freshwater tributary that allows fish passage during the springtime to a nontidal wetland &gt; 1 mile upstream.</v>
      </c>
      <c r="D232" s="44">
        <f>T!D62</f>
        <v>0</v>
      </c>
      <c r="E232" s="1064">
        <v>1</v>
      </c>
      <c r="F232" s="45">
        <f t="shared" si="12"/>
        <v>0</v>
      </c>
      <c r="G232" s="998"/>
      <c r="H232" s="1912"/>
    </row>
    <row r="233" spans="1:8" ht="28.2" thickBot="1" x14ac:dyDescent="0.3">
      <c r="A233" s="1974"/>
      <c r="B233" s="1521"/>
      <c r="C233" s="238" t="str">
        <f>T!C63</f>
        <v>Not adjacent to a nontidal palustrine wetland that contains surface water.  Lacks a freshwater tributary that provides fish access to an upstream wetland  that contains surface water at least seasonally.</v>
      </c>
      <c r="D233" s="17">
        <f>T!D63</f>
        <v>0</v>
      </c>
      <c r="E233" s="1066">
        <v>0</v>
      </c>
      <c r="F233" s="54">
        <f t="shared" si="12"/>
        <v>0</v>
      </c>
      <c r="G233" s="1067"/>
      <c r="H233" s="1913"/>
    </row>
    <row r="234" spans="1:8" ht="30" customHeight="1" thickBot="1" x14ac:dyDescent="0.3">
      <c r="A234" s="1922" t="str">
        <f>T!A149</f>
        <v>T27</v>
      </c>
      <c r="B234" s="1522" t="str">
        <f>T!B149</f>
        <v>Upland Perennial Cover - % of AA's Edge (PerimPctPerT)</v>
      </c>
      <c r="C234" s="4" t="str">
        <f>T!C149</f>
        <v xml:space="preserve">The percentage of the AA's edge (perimeter) that is comprised of a band of upland perennial cover wider than 10 ft and taller than 6 inches during most of the growing season is:  </v>
      </c>
      <c r="D234" s="1062"/>
      <c r="E234" s="1053"/>
      <c r="F234" s="192"/>
      <c r="G234" s="1055">
        <f>MAX(F235:F240)/MAX(E235:E240)</f>
        <v>0</v>
      </c>
      <c r="H234" s="1911" t="s">
        <v>2025</v>
      </c>
    </row>
    <row r="235" spans="1:8" x14ac:dyDescent="0.25">
      <c r="A235" s="1923"/>
      <c r="B235" s="1521"/>
      <c r="C235" s="236" t="str">
        <f>T!C150</f>
        <v>&lt;5%.</v>
      </c>
      <c r="D235" s="44">
        <f>T!D150</f>
        <v>0</v>
      </c>
      <c r="E235" s="848">
        <v>0</v>
      </c>
      <c r="F235" s="45">
        <f t="shared" si="12"/>
        <v>0</v>
      </c>
      <c r="G235" s="998"/>
      <c r="H235" s="1912"/>
    </row>
    <row r="236" spans="1:8" x14ac:dyDescent="0.25">
      <c r="A236" s="1923"/>
      <c r="B236" s="1521"/>
      <c r="C236" s="237" t="str">
        <f>T!C151</f>
        <v>5 to &lt;25%.</v>
      </c>
      <c r="D236" s="44">
        <f>T!D151</f>
        <v>0</v>
      </c>
      <c r="E236" s="848">
        <v>1</v>
      </c>
      <c r="F236" s="45">
        <f t="shared" si="12"/>
        <v>0</v>
      </c>
      <c r="G236" s="998"/>
      <c r="H236" s="1912"/>
    </row>
    <row r="237" spans="1:8" x14ac:dyDescent="0.25">
      <c r="A237" s="1923"/>
      <c r="B237" s="1521"/>
      <c r="C237" s="237" t="str">
        <f>T!C152</f>
        <v>25 to &lt;50%.</v>
      </c>
      <c r="D237" s="44">
        <f>T!D152</f>
        <v>0</v>
      </c>
      <c r="E237" s="848">
        <v>3</v>
      </c>
      <c r="F237" s="45">
        <f t="shared" si="12"/>
        <v>0</v>
      </c>
      <c r="G237" s="998"/>
      <c r="H237" s="1912"/>
    </row>
    <row r="238" spans="1:8" x14ac:dyDescent="0.25">
      <c r="A238" s="1923"/>
      <c r="B238" s="1521"/>
      <c r="C238" s="237" t="str">
        <f>T!C153</f>
        <v>50 to &lt;75%.</v>
      </c>
      <c r="D238" s="44">
        <f>T!D153</f>
        <v>0</v>
      </c>
      <c r="E238" s="848">
        <v>4</v>
      </c>
      <c r="F238" s="45">
        <f t="shared" si="12"/>
        <v>0</v>
      </c>
      <c r="G238" s="998"/>
      <c r="H238" s="1912"/>
    </row>
    <row r="239" spans="1:8" x14ac:dyDescent="0.25">
      <c r="A239" s="1923"/>
      <c r="B239" s="1521"/>
      <c r="C239" s="237" t="str">
        <f>T!C154</f>
        <v>75 to 95%.</v>
      </c>
      <c r="D239" s="44">
        <f>T!D154</f>
        <v>0</v>
      </c>
      <c r="E239" s="848">
        <v>5</v>
      </c>
      <c r="F239" s="45">
        <f t="shared" si="12"/>
        <v>0</v>
      </c>
      <c r="G239" s="998"/>
      <c r="H239" s="1912"/>
    </row>
    <row r="240" spans="1:8" ht="14.4" thickBot="1" x14ac:dyDescent="0.3">
      <c r="A240" s="1924"/>
      <c r="B240" s="1523"/>
      <c r="C240" s="212" t="str">
        <f>T!C155</f>
        <v>&gt;95%.</v>
      </c>
      <c r="D240" s="198">
        <f>T!D155</f>
        <v>0</v>
      </c>
      <c r="E240" s="470">
        <v>6</v>
      </c>
      <c r="F240" s="193">
        <f t="shared" si="12"/>
        <v>0</v>
      </c>
      <c r="G240" s="999"/>
      <c r="H240" s="1913"/>
    </row>
    <row r="241" spans="1:8" ht="45" customHeight="1" thickBot="1" x14ac:dyDescent="0.3">
      <c r="A241" s="1922" t="str">
        <f>T!A156</f>
        <v>T28</v>
      </c>
      <c r="B241" s="1522" t="str">
        <f>T!B156</f>
        <v>Upland Perennial Cover - Width (Buffer)  (BuffWidthT)</v>
      </c>
      <c r="C241" s="4" t="str">
        <f>T!C156</f>
        <v>Along the greatest portion of the AA's upland edge, the width (not necessarily the maximum width) of perennial cover taller than 6 inches during most of the growing season and extending upslope from the AA until mostly shorter or non-perennial cover is reached is:</v>
      </c>
      <c r="D241" s="1053"/>
      <c r="E241" s="1053"/>
      <c r="F241" s="192"/>
      <c r="G241" s="1055">
        <f>MAX(F248:F253)/MAX(E248:E253)</f>
        <v>0</v>
      </c>
      <c r="H241" s="1911" t="s">
        <v>2026</v>
      </c>
    </row>
    <row r="242" spans="1:8" ht="13.95" hidden="1" customHeight="1" x14ac:dyDescent="0.25">
      <c r="A242" s="1923"/>
      <c r="B242" s="1521"/>
      <c r="C242" s="236" t="str">
        <f>T!C157</f>
        <v xml:space="preserve">&lt; 5 ft, or none.  </v>
      </c>
      <c r="D242" s="44">
        <f>T!D157</f>
        <v>0</v>
      </c>
      <c r="E242" s="1045">
        <v>0</v>
      </c>
      <c r="F242" s="45">
        <f t="shared" si="12"/>
        <v>0</v>
      </c>
      <c r="G242" s="998"/>
      <c r="H242" s="1912"/>
    </row>
    <row r="243" spans="1:8" ht="13.95" hidden="1" customHeight="1" x14ac:dyDescent="0.25">
      <c r="A243" s="1923"/>
      <c r="B243" s="1521"/>
      <c r="C243" s="237" t="str">
        <f>T!C158</f>
        <v>5 to &lt;30 ft.</v>
      </c>
      <c r="D243" s="44">
        <f>T!D158</f>
        <v>0</v>
      </c>
      <c r="E243" s="1045">
        <v>1</v>
      </c>
      <c r="F243" s="45">
        <f t="shared" si="12"/>
        <v>0</v>
      </c>
      <c r="G243" s="998"/>
      <c r="H243" s="1912"/>
    </row>
    <row r="244" spans="1:8" ht="13.95" hidden="1" customHeight="1" x14ac:dyDescent="0.25">
      <c r="A244" s="1923"/>
      <c r="B244" s="1521"/>
      <c r="C244" s="237" t="str">
        <f>T!C159</f>
        <v>30 to &lt;50 ft.</v>
      </c>
      <c r="D244" s="44">
        <f>T!D159</f>
        <v>0</v>
      </c>
      <c r="E244" s="1045">
        <v>2</v>
      </c>
      <c r="F244" s="45">
        <f t="shared" si="12"/>
        <v>0</v>
      </c>
      <c r="G244" s="998"/>
      <c r="H244" s="1912"/>
    </row>
    <row r="245" spans="1:8" ht="13.95" hidden="1" customHeight="1" x14ac:dyDescent="0.25">
      <c r="A245" s="1923"/>
      <c r="B245" s="1521"/>
      <c r="C245" s="237" t="str">
        <f>T!C160</f>
        <v>50 to &lt;100 ft.</v>
      </c>
      <c r="D245" s="44">
        <f>T!D160</f>
        <v>0</v>
      </c>
      <c r="E245" s="1045">
        <v>3</v>
      </c>
      <c r="F245" s="45">
        <f t="shared" si="12"/>
        <v>0</v>
      </c>
      <c r="G245" s="998"/>
      <c r="H245" s="1912"/>
    </row>
    <row r="246" spans="1:8" ht="13.95" hidden="1" customHeight="1" x14ac:dyDescent="0.25">
      <c r="A246" s="1923"/>
      <c r="B246" s="1521"/>
      <c r="C246" s="237" t="str">
        <f>T!C161</f>
        <v>100 to 300 ft.             IF #T27 also was answered &gt;95%, enter 1 and SKIP to T30.</v>
      </c>
      <c r="D246" s="44">
        <f>T!D161</f>
        <v>0</v>
      </c>
      <c r="E246" s="1045">
        <v>4</v>
      </c>
      <c r="F246" s="45">
        <f t="shared" si="12"/>
        <v>0</v>
      </c>
      <c r="G246" s="998"/>
      <c r="H246" s="1912"/>
    </row>
    <row r="247" spans="1:8" ht="14.4" hidden="1" customHeight="1" thickBot="1" x14ac:dyDescent="0.3">
      <c r="A247" s="1923"/>
      <c r="B247" s="1521"/>
      <c r="C247" s="237" t="str">
        <f>T!C162</f>
        <v>&gt; 300 ft.                    IF #T27 also was answered &gt;95%, enter 1 and SKIP to T30.</v>
      </c>
      <c r="D247" s="44">
        <f>T!D162</f>
        <v>0</v>
      </c>
      <c r="E247" s="1048">
        <v>5</v>
      </c>
      <c r="F247" s="54">
        <f t="shared" si="12"/>
        <v>0</v>
      </c>
      <c r="G247" s="1067"/>
      <c r="H247" s="1912"/>
    </row>
    <row r="248" spans="1:8" x14ac:dyDescent="0.25">
      <c r="A248" s="1923"/>
      <c r="B248" s="1521"/>
      <c r="C248" s="237" t="str">
        <f>T!C157</f>
        <v xml:space="preserve">&lt; 5 ft, or none.  </v>
      </c>
      <c r="D248" s="44">
        <f>T!D157</f>
        <v>0</v>
      </c>
      <c r="E248" s="848">
        <v>0</v>
      </c>
      <c r="F248" s="45">
        <f t="shared" si="12"/>
        <v>0</v>
      </c>
      <c r="G248" s="998"/>
      <c r="H248" s="1912"/>
    </row>
    <row r="249" spans="1:8" x14ac:dyDescent="0.25">
      <c r="A249" s="1923"/>
      <c r="B249" s="1521"/>
      <c r="C249" s="237" t="str">
        <f>T!C158</f>
        <v>5 to &lt;30 ft.</v>
      </c>
      <c r="D249" s="44">
        <f>T!D158</f>
        <v>0</v>
      </c>
      <c r="E249" s="848">
        <v>2</v>
      </c>
      <c r="F249" s="45">
        <f t="shared" si="12"/>
        <v>0</v>
      </c>
      <c r="G249" s="998"/>
      <c r="H249" s="1912"/>
    </row>
    <row r="250" spans="1:8" x14ac:dyDescent="0.25">
      <c r="A250" s="1923"/>
      <c r="B250" s="1521"/>
      <c r="C250" s="237" t="str">
        <f>T!C159</f>
        <v>30 to &lt;50 ft.</v>
      </c>
      <c r="D250" s="44">
        <f>T!D159</f>
        <v>0</v>
      </c>
      <c r="E250" s="848">
        <v>3</v>
      </c>
      <c r="F250" s="45">
        <f t="shared" si="12"/>
        <v>0</v>
      </c>
      <c r="G250" s="998"/>
      <c r="H250" s="1912"/>
    </row>
    <row r="251" spans="1:8" x14ac:dyDescent="0.25">
      <c r="A251" s="1923"/>
      <c r="B251" s="1521"/>
      <c r="C251" s="237" t="str">
        <f>T!C160</f>
        <v>50 to &lt;100 ft.</v>
      </c>
      <c r="D251" s="44">
        <f>T!D160</f>
        <v>0</v>
      </c>
      <c r="E251" s="848">
        <v>4</v>
      </c>
      <c r="F251" s="45">
        <f t="shared" si="12"/>
        <v>0</v>
      </c>
      <c r="G251" s="998"/>
      <c r="H251" s="1912"/>
    </row>
    <row r="252" spans="1:8" x14ac:dyDescent="0.25">
      <c r="A252" s="1923"/>
      <c r="B252" s="1521"/>
      <c r="C252" s="237" t="str">
        <f>T!C161</f>
        <v>100 to 300 ft.             IF #T27 also was answered &gt;95%, enter 1 and SKIP to T30.</v>
      </c>
      <c r="D252" s="44">
        <f>T!D161</f>
        <v>0</v>
      </c>
      <c r="E252" s="848">
        <v>5</v>
      </c>
      <c r="F252" s="45">
        <f t="shared" si="12"/>
        <v>0</v>
      </c>
      <c r="G252" s="998"/>
      <c r="H252" s="1912"/>
    </row>
    <row r="253" spans="1:8" ht="14.4" thickBot="1" x14ac:dyDescent="0.3">
      <c r="A253" s="1924"/>
      <c r="B253" s="1523"/>
      <c r="C253" s="212" t="str">
        <f>T!C162</f>
        <v>&gt; 300 ft.                    IF #T27 also was answered &gt;95%, enter 1 and SKIP to T30.</v>
      </c>
      <c r="D253" s="198">
        <f>T!D162</f>
        <v>0</v>
      </c>
      <c r="E253" s="845">
        <v>6</v>
      </c>
      <c r="F253" s="193">
        <f t="shared" si="12"/>
        <v>0</v>
      </c>
      <c r="G253" s="999"/>
      <c r="H253" s="1913"/>
    </row>
    <row r="254" spans="1:8" s="372" customFormat="1" ht="36" customHeight="1" thickBot="1" x14ac:dyDescent="0.3">
      <c r="A254" s="1003" t="s">
        <v>126</v>
      </c>
      <c r="B254" s="363" t="s">
        <v>1463</v>
      </c>
      <c r="C254" s="363" t="s">
        <v>1271</v>
      </c>
      <c r="D254" s="1071" t="s">
        <v>115</v>
      </c>
      <c r="E254" s="863" t="s">
        <v>771</v>
      </c>
      <c r="F254" s="363" t="s">
        <v>1461</v>
      </c>
      <c r="G254" s="1072" t="s">
        <v>770</v>
      </c>
      <c r="H254" s="1073" t="s">
        <v>772</v>
      </c>
    </row>
    <row r="255" spans="1:8" ht="45.75" customHeight="1" thickBot="1" x14ac:dyDescent="0.3">
      <c r="A255" s="1978" t="str">
        <f>OF!A48</f>
        <v>OF8</v>
      </c>
      <c r="B255" s="1599" t="str">
        <f>OF!B48</f>
        <v>Wetland Type Local Uniqueness (UniqPatch)</v>
      </c>
      <c r="C255" s="75" t="str">
        <f>OF!C48</f>
        <v xml:space="preserve"> Select EACH of the vegetation types below that comprise more than 10% of the AA AND less than
 10% of a 0.5 mile radius around the AA. (See Column E).</v>
      </c>
      <c r="D255" s="549"/>
      <c r="E255" s="1007"/>
      <c r="F255" s="1074"/>
      <c r="G255" s="809">
        <f>IF((D259=1),0,1)</f>
        <v>1</v>
      </c>
      <c r="H255" s="1914" t="s">
        <v>757</v>
      </c>
    </row>
    <row r="256" spans="1:8" ht="24" customHeight="1" x14ac:dyDescent="0.25">
      <c r="A256" s="1979"/>
      <c r="B256" s="1582"/>
      <c r="C256" s="2" t="str">
        <f>OF!C49</f>
        <v>Herbaceous vegetation (perennial grasses, sedges, forbs; not under a woody canopy; not crops).</v>
      </c>
      <c r="D256" s="44">
        <f>OF!D49</f>
        <v>0</v>
      </c>
      <c r="E256" s="952">
        <v>1</v>
      </c>
      <c r="F256" s="45"/>
      <c r="G256" s="997"/>
      <c r="H256" s="1625"/>
    </row>
    <row r="257" spans="1:8" ht="16.2" customHeight="1" x14ac:dyDescent="0.25">
      <c r="A257" s="1979"/>
      <c r="B257" s="1582"/>
      <c r="C257" s="95" t="str">
        <f>OF!C50</f>
        <v>Unshaded shrubland (woody plants shorter than 20 ft).</v>
      </c>
      <c r="D257" s="44">
        <f>OF!D50</f>
        <v>0</v>
      </c>
      <c r="E257" s="952">
        <v>1</v>
      </c>
      <c r="F257" s="45"/>
      <c r="G257" s="998"/>
      <c r="H257" s="1625"/>
    </row>
    <row r="258" spans="1:8" ht="16.2" customHeight="1" x14ac:dyDescent="0.25">
      <c r="A258" s="1979"/>
      <c r="B258" s="1582"/>
      <c r="C258" s="95" t="str">
        <f>OF!C51</f>
        <v>Trees (woody plants taller than 20 ft).</v>
      </c>
      <c r="D258" s="44">
        <f>OF!D51</f>
        <v>0</v>
      </c>
      <c r="E258" s="952">
        <v>1</v>
      </c>
      <c r="F258" s="45"/>
      <c r="G258" s="998"/>
      <c r="H258" s="1625"/>
    </row>
    <row r="259" spans="1:8" ht="16.2" customHeight="1" thickBot="1" x14ac:dyDescent="0.3">
      <c r="A259" s="1980"/>
      <c r="B259" s="1600"/>
      <c r="C259" s="254" t="str">
        <f>OF!C52</f>
        <v>None of above.</v>
      </c>
      <c r="D259" s="17">
        <f>OF!D52</f>
        <v>0</v>
      </c>
      <c r="E259" s="1008">
        <v>0</v>
      </c>
      <c r="F259" s="243"/>
      <c r="G259" s="999"/>
      <c r="H259" s="1626"/>
    </row>
    <row r="260" spans="1:8" ht="45" customHeight="1" thickBot="1" x14ac:dyDescent="0.3">
      <c r="A260" s="1797" t="str">
        <f>OF!A87</f>
        <v>OF15</v>
      </c>
      <c r="B260" s="1521" t="str">
        <f>OF!B87</f>
        <v>Landscape Functional Deficit (GISscore)</v>
      </c>
      <c r="C260" s="75" t="str">
        <f>OF!C87</f>
        <v xml:space="preserve">In the ORWAP Report, find the AA's 12-digit HUC code.  Then, find that HUC code in the FuncDeficit worksheet in the accompanying Supp_Info file. Select All functions below that have a notation for that HUC code. </v>
      </c>
      <c r="D260" s="549"/>
      <c r="E260" s="1009"/>
      <c r="F260" s="60"/>
      <c r="G260" s="809">
        <f>IF((OF!D98=1),"",D261)</f>
        <v>0</v>
      </c>
      <c r="H260" s="1625" t="s">
        <v>674</v>
      </c>
    </row>
    <row r="261" spans="1:8" ht="16.2" customHeight="1" thickBot="1" x14ac:dyDescent="0.3">
      <c r="A261" s="1797"/>
      <c r="B261" s="1521"/>
      <c r="C261" s="2" t="str">
        <f>OF!C93</f>
        <v>Amphibian habitat (AM)</v>
      </c>
      <c r="D261" s="198">
        <f>OF!D93</f>
        <v>0</v>
      </c>
      <c r="E261" s="1010"/>
      <c r="F261" s="58"/>
      <c r="G261" s="999"/>
      <c r="H261" s="1625"/>
    </row>
    <row r="262" spans="1:8" ht="30" customHeight="1" thickBot="1" x14ac:dyDescent="0.3">
      <c r="A262" s="1978" t="str">
        <f>OF!A108</f>
        <v>OF18</v>
      </c>
      <c r="B262" s="1599" t="str">
        <f>OF!B108</f>
        <v>Amphibian or Reptile of Conservation Concern (AmphRare)</v>
      </c>
      <c r="C262" s="114" t="str">
        <f>OF!C108</f>
        <v xml:space="preserve">According to the ORWAP Report, the score for occurrences of rare amphibian or reptile species in the vicinity of this AA is: </v>
      </c>
      <c r="D262" s="65"/>
      <c r="E262" s="1007"/>
      <c r="F262" s="241"/>
      <c r="G262" s="809">
        <f>MAX(F263:F266)/MAX(E263:E266)</f>
        <v>0</v>
      </c>
      <c r="H262" s="1599" t="s">
        <v>249</v>
      </c>
    </row>
    <row r="263" spans="1:8" ht="27" customHeight="1" x14ac:dyDescent="0.25">
      <c r="A263" s="1979"/>
      <c r="B263" s="1582"/>
      <c r="C263" s="449" t="str">
        <f>OF!C109</f>
        <v>High (≥ 0.60 for maximum score, or &gt;0.90 for sum score), or there is a recent onsite observation of any of these species by a qualified observer under conditions similar to what now occur.</v>
      </c>
      <c r="D263" s="44">
        <f>OF!D109</f>
        <v>0</v>
      </c>
      <c r="E263" s="952">
        <v>3</v>
      </c>
      <c r="F263" s="59">
        <f>D263*E263</f>
        <v>0</v>
      </c>
      <c r="G263" s="956"/>
      <c r="H263" s="1582"/>
    </row>
    <row r="264" spans="1:8" ht="16.2" customHeight="1" x14ac:dyDescent="0.25">
      <c r="A264" s="1979"/>
      <c r="B264" s="1582"/>
      <c r="C264" s="450" t="str">
        <f>OF!C110</f>
        <v>Intermediate (i.e., not as described above or below).</v>
      </c>
      <c r="D264" s="44">
        <f>OF!D110</f>
        <v>0</v>
      </c>
      <c r="E264" s="952">
        <v>2</v>
      </c>
      <c r="F264" s="59">
        <f>D264*E264</f>
        <v>0</v>
      </c>
      <c r="G264" s="957"/>
      <c r="H264" s="1582"/>
    </row>
    <row r="265" spans="1:8" ht="16.2" customHeight="1" x14ac:dyDescent="0.25">
      <c r="A265" s="1979"/>
      <c r="B265" s="1582"/>
      <c r="C265" s="450" t="str">
        <f>OF!C111</f>
        <v>Low (≤ 0.21 for maximum score AND &lt;0.15 for sum score, but not 0 for both).</v>
      </c>
      <c r="D265" s="44">
        <f>OF!D111</f>
        <v>0</v>
      </c>
      <c r="E265" s="952">
        <v>1</v>
      </c>
      <c r="F265" s="59">
        <f>D265*E265</f>
        <v>0</v>
      </c>
      <c r="G265" s="957"/>
      <c r="H265" s="1582"/>
    </row>
    <row r="266" spans="1:8" ht="27" customHeight="1" thickBot="1" x14ac:dyDescent="0.3">
      <c r="A266" s="1980"/>
      <c r="B266" s="1600"/>
      <c r="C266" s="443" t="str">
        <f>OF!C112</f>
        <v>Zero for both this group's maximum and its sum score, and no recent onsite observation of these species by a qualified observer under conditions similar to what now occur.</v>
      </c>
      <c r="D266" s="17">
        <f>OF!D112</f>
        <v>0</v>
      </c>
      <c r="E266" s="1008">
        <v>0</v>
      </c>
      <c r="F266" s="243">
        <f>D266*E266</f>
        <v>0</v>
      </c>
      <c r="G266" s="958"/>
      <c r="H266" s="1600"/>
    </row>
    <row r="267" spans="1:8" ht="30" customHeight="1" thickBot="1" x14ac:dyDescent="0.3">
      <c r="A267" s="1981" t="str">
        <f>OF!A145</f>
        <v>OF27</v>
      </c>
      <c r="B267" s="1986" t="str">
        <f>OF!B145</f>
        <v>Hydrologic Landscape (Arid)</v>
      </c>
      <c r="C267" s="1075" t="str">
        <f>OF!C145</f>
        <v>According to the ORWAP Report,  the wetland is in a hydrologic landscape unit classified as:</v>
      </c>
      <c r="D267" s="549"/>
      <c r="E267" s="1009"/>
      <c r="F267" s="60"/>
      <c r="G267" s="809">
        <f>MAX(F268:F273)/MAX(E268:E273)</f>
        <v>0</v>
      </c>
      <c r="H267" s="1582" t="s">
        <v>690</v>
      </c>
    </row>
    <row r="268" spans="1:8" ht="16.2" customHeight="1" x14ac:dyDescent="0.25">
      <c r="A268" s="1981"/>
      <c r="B268" s="1986"/>
      <c r="C268" s="1076" t="str">
        <f>OF!C146</f>
        <v>Arid.</v>
      </c>
      <c r="D268" s="1077">
        <f>OF!D146</f>
        <v>0</v>
      </c>
      <c r="E268" s="952">
        <v>6</v>
      </c>
      <c r="F268" s="59">
        <f t="shared" ref="F268:F277" si="13">D268*E268</f>
        <v>0</v>
      </c>
      <c r="G268" s="956"/>
      <c r="H268" s="1582"/>
    </row>
    <row r="269" spans="1:8" ht="16.2" customHeight="1" x14ac:dyDescent="0.25">
      <c r="A269" s="1981"/>
      <c r="B269" s="1986"/>
      <c r="C269" s="1076" t="str">
        <f>OF!C147</f>
        <v>Semi-arid.</v>
      </c>
      <c r="D269" s="1077">
        <f>OF!D147</f>
        <v>0</v>
      </c>
      <c r="E269" s="952">
        <v>5</v>
      </c>
      <c r="F269" s="59">
        <f t="shared" si="13"/>
        <v>0</v>
      </c>
      <c r="G269" s="957"/>
      <c r="H269" s="1582"/>
    </row>
    <row r="270" spans="1:8" ht="16.2" customHeight="1" x14ac:dyDescent="0.25">
      <c r="A270" s="1981"/>
      <c r="B270" s="1986"/>
      <c r="C270" s="1076" t="str">
        <f>OF!C148</f>
        <v>Dry.</v>
      </c>
      <c r="D270" s="1077">
        <f>OF!D148</f>
        <v>0</v>
      </c>
      <c r="E270" s="952">
        <v>4</v>
      </c>
      <c r="F270" s="59">
        <f t="shared" si="13"/>
        <v>0</v>
      </c>
      <c r="G270" s="957"/>
      <c r="H270" s="1582"/>
    </row>
    <row r="271" spans="1:8" ht="16.2" customHeight="1" x14ac:dyDescent="0.25">
      <c r="A271" s="1981"/>
      <c r="B271" s="1986"/>
      <c r="C271" s="1076" t="str">
        <f>OF!C149</f>
        <v>Moist.</v>
      </c>
      <c r="D271" s="1077">
        <f>OF!D149</f>
        <v>0</v>
      </c>
      <c r="E271" s="952">
        <v>3</v>
      </c>
      <c r="F271" s="59">
        <f t="shared" si="13"/>
        <v>0</v>
      </c>
      <c r="G271" s="957"/>
      <c r="H271" s="1582"/>
    </row>
    <row r="272" spans="1:8" ht="16.2" customHeight="1" x14ac:dyDescent="0.25">
      <c r="A272" s="1981"/>
      <c r="B272" s="1986"/>
      <c r="C272" s="1076" t="str">
        <f>OF!C150</f>
        <v>Wet.</v>
      </c>
      <c r="D272" s="1077">
        <f>OF!D150</f>
        <v>0</v>
      </c>
      <c r="E272" s="952">
        <v>2</v>
      </c>
      <c r="F272" s="59">
        <f t="shared" si="13"/>
        <v>0</v>
      </c>
      <c r="G272" s="957"/>
      <c r="H272" s="1582"/>
    </row>
    <row r="273" spans="1:8" ht="16.2" customHeight="1" thickBot="1" x14ac:dyDescent="0.3">
      <c r="A273" s="1981"/>
      <c r="B273" s="1986"/>
      <c r="C273" s="1078" t="str">
        <f>OF!C151</f>
        <v>Very Wet.</v>
      </c>
      <c r="D273" s="1079">
        <f>OF!D151</f>
        <v>0</v>
      </c>
      <c r="E273" s="1010">
        <v>1</v>
      </c>
      <c r="F273" s="58">
        <f t="shared" si="13"/>
        <v>0</v>
      </c>
      <c r="G273" s="959"/>
      <c r="H273" s="1582"/>
    </row>
    <row r="274" spans="1:8" ht="45" customHeight="1" thickBot="1" x14ac:dyDescent="0.3">
      <c r="A274" s="1796" t="str">
        <f>OF!A220</f>
        <v>OF42</v>
      </c>
      <c r="B274" s="1622" t="str">
        <f>OF!B220</f>
        <v>Zoning (Zoning)</v>
      </c>
      <c r="C274" s="4" t="str">
        <f>OF!C220</f>
        <v>According to ORWAP Map Viewer's Oregon Zoning layer, the dominant zoned land use designation for currently undeveloped parcels upslope from the AA and within 300 ft. of its upland edge is:</v>
      </c>
      <c r="D274" s="1080"/>
      <c r="E274" s="1007"/>
      <c r="F274" s="241"/>
      <c r="G274" s="809">
        <f>IF((D278=1),"",MAX(F275:F277)/MAX(E275:E277))</f>
        <v>0</v>
      </c>
      <c r="H274" s="1599" t="s">
        <v>721</v>
      </c>
    </row>
    <row r="275" spans="1:8" ht="27" customHeight="1" x14ac:dyDescent="0.25">
      <c r="A275" s="1797"/>
      <c r="B275" s="1623"/>
      <c r="C275" s="215" t="str">
        <f>OF!C221</f>
        <v>Development (Commercial, Industrial, Urban Residential, etc.), or no undeveloped parcels exist upslope from the AA.</v>
      </c>
      <c r="D275" s="44">
        <f>OF!D221</f>
        <v>0</v>
      </c>
      <c r="E275" s="952">
        <v>3</v>
      </c>
      <c r="F275" s="59">
        <f t="shared" si="13"/>
        <v>0</v>
      </c>
      <c r="G275" s="956"/>
      <c r="H275" s="1582"/>
    </row>
    <row r="276" spans="1:8" ht="16.2" customHeight="1" x14ac:dyDescent="0.25">
      <c r="A276" s="1797"/>
      <c r="B276" s="1623"/>
      <c r="C276" s="216" t="str">
        <f>OF!C222</f>
        <v>Agriculture or Rural Residential.</v>
      </c>
      <c r="D276" s="44">
        <f>OF!D222</f>
        <v>0</v>
      </c>
      <c r="E276" s="952">
        <v>2</v>
      </c>
      <c r="F276" s="59">
        <f t="shared" si="13"/>
        <v>0</v>
      </c>
      <c r="G276" s="957"/>
      <c r="H276" s="1582"/>
    </row>
    <row r="277" spans="1:8" ht="16.2" customHeight="1" x14ac:dyDescent="0.25">
      <c r="A277" s="1797"/>
      <c r="B277" s="1623"/>
      <c r="C277" s="237" t="str">
        <f>OF!C223</f>
        <v>Forest or Open Space, or entirely public lands.</v>
      </c>
      <c r="D277" s="1081">
        <f>OF!D223</f>
        <v>0</v>
      </c>
      <c r="E277" s="952">
        <v>1</v>
      </c>
      <c r="F277" s="59">
        <f t="shared" si="13"/>
        <v>0</v>
      </c>
      <c r="G277" s="957"/>
      <c r="H277" s="1582"/>
    </row>
    <row r="278" spans="1:8" ht="16.2" customHeight="1" thickBot="1" x14ac:dyDescent="0.3">
      <c r="A278" s="1798"/>
      <c r="B278" s="1624"/>
      <c r="C278" s="212" t="str">
        <f>OF!C224</f>
        <v>Not zoned, or no information.</v>
      </c>
      <c r="D278" s="213">
        <f>OF!D224</f>
        <v>0</v>
      </c>
      <c r="E278" s="1008"/>
      <c r="F278" s="1082"/>
      <c r="G278" s="958"/>
      <c r="H278" s="1600"/>
    </row>
    <row r="279" spans="1:8" ht="42.75" customHeight="1" thickBot="1" x14ac:dyDescent="0.3">
      <c r="A279" s="1012" t="s">
        <v>822</v>
      </c>
      <c r="B279" s="4" t="s">
        <v>824</v>
      </c>
      <c r="C279" s="1083" t="str">
        <f>WBF!C269</f>
        <v>Function Score for Feeding Waterbird Habitat</v>
      </c>
      <c r="D279" s="1084"/>
      <c r="E279" s="1085"/>
      <c r="F279" s="1086"/>
      <c r="G279" s="1087">
        <f>WBF!G269/10</f>
        <v>2.0833333333333332E-2</v>
      </c>
      <c r="H279" s="4" t="s">
        <v>759</v>
      </c>
    </row>
    <row r="280" spans="1:8" ht="21" customHeight="1" thickBot="1" x14ac:dyDescent="0.3">
      <c r="B280" s="3"/>
      <c r="C280" s="1088"/>
      <c r="D280" s="79"/>
      <c r="F280" s="1089"/>
      <c r="G280" s="110"/>
    </row>
    <row r="281" spans="1:8" ht="21" customHeight="1" x14ac:dyDescent="0.25">
      <c r="C281" s="1997" t="s">
        <v>610</v>
      </c>
      <c r="D281" s="1893" t="s">
        <v>132</v>
      </c>
      <c r="E281" s="1893"/>
      <c r="F281" s="1893"/>
      <c r="G281" s="986">
        <f>AVERAGE(ConnLocalW11,DistPond11,HUCbest11)</f>
        <v>0</v>
      </c>
      <c r="H281" s="1090" t="s">
        <v>1232</v>
      </c>
    </row>
    <row r="282" spans="1:8" ht="21" customHeight="1" x14ac:dyDescent="0.25">
      <c r="C282" s="1998"/>
      <c r="D282" s="1848" t="s">
        <v>127</v>
      </c>
      <c r="E282" s="1849"/>
      <c r="F282" s="1850"/>
      <c r="G282" s="987">
        <f>AVERAGE(DistPerCov11,PerCovPct11,SizePerenn11,Arid11)</f>
        <v>0</v>
      </c>
      <c r="H282" s="190" t="s">
        <v>2141</v>
      </c>
    </row>
    <row r="283" spans="1:8" ht="21" customHeight="1" x14ac:dyDescent="0.25">
      <c r="C283" s="1998"/>
      <c r="D283" s="1846" t="s">
        <v>168</v>
      </c>
      <c r="E283" s="1846"/>
      <c r="F283" s="1846"/>
      <c r="G283" s="987">
        <f>AVERAGE(Lentic11,Gradient11,Fluctu11,Beaver11,PermWpct11,PondWpctDry11,PondWpctWet11)</f>
        <v>0</v>
      </c>
      <c r="H283" s="190" t="s">
        <v>2142</v>
      </c>
    </row>
    <row r="284" spans="1:8" ht="27.6" customHeight="1" x14ac:dyDescent="0.25">
      <c r="C284" s="1998"/>
      <c r="D284" s="1846" t="s">
        <v>58</v>
      </c>
      <c r="E284" s="1846"/>
      <c r="F284" s="1846"/>
      <c r="G284" s="987">
        <f>IFERROR((AVERAGE(WidthWet11,MAX(EmPct11,_SAV11,WoodOver11),PondWpctWet11,PondWpctDry11, WaterMixWet11,WaterMixDry11)),"")</f>
        <v>0</v>
      </c>
      <c r="H284" s="1091" t="s">
        <v>2143</v>
      </c>
    </row>
    <row r="285" spans="1:8" ht="30" customHeight="1" x14ac:dyDescent="0.25">
      <c r="C285" s="1998"/>
      <c r="D285" s="1846" t="s">
        <v>2146</v>
      </c>
      <c r="E285" s="1846"/>
      <c r="F285" s="1846"/>
      <c r="G285" s="987">
        <f>AVERAGE(Gcover11,Girreg11,WoodDown11,_GDD11,VegCut11,BuffWidth11,PerimPctPer11)</f>
        <v>0</v>
      </c>
      <c r="H285" s="1091" t="s">
        <v>2144</v>
      </c>
    </row>
    <row r="286" spans="1:8" ht="30" customHeight="1" x14ac:dyDescent="0.25">
      <c r="C286" s="1998"/>
      <c r="D286" s="1846" t="s">
        <v>825</v>
      </c>
      <c r="E286" s="1846"/>
      <c r="F286" s="1846"/>
      <c r="G286" s="987">
        <f>AVERAGE(DistRd11, WQin11,Salin11,ConnecUp11)</f>
        <v>0.33333333333333331</v>
      </c>
      <c r="H286" s="190" t="s">
        <v>2003</v>
      </c>
    </row>
    <row r="287" spans="1:8" ht="21" customHeight="1" thickBot="1" x14ac:dyDescent="0.3">
      <c r="C287" s="1998"/>
      <c r="D287" s="1999" t="s">
        <v>826</v>
      </c>
      <c r="E287" s="1999"/>
      <c r="F287" s="1999"/>
      <c r="G287" s="1094">
        <f>AVERAGE(FishAcc11, PestAnim11,VisitNo11,VisitOften11)</f>
        <v>0.5</v>
      </c>
      <c r="H287" s="1092" t="s">
        <v>1344</v>
      </c>
    </row>
    <row r="288" spans="1:8" ht="31.2" customHeight="1" thickBot="1" x14ac:dyDescent="0.3">
      <c r="C288" s="1998"/>
      <c r="D288" s="1994" t="s">
        <v>614</v>
      </c>
      <c r="E288" s="1995"/>
      <c r="F288" s="1996"/>
      <c r="G288" s="1095">
        <f>SalinT11*(3*AVERAGE(EstPosT11,LowMarshT11,SalinT11)+2*AVERAGE(WidthHiT11,OutDuraT11,TnonT11)+AVERAGE(DistPond11,DistRd11,PerimPctPerT11,BuffWidthT11))/6</f>
        <v>0</v>
      </c>
      <c r="H288" s="1093" t="s">
        <v>2242</v>
      </c>
    </row>
    <row r="289" spans="3:8" ht="33" customHeight="1" thickBot="1" x14ac:dyDescent="0.3">
      <c r="C289" s="1807" t="s">
        <v>48</v>
      </c>
      <c r="D289" s="1808"/>
      <c r="E289" s="1809"/>
      <c r="F289" s="250" t="s">
        <v>6</v>
      </c>
      <c r="G289" s="782">
        <f>10*(IF((Tidal=1),Tidal11,AVERAGE(Waterscape11,PchemStress11,(AVERAGE(Hydro11,AqStruc11,TerrStruc11,Lscape11,BioStress11)))))</f>
        <v>1.4444444444444446</v>
      </c>
      <c r="H289" s="981" t="s">
        <v>2145</v>
      </c>
    </row>
    <row r="290" spans="3:8" ht="33" customHeight="1" thickBot="1" x14ac:dyDescent="0.3">
      <c r="C290" s="1871" t="s">
        <v>49</v>
      </c>
      <c r="D290" s="1872"/>
      <c r="E290" s="1873"/>
      <c r="F290" s="250" t="s">
        <v>7</v>
      </c>
      <c r="G290" s="989">
        <f>10*(MAX(AmphRare11, AVERAGE(AmphRare11,GISscoreAMv,UniqPatch11,Arid11v,Zoning11v,FscoreWBF11v)))</f>
        <v>1.7013888888888886</v>
      </c>
      <c r="H290" s="984" t="s">
        <v>1517</v>
      </c>
    </row>
    <row r="291" spans="3:8" ht="21" customHeight="1" thickBot="1" x14ac:dyDescent="0.3">
      <c r="C291" s="108"/>
      <c r="D291" s="14"/>
      <c r="E291" s="14"/>
      <c r="F291" s="48"/>
      <c r="G291" s="8"/>
    </row>
    <row r="292" spans="3:8" ht="21" customHeight="1" thickBot="1" x14ac:dyDescent="0.3">
      <c r="C292" s="7"/>
      <c r="D292" s="14"/>
      <c r="E292" s="14"/>
      <c r="F292" s="48"/>
      <c r="G292" s="8"/>
      <c r="H292" s="257" t="s">
        <v>859</v>
      </c>
    </row>
    <row r="293" spans="3:8" ht="27" customHeight="1" thickBot="1" x14ac:dyDescent="0.3">
      <c r="C293" s="7"/>
      <c r="D293" s="14"/>
      <c r="E293" s="14"/>
      <c r="F293" s="48"/>
      <c r="G293" s="8"/>
      <c r="H293" s="716" t="s">
        <v>1345</v>
      </c>
    </row>
    <row r="294" spans="3:8" ht="27" customHeight="1" x14ac:dyDescent="0.25">
      <c r="C294" s="7"/>
      <c r="D294" s="14"/>
      <c r="E294" s="14"/>
      <c r="F294" s="48"/>
      <c r="G294" s="8"/>
      <c r="H294" s="724" t="s">
        <v>906</v>
      </c>
    </row>
    <row r="295" spans="3:8" ht="27" customHeight="1" x14ac:dyDescent="0.25">
      <c r="C295" s="7"/>
      <c r="D295" s="14"/>
      <c r="E295" s="14"/>
      <c r="F295" s="48"/>
      <c r="G295" s="8"/>
      <c r="H295" s="725" t="s">
        <v>1035</v>
      </c>
    </row>
    <row r="296" spans="3:8" ht="27" customHeight="1" x14ac:dyDescent="0.25">
      <c r="C296" s="7"/>
      <c r="D296" s="14"/>
      <c r="E296" s="14"/>
      <c r="F296" s="48"/>
      <c r="G296" s="8"/>
      <c r="H296" s="725" t="s">
        <v>1036</v>
      </c>
    </row>
    <row r="297" spans="3:8" ht="27" customHeight="1" x14ac:dyDescent="0.25">
      <c r="C297" s="7"/>
      <c r="D297" s="14"/>
      <c r="E297" s="14"/>
      <c r="F297" s="48"/>
      <c r="G297" s="8"/>
      <c r="H297" s="725" t="s">
        <v>1037</v>
      </c>
    </row>
    <row r="298" spans="3:8" ht="27" customHeight="1" x14ac:dyDescent="0.25">
      <c r="C298" s="7"/>
      <c r="D298" s="14"/>
      <c r="E298" s="14"/>
      <c r="F298" s="48"/>
      <c r="G298" s="8"/>
      <c r="H298" s="725" t="s">
        <v>1038</v>
      </c>
    </row>
    <row r="299" spans="3:8" ht="27" customHeight="1" x14ac:dyDescent="0.25">
      <c r="C299" s="7"/>
      <c r="D299" s="14"/>
      <c r="E299" s="14"/>
      <c r="F299" s="48"/>
      <c r="G299" s="8"/>
      <c r="H299" s="725" t="s">
        <v>1039</v>
      </c>
    </row>
    <row r="300" spans="3:8" ht="27" customHeight="1" x14ac:dyDescent="0.25">
      <c r="C300" s="7"/>
      <c r="D300" s="14"/>
      <c r="E300" s="14"/>
      <c r="F300" s="48"/>
      <c r="G300" s="8"/>
      <c r="H300" s="725" t="s">
        <v>1040</v>
      </c>
    </row>
    <row r="301" spans="3:8" ht="27" customHeight="1" x14ac:dyDescent="0.25">
      <c r="C301" s="7"/>
      <c r="D301" s="14"/>
      <c r="E301" s="14"/>
      <c r="F301" s="48"/>
      <c r="G301" s="8"/>
      <c r="H301" s="725" t="s">
        <v>1041</v>
      </c>
    </row>
    <row r="302" spans="3:8" ht="27" customHeight="1" x14ac:dyDescent="0.25">
      <c r="C302" s="7"/>
      <c r="D302" s="14"/>
      <c r="E302" s="14"/>
      <c r="F302" s="48"/>
      <c r="G302" s="8"/>
      <c r="H302" s="725" t="s">
        <v>1042</v>
      </c>
    </row>
    <row r="303" spans="3:8" ht="27" customHeight="1" x14ac:dyDescent="0.25">
      <c r="C303" s="7"/>
      <c r="D303" s="14"/>
      <c r="E303" s="14"/>
      <c r="F303" s="48"/>
      <c r="G303" s="8"/>
      <c r="H303" s="725" t="s">
        <v>1043</v>
      </c>
    </row>
    <row r="304" spans="3:8" ht="27" customHeight="1" x14ac:dyDescent="0.25">
      <c r="C304" s="7"/>
      <c r="D304" s="14"/>
      <c r="E304" s="14"/>
      <c r="F304" s="48"/>
      <c r="G304" s="8"/>
      <c r="H304" s="716" t="s">
        <v>1346</v>
      </c>
    </row>
    <row r="305" spans="3:8" ht="42" customHeight="1" x14ac:dyDescent="0.25">
      <c r="C305" s="7"/>
      <c r="D305" s="14"/>
      <c r="E305" s="14"/>
      <c r="F305" s="48"/>
      <c r="G305" s="8"/>
      <c r="H305" s="725" t="s">
        <v>1044</v>
      </c>
    </row>
    <row r="306" spans="3:8" ht="27" customHeight="1" x14ac:dyDescent="0.25">
      <c r="C306" s="7"/>
      <c r="D306" s="14"/>
      <c r="E306" s="14"/>
      <c r="F306" s="48"/>
      <c r="G306" s="8"/>
      <c r="H306" s="716" t="s">
        <v>1347</v>
      </c>
    </row>
    <row r="307" spans="3:8" ht="27" customHeight="1" x14ac:dyDescent="0.25">
      <c r="C307" s="7"/>
      <c r="D307" s="14"/>
      <c r="E307" s="14"/>
      <c r="F307" s="48"/>
      <c r="G307" s="8"/>
      <c r="H307" s="725" t="s">
        <v>1045</v>
      </c>
    </row>
    <row r="308" spans="3:8" ht="27" customHeight="1" x14ac:dyDescent="0.25">
      <c r="C308" s="7"/>
      <c r="D308" s="14"/>
      <c r="E308" s="14"/>
      <c r="F308" s="48"/>
      <c r="G308" s="8"/>
      <c r="H308" s="725" t="s">
        <v>1046</v>
      </c>
    </row>
    <row r="309" spans="3:8" ht="27" customHeight="1" x14ac:dyDescent="0.25">
      <c r="C309" s="7"/>
      <c r="D309" s="14"/>
      <c r="E309" s="14"/>
      <c r="F309" s="48"/>
      <c r="G309" s="8"/>
      <c r="H309" s="725" t="s">
        <v>1047</v>
      </c>
    </row>
    <row r="310" spans="3:8" ht="69" x14ac:dyDescent="0.25">
      <c r="C310" s="7"/>
      <c r="D310" s="14"/>
      <c r="E310" s="14"/>
      <c r="F310" s="48"/>
      <c r="G310" s="8"/>
      <c r="H310" s="725" t="s">
        <v>1348</v>
      </c>
    </row>
    <row r="311" spans="3:8" ht="42" customHeight="1" x14ac:dyDescent="0.25">
      <c r="C311" s="7"/>
      <c r="D311" s="14"/>
      <c r="E311" s="14"/>
      <c r="F311" s="48"/>
      <c r="G311" s="8"/>
      <c r="H311" s="725" t="s">
        <v>1048</v>
      </c>
    </row>
    <row r="312" spans="3:8" ht="27" customHeight="1" x14ac:dyDescent="0.25">
      <c r="C312" s="7"/>
      <c r="D312" s="14"/>
      <c r="E312" s="14"/>
      <c r="F312" s="48"/>
      <c r="G312" s="8"/>
      <c r="H312" s="725" t="s">
        <v>1049</v>
      </c>
    </row>
    <row r="313" spans="3:8" ht="42" customHeight="1" x14ac:dyDescent="0.25">
      <c r="F313" s="48"/>
      <c r="G313" s="8"/>
      <c r="H313" s="725" t="s">
        <v>1050</v>
      </c>
    </row>
    <row r="314" spans="3:8" ht="27" customHeight="1" thickBot="1" x14ac:dyDescent="0.3">
      <c r="F314" s="48"/>
      <c r="G314" s="8"/>
      <c r="H314" s="717" t="s">
        <v>1349</v>
      </c>
    </row>
    <row r="315" spans="3:8" x14ac:dyDescent="0.25">
      <c r="F315" s="48"/>
      <c r="G315" s="8"/>
    </row>
    <row r="316" spans="3:8" x14ac:dyDescent="0.25">
      <c r="F316" s="48"/>
      <c r="G316" s="8"/>
    </row>
    <row r="317" spans="3:8" x14ac:dyDescent="0.25">
      <c r="F317" s="48"/>
      <c r="G317" s="8"/>
    </row>
    <row r="318" spans="3:8" x14ac:dyDescent="0.25">
      <c r="F318" s="48"/>
      <c r="G318" s="8"/>
    </row>
    <row r="319" spans="3:8" x14ac:dyDescent="0.25">
      <c r="F319" s="48"/>
      <c r="G319" s="8"/>
    </row>
    <row r="320" spans="3:8" x14ac:dyDescent="0.25">
      <c r="F320" s="48"/>
      <c r="G320" s="8"/>
    </row>
    <row r="321" spans="6:7" x14ac:dyDescent="0.25">
      <c r="F321" s="48"/>
      <c r="G321" s="8"/>
    </row>
    <row r="322" spans="6:7" x14ac:dyDescent="0.25">
      <c r="F322" s="48"/>
      <c r="G322" s="8"/>
    </row>
    <row r="323" spans="6:7" x14ac:dyDescent="0.25">
      <c r="F323" s="48"/>
      <c r="G323" s="8"/>
    </row>
    <row r="324" spans="6:7" x14ac:dyDescent="0.25">
      <c r="F324" s="48"/>
      <c r="G324" s="8"/>
    </row>
    <row r="325" spans="6:7" x14ac:dyDescent="0.25">
      <c r="F325" s="48"/>
      <c r="G325" s="8"/>
    </row>
    <row r="326" spans="6:7" x14ac:dyDescent="0.25">
      <c r="F326" s="48"/>
      <c r="G326" s="8"/>
    </row>
    <row r="327" spans="6:7" x14ac:dyDescent="0.25">
      <c r="F327" s="48"/>
      <c r="G327" s="8"/>
    </row>
    <row r="328" spans="6:7" x14ac:dyDescent="0.25">
      <c r="F328" s="48"/>
      <c r="G328" s="8"/>
    </row>
    <row r="329" spans="6:7" x14ac:dyDescent="0.25">
      <c r="F329" s="48"/>
      <c r="G329" s="8"/>
    </row>
    <row r="330" spans="6:7" x14ac:dyDescent="0.25">
      <c r="F330" s="48"/>
      <c r="G330" s="8"/>
    </row>
    <row r="331" spans="6:7" x14ac:dyDescent="0.25">
      <c r="F331" s="48"/>
      <c r="G331" s="8"/>
    </row>
    <row r="332" spans="6:7" x14ac:dyDescent="0.25">
      <c r="F332" s="48"/>
      <c r="G332" s="8"/>
    </row>
    <row r="333" spans="6:7" x14ac:dyDescent="0.25">
      <c r="F333" s="48"/>
      <c r="G333" s="8"/>
    </row>
    <row r="334" spans="6:7" x14ac:dyDescent="0.25">
      <c r="F334" s="48"/>
      <c r="G334" s="8"/>
    </row>
    <row r="335" spans="6:7" x14ac:dyDescent="0.25">
      <c r="F335" s="48"/>
      <c r="G335" s="8"/>
    </row>
    <row r="336" spans="6:7" x14ac:dyDescent="0.25">
      <c r="F336" s="48"/>
      <c r="G336" s="8"/>
    </row>
    <row r="337" spans="6:7" x14ac:dyDescent="0.25">
      <c r="F337" s="48"/>
      <c r="G337" s="8"/>
    </row>
    <row r="338" spans="6:7" x14ac:dyDescent="0.25">
      <c r="F338" s="48"/>
      <c r="G338" s="8"/>
    </row>
    <row r="339" spans="6:7" x14ac:dyDescent="0.25">
      <c r="F339" s="48"/>
      <c r="G339" s="8"/>
    </row>
    <row r="340" spans="6:7" x14ac:dyDescent="0.25">
      <c r="F340" s="48"/>
      <c r="G340" s="8"/>
    </row>
    <row r="341" spans="6:7" x14ac:dyDescent="0.25">
      <c r="F341" s="48"/>
      <c r="G341" s="8"/>
    </row>
    <row r="342" spans="6:7" x14ac:dyDescent="0.25">
      <c r="F342" s="48"/>
      <c r="G342" s="8"/>
    </row>
    <row r="343" spans="6:7" x14ac:dyDescent="0.25">
      <c r="F343" s="48"/>
      <c r="G343" s="8"/>
    </row>
    <row r="344" spans="6:7" x14ac:dyDescent="0.25">
      <c r="F344" s="48"/>
      <c r="G344" s="8"/>
    </row>
    <row r="345" spans="6:7" x14ac:dyDescent="0.25">
      <c r="F345" s="48"/>
      <c r="G345" s="8"/>
    </row>
    <row r="346" spans="6:7" x14ac:dyDescent="0.25">
      <c r="F346" s="48"/>
      <c r="G346" s="8"/>
    </row>
    <row r="347" spans="6:7" x14ac:dyDescent="0.25">
      <c r="F347" s="48"/>
      <c r="G347" s="8"/>
    </row>
    <row r="348" spans="6:7" x14ac:dyDescent="0.25">
      <c r="F348" s="48"/>
      <c r="G348" s="8"/>
    </row>
    <row r="349" spans="6:7" x14ac:dyDescent="0.25">
      <c r="F349" s="48"/>
      <c r="G349" s="8"/>
    </row>
    <row r="350" spans="6:7" x14ac:dyDescent="0.25">
      <c r="F350" s="48"/>
      <c r="G350" s="8"/>
    </row>
    <row r="351" spans="6:7" x14ac:dyDescent="0.25">
      <c r="F351" s="48"/>
      <c r="G351" s="8"/>
    </row>
    <row r="352" spans="6:7" x14ac:dyDescent="0.25">
      <c r="F352" s="48"/>
      <c r="G352" s="8"/>
    </row>
    <row r="353" spans="6:7" x14ac:dyDescent="0.25">
      <c r="F353" s="48"/>
      <c r="G353" s="8"/>
    </row>
    <row r="354" spans="6:7" x14ac:dyDescent="0.25">
      <c r="F354" s="48"/>
      <c r="G354" s="8"/>
    </row>
    <row r="355" spans="6:7" x14ac:dyDescent="0.25">
      <c r="F355" s="48"/>
      <c r="G355" s="8"/>
    </row>
    <row r="356" spans="6:7" x14ac:dyDescent="0.25">
      <c r="F356" s="48"/>
      <c r="G356" s="8"/>
    </row>
    <row r="357" spans="6:7" x14ac:dyDescent="0.25">
      <c r="F357" s="48"/>
      <c r="G357" s="8"/>
    </row>
    <row r="358" spans="6:7" x14ac:dyDescent="0.25">
      <c r="F358" s="48"/>
      <c r="G358" s="8"/>
    </row>
    <row r="359" spans="6:7" x14ac:dyDescent="0.25">
      <c r="F359" s="48"/>
      <c r="G359" s="8"/>
    </row>
    <row r="360" spans="6:7" x14ac:dyDescent="0.25">
      <c r="F360" s="48"/>
      <c r="G360" s="8"/>
    </row>
    <row r="361" spans="6:7" x14ac:dyDescent="0.25">
      <c r="F361" s="48"/>
      <c r="G361" s="8"/>
    </row>
    <row r="362" spans="6:7" x14ac:dyDescent="0.25">
      <c r="F362" s="48"/>
      <c r="G362" s="8"/>
    </row>
    <row r="363" spans="6:7" x14ac:dyDescent="0.25">
      <c r="F363" s="48"/>
      <c r="G363" s="8"/>
    </row>
    <row r="364" spans="6:7" x14ac:dyDescent="0.25">
      <c r="F364" s="48"/>
      <c r="G364" s="8"/>
    </row>
    <row r="365" spans="6:7" x14ac:dyDescent="0.25">
      <c r="F365" s="48"/>
      <c r="G365" s="8"/>
    </row>
    <row r="366" spans="6:7" x14ac:dyDescent="0.25">
      <c r="F366" s="48"/>
      <c r="G366" s="8"/>
    </row>
    <row r="367" spans="6:7" x14ac:dyDescent="0.25">
      <c r="F367" s="48"/>
      <c r="G367" s="8"/>
    </row>
    <row r="368" spans="6:7" x14ac:dyDescent="0.25">
      <c r="F368" s="48"/>
      <c r="G368" s="8"/>
    </row>
    <row r="369" spans="6:7" x14ac:dyDescent="0.25">
      <c r="F369" s="48"/>
      <c r="G369" s="8"/>
    </row>
    <row r="370" spans="6:7" x14ac:dyDescent="0.25">
      <c r="F370" s="48"/>
      <c r="G370" s="8"/>
    </row>
    <row r="371" spans="6:7" x14ac:dyDescent="0.25">
      <c r="F371" s="48"/>
      <c r="G371" s="8"/>
    </row>
    <row r="372" spans="6:7" x14ac:dyDescent="0.25">
      <c r="F372" s="48"/>
      <c r="G372" s="8"/>
    </row>
    <row r="373" spans="6:7" x14ac:dyDescent="0.25">
      <c r="F373" s="48"/>
      <c r="G373" s="8"/>
    </row>
    <row r="374" spans="6:7" x14ac:dyDescent="0.25">
      <c r="F374" s="48"/>
      <c r="G374" s="8"/>
    </row>
    <row r="375" spans="6:7" x14ac:dyDescent="0.25">
      <c r="F375" s="48"/>
      <c r="G375" s="8"/>
    </row>
    <row r="376" spans="6:7" x14ac:dyDescent="0.25">
      <c r="F376" s="48"/>
      <c r="G376" s="8"/>
    </row>
    <row r="377" spans="6:7" x14ac:dyDescent="0.25">
      <c r="F377" s="48"/>
      <c r="G377" s="8"/>
    </row>
    <row r="378" spans="6:7" x14ac:dyDescent="0.25">
      <c r="F378" s="48"/>
      <c r="G378" s="8"/>
    </row>
    <row r="379" spans="6:7" x14ac:dyDescent="0.25">
      <c r="F379" s="48"/>
      <c r="G379" s="8"/>
    </row>
    <row r="380" spans="6:7" x14ac:dyDescent="0.25">
      <c r="F380" s="48"/>
      <c r="G380" s="8"/>
    </row>
    <row r="381" spans="6:7" x14ac:dyDescent="0.25">
      <c r="F381" s="48"/>
      <c r="G381" s="8"/>
    </row>
    <row r="382" spans="6:7" x14ac:dyDescent="0.25">
      <c r="F382" s="48"/>
      <c r="G382" s="8"/>
    </row>
    <row r="383" spans="6:7" x14ac:dyDescent="0.25">
      <c r="F383" s="48"/>
      <c r="G383" s="8"/>
    </row>
    <row r="384" spans="6:7" x14ac:dyDescent="0.25">
      <c r="F384" s="48"/>
      <c r="G384" s="8"/>
    </row>
    <row r="385" spans="6:7" x14ac:dyDescent="0.25">
      <c r="F385" s="48"/>
      <c r="G385" s="8"/>
    </row>
    <row r="386" spans="6:7" x14ac:dyDescent="0.25">
      <c r="F386" s="48"/>
      <c r="G386" s="8"/>
    </row>
    <row r="387" spans="6:7" x14ac:dyDescent="0.25">
      <c r="F387" s="48"/>
      <c r="G387" s="8"/>
    </row>
    <row r="388" spans="6:7" x14ac:dyDescent="0.25">
      <c r="F388" s="48"/>
      <c r="G388" s="8"/>
    </row>
    <row r="389" spans="6:7" x14ac:dyDescent="0.25">
      <c r="F389" s="48"/>
      <c r="G389" s="8"/>
    </row>
    <row r="390" spans="6:7" x14ac:dyDescent="0.25">
      <c r="F390" s="48"/>
      <c r="G390" s="8"/>
    </row>
    <row r="391" spans="6:7" x14ac:dyDescent="0.25">
      <c r="F391" s="48"/>
      <c r="G391" s="8"/>
    </row>
    <row r="392" spans="6:7" x14ac:dyDescent="0.25">
      <c r="F392" s="48"/>
      <c r="G392" s="8"/>
    </row>
    <row r="393" spans="6:7" x14ac:dyDescent="0.25">
      <c r="F393" s="48"/>
      <c r="G393" s="8"/>
    </row>
    <row r="394" spans="6:7" x14ac:dyDescent="0.25">
      <c r="F394" s="48"/>
      <c r="G394" s="8"/>
    </row>
    <row r="395" spans="6:7" x14ac:dyDescent="0.25">
      <c r="F395" s="48"/>
      <c r="G395" s="8"/>
    </row>
    <row r="396" spans="6:7" x14ac:dyDescent="0.25">
      <c r="F396" s="48"/>
      <c r="G396" s="8"/>
    </row>
    <row r="397" spans="6:7" x14ac:dyDescent="0.25">
      <c r="F397" s="48"/>
      <c r="G397" s="8"/>
    </row>
    <row r="398" spans="6:7" x14ac:dyDescent="0.25">
      <c r="F398" s="48"/>
      <c r="G398" s="8"/>
    </row>
    <row r="399" spans="6:7" x14ac:dyDescent="0.25">
      <c r="F399" s="48"/>
      <c r="G399" s="8"/>
    </row>
    <row r="400" spans="6:7" x14ac:dyDescent="0.25">
      <c r="F400" s="48"/>
      <c r="G400" s="8"/>
    </row>
    <row r="401" spans="6:7" x14ac:dyDescent="0.25">
      <c r="F401" s="48"/>
      <c r="G401" s="8"/>
    </row>
    <row r="402" spans="6:7" x14ac:dyDescent="0.25">
      <c r="F402" s="48"/>
      <c r="G402" s="8"/>
    </row>
    <row r="403" spans="6:7" x14ac:dyDescent="0.25">
      <c r="F403" s="48"/>
      <c r="G403" s="8"/>
    </row>
    <row r="404" spans="6:7" x14ac:dyDescent="0.25">
      <c r="F404" s="48"/>
      <c r="G404" s="8"/>
    </row>
    <row r="405" spans="6:7" x14ac:dyDescent="0.25">
      <c r="F405" s="48"/>
      <c r="G405" s="8"/>
    </row>
    <row r="406" spans="6:7" x14ac:dyDescent="0.25">
      <c r="F406" s="48"/>
      <c r="G406" s="8"/>
    </row>
    <row r="407" spans="6:7" x14ac:dyDescent="0.25">
      <c r="F407" s="48"/>
      <c r="G407" s="8"/>
    </row>
    <row r="408" spans="6:7" x14ac:dyDescent="0.25">
      <c r="F408" s="48"/>
      <c r="G408" s="8"/>
    </row>
    <row r="409" spans="6:7" x14ac:dyDescent="0.25">
      <c r="F409" s="48"/>
      <c r="G409" s="8"/>
    </row>
    <row r="410" spans="6:7" x14ac:dyDescent="0.25">
      <c r="F410" s="48"/>
      <c r="G410" s="8"/>
    </row>
    <row r="411" spans="6:7" x14ac:dyDescent="0.25">
      <c r="F411" s="48"/>
      <c r="G411" s="8"/>
    </row>
    <row r="412" spans="6:7" x14ac:dyDescent="0.25">
      <c r="F412" s="48"/>
      <c r="G412" s="8"/>
    </row>
    <row r="413" spans="6:7" x14ac:dyDescent="0.25">
      <c r="F413" s="48"/>
      <c r="G413" s="8"/>
    </row>
    <row r="414" spans="6:7" x14ac:dyDescent="0.25">
      <c r="F414" s="48"/>
      <c r="G414" s="8"/>
    </row>
    <row r="415" spans="6:7" x14ac:dyDescent="0.25">
      <c r="F415" s="48"/>
      <c r="G415" s="8"/>
    </row>
    <row r="416" spans="6:7" x14ac:dyDescent="0.25">
      <c r="F416" s="48"/>
      <c r="G416" s="8"/>
    </row>
    <row r="417" spans="6:7" x14ac:dyDescent="0.25">
      <c r="F417" s="48"/>
      <c r="G417" s="8"/>
    </row>
    <row r="418" spans="6:7" x14ac:dyDescent="0.25">
      <c r="F418" s="48"/>
      <c r="G418" s="8"/>
    </row>
    <row r="419" spans="6:7" x14ac:dyDescent="0.25">
      <c r="F419" s="48"/>
      <c r="G419" s="8"/>
    </row>
    <row r="420" spans="6:7" x14ac:dyDescent="0.25">
      <c r="F420" s="48"/>
      <c r="G420" s="8"/>
    </row>
    <row r="421" spans="6:7" x14ac:dyDescent="0.25">
      <c r="F421" s="48"/>
      <c r="G421" s="8"/>
    </row>
    <row r="422" spans="6:7" x14ac:dyDescent="0.25">
      <c r="F422" s="48"/>
      <c r="G422" s="8"/>
    </row>
    <row r="423" spans="6:7" x14ac:dyDescent="0.25">
      <c r="F423" s="48"/>
      <c r="G423" s="8"/>
    </row>
    <row r="424" spans="6:7" x14ac:dyDescent="0.25">
      <c r="F424" s="48"/>
      <c r="G424" s="8"/>
    </row>
    <row r="425" spans="6:7" x14ac:dyDescent="0.25">
      <c r="F425" s="48"/>
      <c r="G425" s="8"/>
    </row>
    <row r="426" spans="6:7" x14ac:dyDescent="0.25">
      <c r="F426" s="48"/>
      <c r="G426" s="8"/>
    </row>
    <row r="427" spans="6:7" x14ac:dyDescent="0.25">
      <c r="F427" s="48"/>
      <c r="G427" s="8"/>
    </row>
    <row r="428" spans="6:7" x14ac:dyDescent="0.25">
      <c r="F428" s="48"/>
      <c r="G428" s="8"/>
    </row>
    <row r="429" spans="6:7" x14ac:dyDescent="0.25">
      <c r="F429" s="48"/>
      <c r="G429" s="8"/>
    </row>
    <row r="430" spans="6:7" x14ac:dyDescent="0.25">
      <c r="F430" s="48"/>
      <c r="G430" s="8"/>
    </row>
    <row r="431" spans="6:7" x14ac:dyDescent="0.25">
      <c r="F431" s="48"/>
      <c r="G431" s="8"/>
    </row>
    <row r="432" spans="6:7" x14ac:dyDescent="0.25">
      <c r="F432" s="48"/>
      <c r="G432" s="8"/>
    </row>
    <row r="433" spans="6:7" x14ac:dyDescent="0.25">
      <c r="F433" s="48"/>
      <c r="G433" s="8"/>
    </row>
    <row r="434" spans="6:7" x14ac:dyDescent="0.25">
      <c r="F434" s="48"/>
      <c r="G434" s="8"/>
    </row>
    <row r="435" spans="6:7" x14ac:dyDescent="0.25">
      <c r="F435" s="48"/>
      <c r="G435" s="8"/>
    </row>
    <row r="436" spans="6:7" x14ac:dyDescent="0.25">
      <c r="F436" s="48"/>
      <c r="G436" s="8"/>
    </row>
    <row r="437" spans="6:7" x14ac:dyDescent="0.25">
      <c r="F437" s="48"/>
      <c r="G437" s="8"/>
    </row>
    <row r="438" spans="6:7" x14ac:dyDescent="0.25">
      <c r="F438" s="48"/>
      <c r="G438" s="8"/>
    </row>
    <row r="439" spans="6:7" x14ac:dyDescent="0.25">
      <c r="F439" s="48"/>
      <c r="G439" s="8"/>
    </row>
    <row r="440" spans="6:7" x14ac:dyDescent="0.25">
      <c r="F440" s="48"/>
      <c r="G440" s="8"/>
    </row>
    <row r="441" spans="6:7" x14ac:dyDescent="0.25">
      <c r="F441" s="48"/>
      <c r="G441" s="8"/>
    </row>
    <row r="442" spans="6:7" x14ac:dyDescent="0.25">
      <c r="F442" s="48"/>
      <c r="G442" s="8"/>
    </row>
    <row r="443" spans="6:7" x14ac:dyDescent="0.25">
      <c r="F443" s="48"/>
      <c r="G443" s="8"/>
    </row>
    <row r="444" spans="6:7" x14ac:dyDescent="0.25">
      <c r="F444" s="48"/>
      <c r="G444" s="8"/>
    </row>
    <row r="445" spans="6:7" x14ac:dyDescent="0.25">
      <c r="F445" s="48"/>
      <c r="G445" s="8"/>
    </row>
    <row r="446" spans="6:7" x14ac:dyDescent="0.25">
      <c r="F446" s="48"/>
      <c r="G446" s="8"/>
    </row>
    <row r="447" spans="6:7" x14ac:dyDescent="0.25">
      <c r="F447" s="48"/>
      <c r="G447" s="8"/>
    </row>
    <row r="448" spans="6:7" x14ac:dyDescent="0.25">
      <c r="F448" s="48"/>
      <c r="G448" s="8"/>
    </row>
    <row r="449" spans="6:7" x14ac:dyDescent="0.25">
      <c r="F449" s="48"/>
      <c r="G449" s="8"/>
    </row>
    <row r="450" spans="6:7" x14ac:dyDescent="0.25">
      <c r="F450" s="48"/>
      <c r="G450" s="8"/>
    </row>
    <row r="451" spans="6:7" x14ac:dyDescent="0.25">
      <c r="F451" s="48"/>
      <c r="G451" s="8"/>
    </row>
    <row r="452" spans="6:7" x14ac:dyDescent="0.25">
      <c r="F452" s="48"/>
      <c r="G452" s="8"/>
    </row>
    <row r="453" spans="6:7" x14ac:dyDescent="0.25">
      <c r="F453" s="48"/>
      <c r="G453" s="8"/>
    </row>
    <row r="454" spans="6:7" x14ac:dyDescent="0.25">
      <c r="F454" s="48"/>
      <c r="G454" s="8"/>
    </row>
    <row r="455" spans="6:7" x14ac:dyDescent="0.25">
      <c r="F455" s="48"/>
      <c r="G455" s="8"/>
    </row>
    <row r="456" spans="6:7" x14ac:dyDescent="0.25">
      <c r="F456" s="48"/>
      <c r="G456" s="8"/>
    </row>
    <row r="457" spans="6:7" x14ac:dyDescent="0.25">
      <c r="F457" s="48"/>
      <c r="G457" s="8"/>
    </row>
    <row r="458" spans="6:7" x14ac:dyDescent="0.25">
      <c r="F458" s="48"/>
      <c r="G458" s="8"/>
    </row>
    <row r="459" spans="6:7" x14ac:dyDescent="0.25">
      <c r="F459" s="48"/>
      <c r="G459" s="8"/>
    </row>
    <row r="460" spans="6:7" x14ac:dyDescent="0.25">
      <c r="F460" s="48"/>
      <c r="G460" s="8"/>
    </row>
    <row r="461" spans="6:7" x14ac:dyDescent="0.25">
      <c r="F461" s="48"/>
      <c r="G461" s="8"/>
    </row>
    <row r="462" spans="6:7" x14ac:dyDescent="0.25">
      <c r="F462" s="48"/>
      <c r="G462" s="8"/>
    </row>
    <row r="463" spans="6:7" x14ac:dyDescent="0.25">
      <c r="F463" s="48"/>
      <c r="G463" s="8"/>
    </row>
    <row r="464" spans="6:7" x14ac:dyDescent="0.25">
      <c r="F464" s="48"/>
      <c r="G464" s="8"/>
    </row>
    <row r="465" spans="6:7" x14ac:dyDescent="0.25">
      <c r="F465" s="48"/>
      <c r="G465" s="8"/>
    </row>
    <row r="466" spans="6:7" x14ac:dyDescent="0.25">
      <c r="F466" s="48"/>
      <c r="G466" s="8"/>
    </row>
    <row r="467" spans="6:7" x14ac:dyDescent="0.25">
      <c r="F467" s="48"/>
      <c r="G467" s="8"/>
    </row>
    <row r="468" spans="6:7" x14ac:dyDescent="0.25">
      <c r="F468" s="48"/>
      <c r="G468" s="8"/>
    </row>
    <row r="469" spans="6:7" x14ac:dyDescent="0.25">
      <c r="F469" s="48"/>
      <c r="G469" s="8"/>
    </row>
    <row r="470" spans="6:7" x14ac:dyDescent="0.25">
      <c r="F470" s="48"/>
      <c r="G470" s="8"/>
    </row>
    <row r="471" spans="6:7" x14ac:dyDescent="0.25">
      <c r="F471" s="48"/>
      <c r="G471" s="8"/>
    </row>
    <row r="472" spans="6:7" x14ac:dyDescent="0.25">
      <c r="F472" s="48"/>
      <c r="G472" s="8"/>
    </row>
    <row r="473" spans="6:7" x14ac:dyDescent="0.25">
      <c r="F473" s="48"/>
      <c r="G473" s="8"/>
    </row>
    <row r="474" spans="6:7" x14ac:dyDescent="0.25">
      <c r="F474" s="48"/>
      <c r="G474" s="8"/>
    </row>
    <row r="475" spans="6:7" x14ac:dyDescent="0.25">
      <c r="F475" s="48"/>
      <c r="G475" s="8"/>
    </row>
    <row r="476" spans="6:7" x14ac:dyDescent="0.25">
      <c r="F476" s="48"/>
      <c r="G476" s="8"/>
    </row>
    <row r="477" spans="6:7" x14ac:dyDescent="0.25">
      <c r="F477" s="48"/>
      <c r="G477" s="8"/>
    </row>
    <row r="478" spans="6:7" x14ac:dyDescent="0.25">
      <c r="F478" s="48"/>
      <c r="G478" s="8"/>
    </row>
    <row r="479" spans="6:7" x14ac:dyDescent="0.25">
      <c r="F479" s="48"/>
      <c r="G479" s="8"/>
    </row>
    <row r="480" spans="6:7" x14ac:dyDescent="0.25">
      <c r="F480" s="48"/>
      <c r="G480" s="8"/>
    </row>
    <row r="481" spans="6:7" x14ac:dyDescent="0.25">
      <c r="F481" s="48"/>
      <c r="G481" s="8"/>
    </row>
    <row r="482" spans="6:7" x14ac:dyDescent="0.25">
      <c r="F482" s="48"/>
      <c r="G482" s="8"/>
    </row>
    <row r="483" spans="6:7" x14ac:dyDescent="0.25">
      <c r="F483" s="48"/>
      <c r="G483" s="8"/>
    </row>
    <row r="484" spans="6:7" x14ac:dyDescent="0.25">
      <c r="F484" s="48"/>
      <c r="G484" s="8"/>
    </row>
    <row r="485" spans="6:7" x14ac:dyDescent="0.25">
      <c r="F485" s="48"/>
      <c r="G485" s="8"/>
    </row>
    <row r="486" spans="6:7" x14ac:dyDescent="0.25">
      <c r="F486" s="48"/>
      <c r="G486" s="8"/>
    </row>
    <row r="487" spans="6:7" x14ac:dyDescent="0.25">
      <c r="F487" s="48"/>
      <c r="G487" s="8"/>
    </row>
    <row r="488" spans="6:7" x14ac:dyDescent="0.25">
      <c r="F488" s="48"/>
      <c r="G488" s="8"/>
    </row>
    <row r="489" spans="6:7" x14ac:dyDescent="0.25">
      <c r="F489" s="48"/>
      <c r="G489" s="8"/>
    </row>
    <row r="490" spans="6:7" x14ac:dyDescent="0.25">
      <c r="F490" s="48"/>
      <c r="G490" s="8"/>
    </row>
    <row r="491" spans="6:7" x14ac:dyDescent="0.25">
      <c r="F491" s="48"/>
      <c r="G491" s="8"/>
    </row>
    <row r="492" spans="6:7" x14ac:dyDescent="0.25">
      <c r="F492" s="48"/>
      <c r="G492" s="8"/>
    </row>
    <row r="493" spans="6:7" x14ac:dyDescent="0.25">
      <c r="F493" s="48"/>
      <c r="G493" s="8"/>
    </row>
    <row r="494" spans="6:7" x14ac:dyDescent="0.25">
      <c r="F494" s="48"/>
      <c r="G494" s="8"/>
    </row>
    <row r="495" spans="6:7" x14ac:dyDescent="0.25">
      <c r="F495" s="48"/>
      <c r="G495" s="8"/>
    </row>
    <row r="496" spans="6:7" x14ac:dyDescent="0.25">
      <c r="F496" s="48"/>
      <c r="G496" s="8"/>
    </row>
    <row r="497" spans="6:7" x14ac:dyDescent="0.25">
      <c r="F497" s="48"/>
      <c r="G497" s="8"/>
    </row>
    <row r="498" spans="6:7" x14ac:dyDescent="0.25">
      <c r="F498" s="48"/>
      <c r="G498" s="8"/>
    </row>
    <row r="499" spans="6:7" x14ac:dyDescent="0.25">
      <c r="F499" s="48"/>
      <c r="G499" s="8"/>
    </row>
    <row r="500" spans="6:7" x14ac:dyDescent="0.25">
      <c r="F500" s="48"/>
      <c r="G500" s="8"/>
    </row>
    <row r="501" spans="6:7" x14ac:dyDescent="0.25">
      <c r="F501" s="48"/>
      <c r="G501" s="8"/>
    </row>
    <row r="502" spans="6:7" x14ac:dyDescent="0.25">
      <c r="F502" s="48"/>
      <c r="G502" s="8"/>
    </row>
    <row r="503" spans="6:7" x14ac:dyDescent="0.25">
      <c r="F503" s="48"/>
      <c r="G503" s="8"/>
    </row>
    <row r="504" spans="6:7" x14ac:dyDescent="0.25">
      <c r="F504" s="48"/>
      <c r="G504" s="8"/>
    </row>
    <row r="505" spans="6:7" x14ac:dyDescent="0.25">
      <c r="F505" s="48"/>
      <c r="G505" s="8"/>
    </row>
    <row r="506" spans="6:7" x14ac:dyDescent="0.25">
      <c r="F506" s="48"/>
      <c r="G506" s="8"/>
    </row>
    <row r="507" spans="6:7" x14ac:dyDescent="0.25">
      <c r="F507" s="48"/>
      <c r="G507" s="8"/>
    </row>
    <row r="508" spans="6:7" x14ac:dyDescent="0.25">
      <c r="F508" s="48"/>
      <c r="G508" s="8"/>
    </row>
    <row r="509" spans="6:7" x14ac:dyDescent="0.25">
      <c r="F509" s="48"/>
      <c r="G509" s="8"/>
    </row>
    <row r="510" spans="6:7" x14ac:dyDescent="0.25">
      <c r="F510" s="48"/>
      <c r="G510" s="8"/>
    </row>
    <row r="511" spans="6:7" x14ac:dyDescent="0.25">
      <c r="F511" s="48"/>
      <c r="G511" s="8"/>
    </row>
    <row r="512" spans="6:7" x14ac:dyDescent="0.25">
      <c r="F512" s="48"/>
      <c r="G512" s="8"/>
    </row>
    <row r="513" spans="6:7" x14ac:dyDescent="0.25">
      <c r="F513" s="48"/>
      <c r="G513" s="8"/>
    </row>
    <row r="514" spans="6:7" x14ac:dyDescent="0.25">
      <c r="F514" s="48"/>
      <c r="G514" s="8"/>
    </row>
    <row r="515" spans="6:7" x14ac:dyDescent="0.25">
      <c r="F515" s="48"/>
      <c r="G515" s="8"/>
    </row>
    <row r="516" spans="6:7" x14ac:dyDescent="0.25">
      <c r="F516" s="48"/>
      <c r="G516" s="8"/>
    </row>
    <row r="517" spans="6:7" x14ac:dyDescent="0.25">
      <c r="F517" s="48"/>
      <c r="G517" s="8"/>
    </row>
    <row r="518" spans="6:7" x14ac:dyDescent="0.25">
      <c r="F518" s="48"/>
      <c r="G518" s="8"/>
    </row>
    <row r="519" spans="6:7" x14ac:dyDescent="0.25">
      <c r="F519" s="48"/>
      <c r="G519" s="8"/>
    </row>
    <row r="520" spans="6:7" x14ac:dyDescent="0.25">
      <c r="F520" s="48"/>
      <c r="G520" s="8"/>
    </row>
    <row r="521" spans="6:7" x14ac:dyDescent="0.25">
      <c r="F521" s="48"/>
      <c r="G521" s="8"/>
    </row>
    <row r="522" spans="6:7" x14ac:dyDescent="0.25">
      <c r="F522" s="48"/>
      <c r="G522" s="8"/>
    </row>
    <row r="523" spans="6:7" x14ac:dyDescent="0.25">
      <c r="F523" s="48"/>
      <c r="G523" s="8"/>
    </row>
    <row r="524" spans="6:7" x14ac:dyDescent="0.25">
      <c r="F524" s="48"/>
      <c r="G524" s="8"/>
    </row>
    <row r="525" spans="6:7" x14ac:dyDescent="0.25">
      <c r="F525" s="48"/>
      <c r="G525" s="8"/>
    </row>
    <row r="526" spans="6:7" x14ac:dyDescent="0.25">
      <c r="F526" s="48"/>
      <c r="G526" s="8"/>
    </row>
    <row r="527" spans="6:7" x14ac:dyDescent="0.25">
      <c r="F527" s="48"/>
      <c r="G527" s="8"/>
    </row>
    <row r="528" spans="6:7" x14ac:dyDescent="0.25">
      <c r="F528" s="48"/>
      <c r="G528" s="8"/>
    </row>
    <row r="529" spans="6:7" x14ac:dyDescent="0.25">
      <c r="F529" s="48"/>
      <c r="G529" s="8"/>
    </row>
    <row r="530" spans="6:7" x14ac:dyDescent="0.25">
      <c r="F530" s="48"/>
      <c r="G530" s="8"/>
    </row>
    <row r="531" spans="6:7" x14ac:dyDescent="0.25">
      <c r="F531" s="48"/>
      <c r="G531" s="8"/>
    </row>
    <row r="532" spans="6:7" x14ac:dyDescent="0.25">
      <c r="F532" s="48"/>
      <c r="G532" s="8"/>
    </row>
    <row r="533" spans="6:7" x14ac:dyDescent="0.25">
      <c r="F533" s="48"/>
      <c r="G533" s="8"/>
    </row>
    <row r="534" spans="6:7" x14ac:dyDescent="0.25">
      <c r="F534" s="48"/>
      <c r="G534" s="8"/>
    </row>
    <row r="535" spans="6:7" x14ac:dyDescent="0.25">
      <c r="F535" s="48"/>
      <c r="G535" s="8"/>
    </row>
    <row r="536" spans="6:7" x14ac:dyDescent="0.25">
      <c r="F536" s="48"/>
      <c r="G536" s="8"/>
    </row>
    <row r="537" spans="6:7" x14ac:dyDescent="0.25">
      <c r="F537" s="48"/>
      <c r="G537" s="8"/>
    </row>
    <row r="538" spans="6:7" x14ac:dyDescent="0.25">
      <c r="F538" s="48"/>
      <c r="G538" s="8"/>
    </row>
    <row r="539" spans="6:7" x14ac:dyDescent="0.25">
      <c r="F539" s="48"/>
      <c r="G539" s="8"/>
    </row>
    <row r="540" spans="6:7" x14ac:dyDescent="0.25">
      <c r="F540" s="48"/>
      <c r="G540" s="8"/>
    </row>
    <row r="541" spans="6:7" x14ac:dyDescent="0.25">
      <c r="F541" s="48"/>
      <c r="G541" s="8"/>
    </row>
    <row r="542" spans="6:7" x14ac:dyDescent="0.25">
      <c r="F542" s="48"/>
      <c r="G542" s="8"/>
    </row>
    <row r="543" spans="6:7" x14ac:dyDescent="0.25">
      <c r="F543" s="48"/>
      <c r="G543" s="8"/>
    </row>
    <row r="544" spans="6:7" x14ac:dyDescent="0.25">
      <c r="F544" s="48"/>
      <c r="G544" s="8"/>
    </row>
    <row r="545" spans="6:7" x14ac:dyDescent="0.25">
      <c r="F545" s="48"/>
      <c r="G545" s="8"/>
    </row>
    <row r="546" spans="6:7" x14ac:dyDescent="0.25">
      <c r="F546" s="48"/>
      <c r="G546" s="8"/>
    </row>
    <row r="547" spans="6:7" x14ac:dyDescent="0.25">
      <c r="F547" s="48"/>
      <c r="G547" s="8"/>
    </row>
    <row r="548" spans="6:7" x14ac:dyDescent="0.25">
      <c r="F548" s="48"/>
      <c r="G548" s="8"/>
    </row>
    <row r="549" spans="6:7" x14ac:dyDescent="0.25">
      <c r="F549" s="48"/>
      <c r="G549" s="8"/>
    </row>
    <row r="550" spans="6:7" x14ac:dyDescent="0.25">
      <c r="F550" s="48"/>
      <c r="G550" s="8"/>
    </row>
    <row r="551" spans="6:7" x14ac:dyDescent="0.25">
      <c r="F551" s="48"/>
      <c r="G551" s="8"/>
    </row>
    <row r="552" spans="6:7" x14ac:dyDescent="0.25">
      <c r="F552" s="48"/>
      <c r="G552" s="8"/>
    </row>
    <row r="553" spans="6:7" x14ac:dyDescent="0.25">
      <c r="F553" s="48"/>
      <c r="G553" s="8"/>
    </row>
    <row r="554" spans="6:7" x14ac:dyDescent="0.25">
      <c r="F554" s="48"/>
      <c r="G554" s="8"/>
    </row>
    <row r="555" spans="6:7" x14ac:dyDescent="0.25">
      <c r="F555" s="48"/>
      <c r="G555" s="8"/>
    </row>
    <row r="556" spans="6:7" x14ac:dyDescent="0.25">
      <c r="F556" s="48"/>
      <c r="G556" s="8"/>
    </row>
    <row r="557" spans="6:7" x14ac:dyDescent="0.25">
      <c r="F557" s="48"/>
      <c r="G557" s="8"/>
    </row>
    <row r="558" spans="6:7" x14ac:dyDescent="0.25">
      <c r="F558" s="48"/>
      <c r="G558" s="8"/>
    </row>
    <row r="559" spans="6:7" x14ac:dyDescent="0.25">
      <c r="F559" s="48"/>
      <c r="G559" s="8"/>
    </row>
    <row r="560" spans="6:7" x14ac:dyDescent="0.25">
      <c r="F560" s="48"/>
      <c r="G560" s="8"/>
    </row>
    <row r="561" spans="6:7" x14ac:dyDescent="0.25">
      <c r="F561" s="48"/>
      <c r="G561" s="8"/>
    </row>
    <row r="562" spans="6:7" x14ac:dyDescent="0.25">
      <c r="F562" s="48"/>
      <c r="G562" s="8"/>
    </row>
    <row r="563" spans="6:7" x14ac:dyDescent="0.25">
      <c r="F563" s="48"/>
      <c r="G563" s="8"/>
    </row>
    <row r="564" spans="6:7" x14ac:dyDescent="0.25">
      <c r="F564" s="48"/>
      <c r="G564" s="8"/>
    </row>
    <row r="565" spans="6:7" x14ac:dyDescent="0.25">
      <c r="F565" s="48"/>
      <c r="G565" s="8"/>
    </row>
    <row r="566" spans="6:7" x14ac:dyDescent="0.25">
      <c r="F566" s="48"/>
      <c r="G566" s="8"/>
    </row>
    <row r="567" spans="6:7" x14ac:dyDescent="0.25">
      <c r="F567" s="48"/>
      <c r="G567" s="8"/>
    </row>
    <row r="568" spans="6:7" x14ac:dyDescent="0.25">
      <c r="F568" s="48"/>
      <c r="G568" s="8"/>
    </row>
    <row r="569" spans="6:7" x14ac:dyDescent="0.25">
      <c r="F569" s="48"/>
      <c r="G569" s="8"/>
    </row>
    <row r="570" spans="6:7" x14ac:dyDescent="0.25">
      <c r="F570" s="48"/>
      <c r="G570" s="8"/>
    </row>
    <row r="571" spans="6:7" x14ac:dyDescent="0.25">
      <c r="F571" s="48"/>
      <c r="G571" s="8"/>
    </row>
    <row r="572" spans="6:7" x14ac:dyDescent="0.25">
      <c r="F572" s="48"/>
      <c r="G572" s="8"/>
    </row>
    <row r="573" spans="6:7" x14ac:dyDescent="0.25">
      <c r="F573" s="48"/>
      <c r="G573" s="8"/>
    </row>
    <row r="574" spans="6:7" x14ac:dyDescent="0.25">
      <c r="F574" s="48"/>
      <c r="G574" s="8"/>
    </row>
    <row r="575" spans="6:7" x14ac:dyDescent="0.25">
      <c r="F575" s="48"/>
      <c r="G575" s="8"/>
    </row>
    <row r="576" spans="6:7" x14ac:dyDescent="0.25">
      <c r="F576" s="48"/>
      <c r="G576" s="8"/>
    </row>
    <row r="577" spans="6:7" x14ac:dyDescent="0.25">
      <c r="F577" s="48"/>
      <c r="G577" s="8"/>
    </row>
    <row r="578" spans="6:7" x14ac:dyDescent="0.25">
      <c r="F578" s="48"/>
      <c r="G578" s="8"/>
    </row>
    <row r="579" spans="6:7" x14ac:dyDescent="0.25">
      <c r="F579" s="48"/>
      <c r="G579" s="8"/>
    </row>
    <row r="580" spans="6:7" x14ac:dyDescent="0.25">
      <c r="F580" s="48"/>
      <c r="G580" s="8"/>
    </row>
    <row r="581" spans="6:7" x14ac:dyDescent="0.25">
      <c r="F581" s="48"/>
      <c r="G581" s="8"/>
    </row>
    <row r="582" spans="6:7" x14ac:dyDescent="0.25">
      <c r="F582" s="48"/>
      <c r="G582" s="8"/>
    </row>
    <row r="583" spans="6:7" x14ac:dyDescent="0.25">
      <c r="F583" s="48"/>
      <c r="G583" s="8"/>
    </row>
    <row r="584" spans="6:7" x14ac:dyDescent="0.25">
      <c r="F584" s="48"/>
      <c r="G584" s="8"/>
    </row>
    <row r="585" spans="6:7" x14ac:dyDescent="0.25">
      <c r="F585" s="48"/>
      <c r="G585" s="8"/>
    </row>
    <row r="586" spans="6:7" x14ac:dyDescent="0.25">
      <c r="F586" s="48"/>
      <c r="G586" s="8"/>
    </row>
    <row r="587" spans="6:7" x14ac:dyDescent="0.25">
      <c r="F587" s="48"/>
      <c r="G587" s="8"/>
    </row>
    <row r="588" spans="6:7" x14ac:dyDescent="0.25">
      <c r="F588" s="48"/>
      <c r="G588" s="8"/>
    </row>
    <row r="589" spans="6:7" x14ac:dyDescent="0.25">
      <c r="F589" s="48"/>
      <c r="G589" s="8"/>
    </row>
    <row r="590" spans="6:7" x14ac:dyDescent="0.25">
      <c r="F590" s="48"/>
      <c r="G590" s="8"/>
    </row>
    <row r="591" spans="6:7" x14ac:dyDescent="0.25">
      <c r="F591" s="48"/>
      <c r="G591" s="8"/>
    </row>
    <row r="592" spans="6:7" x14ac:dyDescent="0.25">
      <c r="F592" s="48"/>
      <c r="G592" s="8"/>
    </row>
    <row r="593" spans="6:7" x14ac:dyDescent="0.25">
      <c r="F593" s="48"/>
      <c r="G593" s="8"/>
    </row>
    <row r="594" spans="6:7" x14ac:dyDescent="0.25">
      <c r="F594" s="48"/>
      <c r="G594" s="8"/>
    </row>
    <row r="595" spans="6:7" x14ac:dyDescent="0.25">
      <c r="F595" s="48"/>
      <c r="G595" s="8"/>
    </row>
    <row r="596" spans="6:7" x14ac:dyDescent="0.25">
      <c r="F596" s="48"/>
      <c r="G596" s="8"/>
    </row>
    <row r="597" spans="6:7" x14ac:dyDescent="0.25">
      <c r="F597" s="48"/>
      <c r="G597" s="8"/>
    </row>
    <row r="598" spans="6:7" x14ac:dyDescent="0.25">
      <c r="F598" s="48"/>
      <c r="G598" s="8"/>
    </row>
    <row r="599" spans="6:7" x14ac:dyDescent="0.25">
      <c r="F599" s="48"/>
      <c r="G599" s="8"/>
    </row>
    <row r="600" spans="6:7" x14ac:dyDescent="0.25">
      <c r="F600" s="48"/>
      <c r="G600" s="8"/>
    </row>
    <row r="601" spans="6:7" x14ac:dyDescent="0.25">
      <c r="F601" s="48"/>
      <c r="G601" s="8"/>
    </row>
    <row r="602" spans="6:7" x14ac:dyDescent="0.25">
      <c r="F602" s="48"/>
      <c r="G602" s="8"/>
    </row>
    <row r="603" spans="6:7" x14ac:dyDescent="0.25">
      <c r="F603" s="48"/>
      <c r="G603" s="8"/>
    </row>
    <row r="604" spans="6:7" x14ac:dyDescent="0.25">
      <c r="F604" s="48"/>
      <c r="G604" s="8"/>
    </row>
    <row r="605" spans="6:7" x14ac:dyDescent="0.25">
      <c r="F605" s="48"/>
      <c r="G605" s="8"/>
    </row>
    <row r="606" spans="6:7" x14ac:dyDescent="0.25">
      <c r="F606" s="48"/>
      <c r="G606" s="8"/>
    </row>
    <row r="607" spans="6:7" x14ac:dyDescent="0.25">
      <c r="F607" s="48"/>
      <c r="G607" s="8"/>
    </row>
    <row r="608" spans="6:7" x14ac:dyDescent="0.25">
      <c r="F608" s="48"/>
      <c r="G608" s="8"/>
    </row>
    <row r="609" spans="6:7" x14ac:dyDescent="0.25">
      <c r="F609" s="48"/>
      <c r="G609" s="8"/>
    </row>
    <row r="610" spans="6:7" x14ac:dyDescent="0.25">
      <c r="F610" s="48"/>
      <c r="G610" s="8"/>
    </row>
    <row r="611" spans="6:7" x14ac:dyDescent="0.25">
      <c r="F611" s="48"/>
      <c r="G611" s="8"/>
    </row>
    <row r="612" spans="6:7" x14ac:dyDescent="0.25">
      <c r="F612" s="48"/>
      <c r="G612" s="8"/>
    </row>
    <row r="613" spans="6:7" x14ac:dyDescent="0.25">
      <c r="F613" s="48"/>
      <c r="G613" s="8"/>
    </row>
    <row r="614" spans="6:7" x14ac:dyDescent="0.25">
      <c r="F614" s="48"/>
      <c r="G614" s="8"/>
    </row>
    <row r="615" spans="6:7" x14ac:dyDescent="0.25">
      <c r="F615" s="48"/>
      <c r="G615" s="8"/>
    </row>
    <row r="616" spans="6:7" x14ac:dyDescent="0.25">
      <c r="F616" s="48"/>
      <c r="G616" s="8"/>
    </row>
    <row r="617" spans="6:7" x14ac:dyDescent="0.25">
      <c r="F617" s="48"/>
      <c r="G617" s="8"/>
    </row>
    <row r="618" spans="6:7" x14ac:dyDescent="0.25">
      <c r="F618" s="48"/>
      <c r="G618" s="8"/>
    </row>
    <row r="619" spans="6:7" x14ac:dyDescent="0.25">
      <c r="F619" s="48"/>
      <c r="G619" s="8"/>
    </row>
    <row r="620" spans="6:7" x14ac:dyDescent="0.25">
      <c r="F620" s="48"/>
      <c r="G620" s="8"/>
    </row>
    <row r="621" spans="6:7" x14ac:dyDescent="0.25">
      <c r="F621" s="48"/>
      <c r="G621" s="8"/>
    </row>
    <row r="622" spans="6:7" x14ac:dyDescent="0.25">
      <c r="F622" s="48"/>
      <c r="G622" s="8"/>
    </row>
    <row r="623" spans="6:7" x14ac:dyDescent="0.25">
      <c r="F623" s="48"/>
      <c r="G623" s="8"/>
    </row>
    <row r="624" spans="6:7" x14ac:dyDescent="0.25">
      <c r="F624" s="48"/>
      <c r="G624" s="8"/>
    </row>
    <row r="625" spans="6:7" x14ac:dyDescent="0.25">
      <c r="F625" s="48"/>
      <c r="G625" s="8"/>
    </row>
    <row r="626" spans="6:7" x14ac:dyDescent="0.25">
      <c r="F626" s="48"/>
      <c r="G626" s="8"/>
    </row>
    <row r="627" spans="6:7" x14ac:dyDescent="0.25">
      <c r="F627" s="48"/>
      <c r="G627" s="8"/>
    </row>
    <row r="628" spans="6:7" x14ac:dyDescent="0.25">
      <c r="F628" s="48"/>
      <c r="G628" s="8"/>
    </row>
    <row r="629" spans="6:7" x14ac:dyDescent="0.25">
      <c r="F629" s="48"/>
      <c r="G629" s="8"/>
    </row>
    <row r="630" spans="6:7" x14ac:dyDescent="0.25">
      <c r="F630" s="48"/>
      <c r="G630" s="8"/>
    </row>
    <row r="631" spans="6:7" x14ac:dyDescent="0.25">
      <c r="F631" s="48"/>
      <c r="G631" s="8"/>
    </row>
    <row r="632" spans="6:7" x14ac:dyDescent="0.25">
      <c r="F632" s="48"/>
      <c r="G632" s="8"/>
    </row>
    <row r="633" spans="6:7" x14ac:dyDescent="0.25">
      <c r="F633" s="48"/>
      <c r="G633" s="8"/>
    </row>
    <row r="634" spans="6:7" x14ac:dyDescent="0.25">
      <c r="F634" s="48"/>
      <c r="G634" s="8"/>
    </row>
    <row r="635" spans="6:7" x14ac:dyDescent="0.25">
      <c r="F635" s="48"/>
      <c r="G635" s="8"/>
    </row>
    <row r="636" spans="6:7" x14ac:dyDescent="0.25">
      <c r="F636" s="48"/>
      <c r="G636" s="8"/>
    </row>
    <row r="637" spans="6:7" x14ac:dyDescent="0.25">
      <c r="F637" s="48"/>
      <c r="G637" s="8"/>
    </row>
    <row r="638" spans="6:7" x14ac:dyDescent="0.25">
      <c r="F638" s="48"/>
      <c r="G638" s="8"/>
    </row>
    <row r="639" spans="6:7" x14ac:dyDescent="0.25">
      <c r="F639" s="48"/>
      <c r="G639" s="8"/>
    </row>
    <row r="640" spans="6:7" x14ac:dyDescent="0.25">
      <c r="F640" s="48"/>
      <c r="G640" s="8"/>
    </row>
    <row r="641" spans="6:7" x14ac:dyDescent="0.25">
      <c r="F641" s="48"/>
      <c r="G641" s="8"/>
    </row>
    <row r="642" spans="6:7" x14ac:dyDescent="0.25">
      <c r="F642" s="48"/>
      <c r="G642" s="8"/>
    </row>
    <row r="643" spans="6:7" x14ac:dyDescent="0.25">
      <c r="F643" s="48"/>
      <c r="G643" s="8"/>
    </row>
    <row r="644" spans="6:7" x14ac:dyDescent="0.25">
      <c r="F644" s="48"/>
      <c r="G644" s="8"/>
    </row>
    <row r="645" spans="6:7" x14ac:dyDescent="0.25">
      <c r="F645" s="48"/>
      <c r="G645" s="8"/>
    </row>
    <row r="646" spans="6:7" x14ac:dyDescent="0.25">
      <c r="F646" s="48"/>
      <c r="G646" s="8"/>
    </row>
    <row r="647" spans="6:7" x14ac:dyDescent="0.25">
      <c r="F647" s="48"/>
      <c r="G647" s="8"/>
    </row>
    <row r="648" spans="6:7" x14ac:dyDescent="0.25">
      <c r="F648" s="48"/>
      <c r="G648" s="8"/>
    </row>
    <row r="649" spans="6:7" x14ac:dyDescent="0.25">
      <c r="F649" s="48"/>
      <c r="G649" s="8"/>
    </row>
    <row r="650" spans="6:7" x14ac:dyDescent="0.25">
      <c r="F650" s="48"/>
      <c r="G650" s="8"/>
    </row>
    <row r="651" spans="6:7" x14ac:dyDescent="0.25">
      <c r="F651" s="48"/>
      <c r="G651" s="8"/>
    </row>
    <row r="652" spans="6:7" x14ac:dyDescent="0.25">
      <c r="F652" s="48"/>
      <c r="G652" s="8"/>
    </row>
    <row r="653" spans="6:7" x14ac:dyDescent="0.25">
      <c r="F653" s="48"/>
      <c r="G653" s="8"/>
    </row>
    <row r="654" spans="6:7" x14ac:dyDescent="0.25">
      <c r="F654" s="48"/>
      <c r="G654" s="8"/>
    </row>
    <row r="655" spans="6:7" x14ac:dyDescent="0.25">
      <c r="F655" s="48"/>
      <c r="G655" s="8"/>
    </row>
    <row r="656" spans="6:7" x14ac:dyDescent="0.25">
      <c r="F656" s="48"/>
      <c r="G656" s="8"/>
    </row>
    <row r="657" spans="6:7" x14ac:dyDescent="0.25">
      <c r="F657" s="48"/>
      <c r="G657" s="8"/>
    </row>
    <row r="658" spans="6:7" x14ac:dyDescent="0.25">
      <c r="F658" s="48"/>
      <c r="G658" s="8"/>
    </row>
    <row r="659" spans="6:7" x14ac:dyDescent="0.25">
      <c r="F659" s="48"/>
      <c r="G659" s="8"/>
    </row>
    <row r="660" spans="6:7" x14ac:dyDescent="0.25">
      <c r="F660" s="48"/>
      <c r="G660" s="8"/>
    </row>
    <row r="661" spans="6:7" x14ac:dyDescent="0.25">
      <c r="F661" s="48"/>
      <c r="G661" s="8"/>
    </row>
    <row r="662" spans="6:7" x14ac:dyDescent="0.25">
      <c r="F662" s="48"/>
      <c r="G662" s="8"/>
    </row>
    <row r="663" spans="6:7" x14ac:dyDescent="0.25">
      <c r="F663" s="48"/>
      <c r="G663" s="8"/>
    </row>
    <row r="664" spans="6:7" x14ac:dyDescent="0.25">
      <c r="F664" s="48"/>
      <c r="G664" s="8"/>
    </row>
    <row r="665" spans="6:7" x14ac:dyDescent="0.25">
      <c r="F665" s="48"/>
      <c r="G665" s="8"/>
    </row>
    <row r="666" spans="6:7" x14ac:dyDescent="0.25">
      <c r="F666" s="48"/>
      <c r="G666" s="8"/>
    </row>
    <row r="667" spans="6:7" x14ac:dyDescent="0.25">
      <c r="F667" s="48"/>
      <c r="G667" s="8"/>
    </row>
    <row r="668" spans="6:7" x14ac:dyDescent="0.25">
      <c r="F668" s="48"/>
      <c r="G668" s="8"/>
    </row>
    <row r="669" spans="6:7" x14ac:dyDescent="0.25">
      <c r="F669" s="48"/>
      <c r="G669" s="8"/>
    </row>
    <row r="670" spans="6:7" x14ac:dyDescent="0.25">
      <c r="F670" s="48"/>
      <c r="G670" s="8"/>
    </row>
    <row r="671" spans="6:7" x14ac:dyDescent="0.25">
      <c r="F671" s="48"/>
      <c r="G671" s="8"/>
    </row>
    <row r="672" spans="6:7" x14ac:dyDescent="0.25">
      <c r="F672" s="48"/>
      <c r="G672" s="8"/>
    </row>
    <row r="673" spans="6:7" x14ac:dyDescent="0.25">
      <c r="F673" s="48"/>
      <c r="G673" s="8"/>
    </row>
    <row r="674" spans="6:7" x14ac:dyDescent="0.25">
      <c r="F674" s="48"/>
      <c r="G674" s="8"/>
    </row>
    <row r="675" spans="6:7" x14ac:dyDescent="0.25">
      <c r="F675" s="48"/>
      <c r="G675" s="8"/>
    </row>
    <row r="676" spans="6:7" x14ac:dyDescent="0.25">
      <c r="F676" s="48"/>
      <c r="G676" s="8"/>
    </row>
    <row r="677" spans="6:7" x14ac:dyDescent="0.25">
      <c r="F677" s="48"/>
      <c r="G677" s="8"/>
    </row>
    <row r="678" spans="6:7" x14ac:dyDescent="0.25">
      <c r="F678" s="48"/>
      <c r="G678" s="8"/>
    </row>
    <row r="679" spans="6:7" x14ac:dyDescent="0.25">
      <c r="F679" s="48"/>
      <c r="G679" s="8"/>
    </row>
    <row r="680" spans="6:7" x14ac:dyDescent="0.25">
      <c r="F680" s="48"/>
      <c r="G680" s="8"/>
    </row>
    <row r="681" spans="6:7" x14ac:dyDescent="0.25">
      <c r="F681" s="48"/>
      <c r="G681" s="8"/>
    </row>
    <row r="682" spans="6:7" x14ac:dyDescent="0.25">
      <c r="F682" s="48"/>
      <c r="G682" s="8"/>
    </row>
    <row r="683" spans="6:7" x14ac:dyDescent="0.25">
      <c r="F683" s="48"/>
      <c r="G683" s="8"/>
    </row>
    <row r="684" spans="6:7" x14ac:dyDescent="0.25">
      <c r="F684" s="48"/>
      <c r="G684" s="8"/>
    </row>
    <row r="685" spans="6:7" x14ac:dyDescent="0.25">
      <c r="F685" s="48"/>
      <c r="G685" s="8"/>
    </row>
    <row r="686" spans="6:7" x14ac:dyDescent="0.25">
      <c r="F686" s="48"/>
      <c r="G686" s="8"/>
    </row>
    <row r="687" spans="6:7" x14ac:dyDescent="0.25">
      <c r="F687" s="48"/>
      <c r="G687" s="8"/>
    </row>
    <row r="688" spans="6:7" x14ac:dyDescent="0.25">
      <c r="F688" s="48"/>
      <c r="G688" s="8"/>
    </row>
    <row r="689" spans="6:7" x14ac:dyDescent="0.25">
      <c r="F689" s="48"/>
      <c r="G689" s="8"/>
    </row>
    <row r="690" spans="6:7" x14ac:dyDescent="0.25">
      <c r="F690" s="48"/>
      <c r="G690" s="8"/>
    </row>
    <row r="691" spans="6:7" x14ac:dyDescent="0.25">
      <c r="F691" s="48"/>
      <c r="G691" s="8"/>
    </row>
    <row r="692" spans="6:7" x14ac:dyDescent="0.25">
      <c r="F692" s="48"/>
      <c r="G692" s="8"/>
    </row>
    <row r="693" spans="6:7" x14ac:dyDescent="0.25">
      <c r="F693" s="48"/>
      <c r="G693" s="8"/>
    </row>
    <row r="694" spans="6:7" x14ac:dyDescent="0.25">
      <c r="F694" s="48"/>
      <c r="G694" s="8"/>
    </row>
    <row r="695" spans="6:7" x14ac:dyDescent="0.25">
      <c r="F695" s="48"/>
      <c r="G695" s="8"/>
    </row>
    <row r="696" spans="6:7" x14ac:dyDescent="0.25">
      <c r="F696" s="48"/>
      <c r="G696" s="8"/>
    </row>
    <row r="697" spans="6:7" x14ac:dyDescent="0.25">
      <c r="F697" s="48"/>
      <c r="G697" s="8"/>
    </row>
    <row r="698" spans="6:7" x14ac:dyDescent="0.25">
      <c r="F698" s="48"/>
      <c r="G698" s="8"/>
    </row>
    <row r="699" spans="6:7" x14ac:dyDescent="0.25">
      <c r="F699" s="48"/>
      <c r="G699" s="8"/>
    </row>
    <row r="700" spans="6:7" x14ac:dyDescent="0.25">
      <c r="F700" s="48"/>
      <c r="G700" s="8"/>
    </row>
    <row r="701" spans="6:7" x14ac:dyDescent="0.25">
      <c r="F701" s="48"/>
      <c r="G701" s="8"/>
    </row>
    <row r="702" spans="6:7" x14ac:dyDescent="0.25">
      <c r="F702" s="48"/>
      <c r="G702" s="8"/>
    </row>
    <row r="703" spans="6:7" x14ac:dyDescent="0.25">
      <c r="F703" s="48"/>
      <c r="G703" s="8"/>
    </row>
    <row r="704" spans="6:7" x14ac:dyDescent="0.25">
      <c r="F704" s="48"/>
      <c r="G704" s="8"/>
    </row>
    <row r="705" spans="6:7" x14ac:dyDescent="0.25">
      <c r="F705" s="48"/>
      <c r="G705" s="8"/>
    </row>
    <row r="706" spans="6:7" x14ac:dyDescent="0.25">
      <c r="F706" s="48"/>
      <c r="G706" s="8"/>
    </row>
    <row r="707" spans="6:7" x14ac:dyDescent="0.25">
      <c r="F707" s="48"/>
      <c r="G707" s="8"/>
    </row>
    <row r="708" spans="6:7" x14ac:dyDescent="0.25">
      <c r="F708" s="48"/>
      <c r="G708" s="8"/>
    </row>
    <row r="709" spans="6:7" x14ac:dyDescent="0.25">
      <c r="F709" s="48"/>
      <c r="G709" s="8"/>
    </row>
    <row r="710" spans="6:7" x14ac:dyDescent="0.25">
      <c r="F710" s="48"/>
      <c r="G710" s="8"/>
    </row>
    <row r="711" spans="6:7" x14ac:dyDescent="0.25">
      <c r="F711" s="48"/>
      <c r="G711" s="8"/>
    </row>
    <row r="712" spans="6:7" x14ac:dyDescent="0.25">
      <c r="F712" s="48"/>
      <c r="G712" s="8"/>
    </row>
    <row r="713" spans="6:7" x14ac:dyDescent="0.25">
      <c r="F713" s="48"/>
      <c r="G713" s="8"/>
    </row>
    <row r="714" spans="6:7" x14ac:dyDescent="0.25">
      <c r="F714" s="48"/>
      <c r="G714" s="8"/>
    </row>
    <row r="715" spans="6:7" x14ac:dyDescent="0.25">
      <c r="F715" s="48"/>
      <c r="G715" s="8"/>
    </row>
    <row r="716" spans="6:7" x14ac:dyDescent="0.25">
      <c r="F716" s="48"/>
      <c r="G716" s="8"/>
    </row>
    <row r="717" spans="6:7" x14ac:dyDescent="0.25">
      <c r="F717" s="48"/>
      <c r="G717" s="8"/>
    </row>
    <row r="718" spans="6:7" x14ac:dyDescent="0.25">
      <c r="F718" s="48"/>
      <c r="G718" s="8"/>
    </row>
    <row r="719" spans="6:7" x14ac:dyDescent="0.25">
      <c r="F719" s="48"/>
      <c r="G719" s="8"/>
    </row>
    <row r="720" spans="6:7" x14ac:dyDescent="0.25">
      <c r="F720" s="48"/>
      <c r="G720" s="8"/>
    </row>
  </sheetData>
  <sheetProtection password="C74A" sheet="1" objects="1" scenarios="1" formatCells="0" formatColumns="0" formatRows="0"/>
  <customSheetViews>
    <customSheetView guid="{B8E02330-2419-4DE6-AD01-7ACC7A5D18DD}" scale="75" topLeftCell="A245">
      <selection activeCell="A2" sqref="A2:H260"/>
      <pageMargins left="0.75" right="0.75" top="1" bottom="1" header="0.5" footer="0.5"/>
      <pageSetup orientation="portrait" r:id="rId1"/>
      <headerFooter alignWithMargins="0"/>
    </customSheetView>
  </customSheetViews>
  <mergeCells count="149">
    <mergeCell ref="D288:F288"/>
    <mergeCell ref="C281:C288"/>
    <mergeCell ref="C289:E289"/>
    <mergeCell ref="C290:E290"/>
    <mergeCell ref="A62:A69"/>
    <mergeCell ref="H62:H69"/>
    <mergeCell ref="H71:H75"/>
    <mergeCell ref="A24:A29"/>
    <mergeCell ref="A30:A35"/>
    <mergeCell ref="A36:A40"/>
    <mergeCell ref="A41:A46"/>
    <mergeCell ref="H132:H136"/>
    <mergeCell ref="H153:H156"/>
    <mergeCell ref="H113:H119"/>
    <mergeCell ref="H89:H93"/>
    <mergeCell ref="H82:H88"/>
    <mergeCell ref="D287:F287"/>
    <mergeCell ref="D283:F283"/>
    <mergeCell ref="D284:F284"/>
    <mergeCell ref="D282:F282"/>
    <mergeCell ref="D281:F281"/>
    <mergeCell ref="D285:F285"/>
    <mergeCell ref="D286:F286"/>
    <mergeCell ref="H274:H278"/>
    <mergeCell ref="A1:B1"/>
    <mergeCell ref="H3:H9"/>
    <mergeCell ref="A47:A53"/>
    <mergeCell ref="A58:A61"/>
    <mergeCell ref="H41:H46"/>
    <mergeCell ref="H10:H16"/>
    <mergeCell ref="H30:H35"/>
    <mergeCell ref="H24:H29"/>
    <mergeCell ref="H17:H23"/>
    <mergeCell ref="H47:H53"/>
    <mergeCell ref="H54:H57"/>
    <mergeCell ref="H36:H40"/>
    <mergeCell ref="A54:A57"/>
    <mergeCell ref="A3:A9"/>
    <mergeCell ref="A10:A16"/>
    <mergeCell ref="A17:A23"/>
    <mergeCell ref="E1:H1"/>
    <mergeCell ref="B3:B9"/>
    <mergeCell ref="B10:B16"/>
    <mergeCell ref="B17:B23"/>
    <mergeCell ref="B24:B29"/>
    <mergeCell ref="B30:B35"/>
    <mergeCell ref="B36:B40"/>
    <mergeCell ref="B41:B46"/>
    <mergeCell ref="H147:H152"/>
    <mergeCell ref="H101:H107"/>
    <mergeCell ref="H108:H112"/>
    <mergeCell ref="H234:H240"/>
    <mergeCell ref="H241:H253"/>
    <mergeCell ref="H197:H200"/>
    <mergeCell ref="H201:H206"/>
    <mergeCell ref="H207:H214"/>
    <mergeCell ref="H215:H221"/>
    <mergeCell ref="H222:H226"/>
    <mergeCell ref="H227:H233"/>
    <mergeCell ref="H167:H173"/>
    <mergeCell ref="H267:H273"/>
    <mergeCell ref="B267:B273"/>
    <mergeCell ref="B160:B166"/>
    <mergeCell ref="B167:B173"/>
    <mergeCell ref="B262:B266"/>
    <mergeCell ref="A197:A200"/>
    <mergeCell ref="B47:B53"/>
    <mergeCell ref="B54:B57"/>
    <mergeCell ref="B58:B61"/>
    <mergeCell ref="B62:B69"/>
    <mergeCell ref="B71:B75"/>
    <mergeCell ref="B82:B88"/>
    <mergeCell ref="B89:B93"/>
    <mergeCell ref="B94:B100"/>
    <mergeCell ref="H76:H81"/>
    <mergeCell ref="H58:H61"/>
    <mergeCell ref="H94:H100"/>
    <mergeCell ref="H126:H131"/>
    <mergeCell ref="H120:H125"/>
    <mergeCell ref="H262:H266"/>
    <mergeCell ref="H260:H261"/>
    <mergeCell ref="H142:H146"/>
    <mergeCell ref="H191:H195"/>
    <mergeCell ref="H138:H141"/>
    <mergeCell ref="H255:H259"/>
    <mergeCell ref="H184:H190"/>
    <mergeCell ref="H174:H179"/>
    <mergeCell ref="H160:H166"/>
    <mergeCell ref="H157:H159"/>
    <mergeCell ref="B153:B156"/>
    <mergeCell ref="B184:B190"/>
    <mergeCell ref="B227:B233"/>
    <mergeCell ref="B234:B240"/>
    <mergeCell ref="B241:B253"/>
    <mergeCell ref="H180:H183"/>
    <mergeCell ref="A113:A119"/>
    <mergeCell ref="A120:A125"/>
    <mergeCell ref="A71:A75"/>
    <mergeCell ref="A76:A81"/>
    <mergeCell ref="A82:A88"/>
    <mergeCell ref="A101:A107"/>
    <mergeCell ref="A94:A100"/>
    <mergeCell ref="A274:A278"/>
    <mergeCell ref="A108:A112"/>
    <mergeCell ref="A89:A93"/>
    <mergeCell ref="A157:A159"/>
    <mergeCell ref="A138:A141"/>
    <mergeCell ref="A132:A136"/>
    <mergeCell ref="A126:A131"/>
    <mergeCell ref="A262:A266"/>
    <mergeCell ref="A191:A195"/>
    <mergeCell ref="A180:A183"/>
    <mergeCell ref="A142:A146"/>
    <mergeCell ref="A260:A261"/>
    <mergeCell ref="A167:A173"/>
    <mergeCell ref="A147:A152"/>
    <mergeCell ref="A160:A166"/>
    <mergeCell ref="A153:A156"/>
    <mergeCell ref="A174:A179"/>
    <mergeCell ref="B76:B81"/>
    <mergeCell ref="B126:B131"/>
    <mergeCell ref="B138:B141"/>
    <mergeCell ref="B101:B107"/>
    <mergeCell ref="B260:B261"/>
    <mergeCell ref="B191:B195"/>
    <mergeCell ref="B255:B259"/>
    <mergeCell ref="B108:B112"/>
    <mergeCell ref="B113:B119"/>
    <mergeCell ref="B120:B125"/>
    <mergeCell ref="B132:B136"/>
    <mergeCell ref="B157:B159"/>
    <mergeCell ref="B180:B183"/>
    <mergeCell ref="B147:B152"/>
    <mergeCell ref="A234:A240"/>
    <mergeCell ref="A215:A221"/>
    <mergeCell ref="A222:A226"/>
    <mergeCell ref="A227:A233"/>
    <mergeCell ref="A241:A253"/>
    <mergeCell ref="B274:B278"/>
    <mergeCell ref="B142:B146"/>
    <mergeCell ref="B174:B179"/>
    <mergeCell ref="B197:B200"/>
    <mergeCell ref="B201:B206"/>
    <mergeCell ref="B207:B214"/>
    <mergeCell ref="B215:B221"/>
    <mergeCell ref="B222:B226"/>
    <mergeCell ref="A255:A259"/>
    <mergeCell ref="A184:A190"/>
    <mergeCell ref="A267:A273"/>
  </mergeCells>
  <phoneticPr fontId="3" type="noConversion"/>
  <pageMargins left="0.75" right="0.75" top="1" bottom="1" header="0.5" footer="0.5"/>
  <pageSetup orientation="portrait" r:id="rId2"/>
  <headerFooter alignWithMargins="0"/>
  <ignoredErrors>
    <ignoredError sqref="G24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I439"/>
  <sheetViews>
    <sheetView zoomScaleNormal="100" workbookViewId="0">
      <selection activeCell="G251" sqref="G251:G258"/>
    </sheetView>
  </sheetViews>
  <sheetFormatPr defaultColWidth="9.33203125" defaultRowHeight="13.8" x14ac:dyDescent="0.3"/>
  <cols>
    <col min="1" max="1" width="5.77734375" style="3" customWidth="1"/>
    <col min="2" max="2" width="18.77734375" style="3" customWidth="1"/>
    <col min="3" max="3" width="75.77734375" style="2" customWidth="1"/>
    <col min="4" max="4" width="7.33203125" style="48" customWidth="1"/>
    <col min="5" max="5" width="8.33203125" style="48" customWidth="1"/>
    <col min="6" max="6" width="7.77734375" style="48" customWidth="1"/>
    <col min="7" max="7" width="12.77734375" style="560" customWidth="1"/>
    <col min="8" max="8" width="76.44140625" style="2" customWidth="1"/>
    <col min="9" max="9" width="14.6640625" style="3" customWidth="1"/>
    <col min="10" max="11" width="9.33203125" style="94"/>
    <col min="12" max="12" width="8.109375" style="94" customWidth="1"/>
    <col min="13" max="16384" width="9.33203125" style="94"/>
  </cols>
  <sheetData>
    <row r="1" spans="1:9" s="100" customFormat="1" ht="69.75" customHeight="1" thickBot="1" x14ac:dyDescent="0.3">
      <c r="A1" s="1826" t="s">
        <v>587</v>
      </c>
      <c r="B1" s="1827"/>
      <c r="C1" s="151" t="s">
        <v>613</v>
      </c>
      <c r="D1" s="1023" t="s">
        <v>1186</v>
      </c>
      <c r="E1" s="1993"/>
      <c r="F1" s="1993"/>
      <c r="G1" s="1993"/>
      <c r="H1" s="1993"/>
      <c r="I1" s="99"/>
    </row>
    <row r="2" spans="1:9" s="366" customFormat="1" ht="45.75" customHeight="1" thickBot="1" x14ac:dyDescent="0.3">
      <c r="A2" s="1096" t="s">
        <v>126</v>
      </c>
      <c r="B2" s="376" t="s">
        <v>1458</v>
      </c>
      <c r="C2" s="1097" t="s">
        <v>1271</v>
      </c>
      <c r="D2" s="1098" t="s">
        <v>115</v>
      </c>
      <c r="E2" s="1098" t="s">
        <v>771</v>
      </c>
      <c r="F2" s="376" t="s">
        <v>1462</v>
      </c>
      <c r="G2" s="1099" t="s">
        <v>1273</v>
      </c>
      <c r="H2" s="376" t="s">
        <v>772</v>
      </c>
    </row>
    <row r="3" spans="1:9" s="1" customFormat="1" ht="30" customHeight="1" thickBot="1" x14ac:dyDescent="0.35">
      <c r="A3" s="1989" t="str">
        <f>OF!A4</f>
        <v>OF1</v>
      </c>
      <c r="B3" s="1599" t="str">
        <f>OF!B4</f>
        <v>Distance to Extensive Perennial Cover (DistPerCov)</v>
      </c>
      <c r="C3" s="251" t="str">
        <f>OF!C4</f>
        <v>The distance from the AA edge to the edge of the closest patch or corridor of perennial cover (see definition in column E) larger than 100 acres is:</v>
      </c>
      <c r="D3" s="1100"/>
      <c r="E3" s="1101"/>
      <c r="F3" s="1102"/>
      <c r="G3" s="948">
        <f>MAX(F4:F9)/MAX(E4:E9)</f>
        <v>0</v>
      </c>
      <c r="H3" s="1599" t="s">
        <v>710</v>
      </c>
      <c r="I3" s="2"/>
    </row>
    <row r="4" spans="1:9" s="1" customFormat="1" ht="16.2" customHeight="1" x14ac:dyDescent="0.3">
      <c r="A4" s="1990"/>
      <c r="B4" s="1582"/>
      <c r="C4" s="480" t="str">
        <f>OF!C5</f>
        <v>&lt;100 ft.</v>
      </c>
      <c r="D4" s="1103">
        <f>OF!D5</f>
        <v>0</v>
      </c>
      <c r="E4" s="907">
        <v>10</v>
      </c>
      <c r="F4" s="1104">
        <f t="shared" ref="F4:F9" si="0">D4*E4</f>
        <v>0</v>
      </c>
      <c r="G4" s="956"/>
      <c r="H4" s="1582"/>
      <c r="I4" s="2"/>
    </row>
    <row r="5" spans="1:9" s="1" customFormat="1" ht="16.2" customHeight="1" x14ac:dyDescent="0.3">
      <c r="A5" s="1990"/>
      <c r="B5" s="1582"/>
      <c r="C5" s="1105" t="str">
        <f>OF!C6</f>
        <v>100 to &lt;300 ft.</v>
      </c>
      <c r="D5" s="1103">
        <f>OF!D6</f>
        <v>0</v>
      </c>
      <c r="E5" s="1106">
        <v>6</v>
      </c>
      <c r="F5" s="1104">
        <f t="shared" si="0"/>
        <v>0</v>
      </c>
      <c r="G5" s="957"/>
      <c r="H5" s="1582"/>
      <c r="I5" s="2"/>
    </row>
    <row r="6" spans="1:9" s="1" customFormat="1" ht="16.2" customHeight="1" x14ac:dyDescent="0.3">
      <c r="A6" s="1990"/>
      <c r="B6" s="1582"/>
      <c r="C6" s="1105" t="str">
        <f>OF!C7</f>
        <v>300 to &lt;1000 ft.</v>
      </c>
      <c r="D6" s="1103">
        <f>OF!D7</f>
        <v>0</v>
      </c>
      <c r="E6" s="1106">
        <v>4</v>
      </c>
      <c r="F6" s="1104">
        <f t="shared" si="0"/>
        <v>0</v>
      </c>
      <c r="G6" s="959"/>
      <c r="H6" s="1582"/>
      <c r="I6" s="2"/>
    </row>
    <row r="7" spans="1:9" s="1" customFormat="1" ht="16.2" customHeight="1" x14ac:dyDescent="0.3">
      <c r="A7" s="1990"/>
      <c r="B7" s="1582"/>
      <c r="C7" s="1105" t="str">
        <f>OF!C8</f>
        <v>1000 ft. to &lt;0.5 mile.</v>
      </c>
      <c r="D7" s="1103">
        <f>OF!D8</f>
        <v>0</v>
      </c>
      <c r="E7" s="1106">
        <v>2</v>
      </c>
      <c r="F7" s="1104">
        <f t="shared" si="0"/>
        <v>0</v>
      </c>
      <c r="G7" s="959"/>
      <c r="H7" s="1582"/>
      <c r="I7" s="2"/>
    </row>
    <row r="8" spans="1:9" s="1" customFormat="1" ht="16.2" customHeight="1" x14ac:dyDescent="0.3">
      <c r="A8" s="1990"/>
      <c r="B8" s="1582"/>
      <c r="C8" s="1105" t="str">
        <f>OF!C9</f>
        <v>0.5 mile to 2 miles.</v>
      </c>
      <c r="D8" s="1103">
        <f>OF!D9</f>
        <v>0</v>
      </c>
      <c r="E8" s="1106">
        <v>1</v>
      </c>
      <c r="F8" s="1104">
        <f t="shared" si="0"/>
        <v>0</v>
      </c>
      <c r="G8" s="957"/>
      <c r="H8" s="1582"/>
      <c r="I8" s="2"/>
    </row>
    <row r="9" spans="1:9" s="1" customFormat="1" ht="16.2" customHeight="1" thickBot="1" x14ac:dyDescent="0.35">
      <c r="A9" s="1990"/>
      <c r="B9" s="1582"/>
      <c r="C9" s="1105" t="str">
        <f>OF!C10</f>
        <v>&gt; 2 miles.</v>
      </c>
      <c r="D9" s="1107">
        <f>OF!D10</f>
        <v>0</v>
      </c>
      <c r="E9" s="1108">
        <v>0</v>
      </c>
      <c r="F9" s="1109">
        <f t="shared" si="0"/>
        <v>0</v>
      </c>
      <c r="G9" s="959"/>
      <c r="H9" s="1582"/>
      <c r="I9" s="2"/>
    </row>
    <row r="10" spans="1:9" ht="30" customHeight="1" thickBot="1" x14ac:dyDescent="0.35">
      <c r="A10" s="2025" t="str">
        <f>OF!A15</f>
        <v>OF3</v>
      </c>
      <c r="B10" s="2002" t="str">
        <f>OF!B15</f>
        <v>Distance to Ponded Water (DistPond)</v>
      </c>
      <c r="C10" s="1110" t="str">
        <f>OF!C15</f>
        <v>The distance from the AA edge to the closest (but separate) body of nontidal fresh water (wetland, pond, or lake) that  is ponded all or most of the year is:</v>
      </c>
      <c r="D10" s="549"/>
      <c r="E10" s="210"/>
      <c r="F10" s="241"/>
      <c r="G10" s="948">
        <f>MAX(F11:F16)/MAX(E11:E16)</f>
        <v>0</v>
      </c>
      <c r="H10" s="1599" t="s">
        <v>693</v>
      </c>
    </row>
    <row r="11" spans="1:9" ht="16.2" customHeight="1" x14ac:dyDescent="0.3">
      <c r="A11" s="2026"/>
      <c r="B11" s="2000"/>
      <c r="C11" s="1111" t="str">
        <f>OF!C16</f>
        <v>&lt;100 ft.</v>
      </c>
      <c r="D11" s="47">
        <f>OF!D16</f>
        <v>0</v>
      </c>
      <c r="E11" s="49">
        <v>10</v>
      </c>
      <c r="F11" s="45">
        <f t="shared" ref="F11:F33" si="1">D11*E11</f>
        <v>0</v>
      </c>
      <c r="G11" s="956"/>
      <c r="H11" s="1582"/>
    </row>
    <row r="12" spans="1:9" ht="16.2" customHeight="1" x14ac:dyDescent="0.3">
      <c r="A12" s="2026"/>
      <c r="B12" s="2000"/>
      <c r="C12" s="453" t="str">
        <f>OF!C17</f>
        <v>100 to &lt;300 ft.</v>
      </c>
      <c r="D12" s="47">
        <f>OF!D17</f>
        <v>0</v>
      </c>
      <c r="E12" s="49">
        <v>8</v>
      </c>
      <c r="F12" s="45">
        <f t="shared" si="1"/>
        <v>0</v>
      </c>
      <c r="G12" s="957"/>
      <c r="H12" s="1582"/>
    </row>
    <row r="13" spans="1:9" ht="16.2" customHeight="1" x14ac:dyDescent="0.3">
      <c r="A13" s="2026"/>
      <c r="B13" s="2000"/>
      <c r="C13" s="453" t="str">
        <f>OF!C18</f>
        <v>300 to &lt;1000 ft.</v>
      </c>
      <c r="D13" s="47">
        <f>OF!D18</f>
        <v>0</v>
      </c>
      <c r="E13" s="49">
        <v>7</v>
      </c>
      <c r="F13" s="45">
        <f t="shared" si="1"/>
        <v>0</v>
      </c>
      <c r="G13" s="957"/>
      <c r="H13" s="1582"/>
    </row>
    <row r="14" spans="1:9" ht="16.2" customHeight="1" x14ac:dyDescent="0.3">
      <c r="A14" s="2026"/>
      <c r="B14" s="2000"/>
      <c r="C14" s="453" t="str">
        <f>OF!C19</f>
        <v>1000 ft. to &lt; 0.5 mile.</v>
      </c>
      <c r="D14" s="47">
        <f>OF!D19</f>
        <v>0</v>
      </c>
      <c r="E14" s="49">
        <v>4</v>
      </c>
      <c r="F14" s="45">
        <f t="shared" si="1"/>
        <v>0</v>
      </c>
      <c r="G14" s="957"/>
      <c r="H14" s="1582"/>
    </row>
    <row r="15" spans="1:9" ht="16.2" customHeight="1" x14ac:dyDescent="0.3">
      <c r="A15" s="2026"/>
      <c r="B15" s="2000"/>
      <c r="C15" s="453" t="str">
        <f>OF!C20</f>
        <v>0.5 mile to 2 miles.</v>
      </c>
      <c r="D15" s="47">
        <f>OF!D20</f>
        <v>0</v>
      </c>
      <c r="E15" s="49">
        <v>3</v>
      </c>
      <c r="F15" s="45">
        <f t="shared" si="1"/>
        <v>0</v>
      </c>
      <c r="G15" s="957"/>
      <c r="H15" s="1582"/>
    </row>
    <row r="16" spans="1:9" ht="16.2" customHeight="1" thickBot="1" x14ac:dyDescent="0.35">
      <c r="A16" s="2027"/>
      <c r="B16" s="2003"/>
      <c r="C16" s="451" t="str">
        <f>OF!C21</f>
        <v>&gt;2 miles.</v>
      </c>
      <c r="D16" s="80">
        <f>OF!D21</f>
        <v>0</v>
      </c>
      <c r="E16" s="245">
        <v>1</v>
      </c>
      <c r="F16" s="193">
        <f t="shared" si="1"/>
        <v>0</v>
      </c>
      <c r="G16" s="958"/>
      <c r="H16" s="1600"/>
    </row>
    <row r="17" spans="1:8" ht="30" customHeight="1" thickBot="1" x14ac:dyDescent="0.35">
      <c r="A17" s="2026" t="str">
        <f>OF!A22</f>
        <v>OF4</v>
      </c>
      <c r="B17" s="2000" t="str">
        <f>OF!B22</f>
        <v>Distance to Lake (DistLake)</v>
      </c>
      <c r="C17" s="1112" t="str">
        <f>OF!C22</f>
        <v>The distance from the AA edge to the closest (but separate) body of nontidal fresh water that is ponded during most of the year and is larger than 20 acres (about 1000 ft on a side) is:</v>
      </c>
      <c r="D17" s="549"/>
      <c r="E17" s="65"/>
      <c r="F17" s="46"/>
      <c r="G17" s="947">
        <f>MAX(F18:F20)/MAX(E18:E20)</f>
        <v>0</v>
      </c>
      <c r="H17" s="1582" t="s">
        <v>1205</v>
      </c>
    </row>
    <row r="18" spans="1:8" ht="16.2" customHeight="1" x14ac:dyDescent="0.3">
      <c r="A18" s="2026"/>
      <c r="B18" s="2000"/>
      <c r="C18" s="893" t="str">
        <f>OF!C23</f>
        <v>&lt;1 mile.</v>
      </c>
      <c r="D18" s="47">
        <f>OF!D23</f>
        <v>0</v>
      </c>
      <c r="E18" s="49">
        <v>3</v>
      </c>
      <c r="F18" s="54">
        <f t="shared" si="1"/>
        <v>0</v>
      </c>
      <c r="G18" s="957"/>
      <c r="H18" s="1582"/>
    </row>
    <row r="19" spans="1:8" ht="16.2" customHeight="1" x14ac:dyDescent="0.3">
      <c r="A19" s="2026"/>
      <c r="B19" s="2000"/>
      <c r="C19" s="894" t="str">
        <f>OF!C24</f>
        <v>1-5 miles.</v>
      </c>
      <c r="D19" s="47">
        <f>OF!D24</f>
        <v>0</v>
      </c>
      <c r="E19" s="49">
        <v>2</v>
      </c>
      <c r="F19" s="54">
        <f t="shared" si="1"/>
        <v>0</v>
      </c>
      <c r="G19" s="957"/>
      <c r="H19" s="1582"/>
    </row>
    <row r="20" spans="1:8" ht="16.2" customHeight="1" thickBot="1" x14ac:dyDescent="0.35">
      <c r="A20" s="2026"/>
      <c r="B20" s="2000"/>
      <c r="C20" s="1039" t="str">
        <f>OF!C25</f>
        <v>&gt;5 miles.</v>
      </c>
      <c r="D20" s="242">
        <f>OF!D25</f>
        <v>0</v>
      </c>
      <c r="E20" s="67">
        <v>0</v>
      </c>
      <c r="F20" s="54">
        <f t="shared" si="1"/>
        <v>0</v>
      </c>
      <c r="G20" s="959"/>
      <c r="H20" s="1582"/>
    </row>
    <row r="21" spans="1:8" ht="30" customHeight="1" thickBot="1" x14ac:dyDescent="0.35">
      <c r="A21" s="1989" t="str">
        <f>OF!A26</f>
        <v>OF5</v>
      </c>
      <c r="B21" s="1599" t="str">
        <f>OF!B26</f>
        <v>Distance to Herbaceous Open Land (DistOpenL)</v>
      </c>
      <c r="C21" s="75" t="str">
        <f>OF!C26</f>
        <v>The distance from the AA edge to the closest patch of herbaceous openland larger than 10 acres and in flat terrain is:</v>
      </c>
      <c r="D21" s="1113"/>
      <c r="E21" s="1007"/>
      <c r="F21" s="955"/>
      <c r="G21" s="948">
        <f>MAX(F22:F27)/MAX(E22:E27)</f>
        <v>0</v>
      </c>
      <c r="H21" s="1522" t="s">
        <v>691</v>
      </c>
    </row>
    <row r="22" spans="1:8" ht="16.2" customHeight="1" x14ac:dyDescent="0.3">
      <c r="A22" s="1990"/>
      <c r="B22" s="1582"/>
      <c r="C22" s="215" t="str">
        <f>OF!C27</f>
        <v>&lt;100 ft.</v>
      </c>
      <c r="D22" s="47">
        <f>OF!D27</f>
        <v>0</v>
      </c>
      <c r="E22" s="952">
        <v>7</v>
      </c>
      <c r="F22" s="54">
        <f t="shared" si="1"/>
        <v>0</v>
      </c>
      <c r="G22" s="1029"/>
      <c r="H22" s="1521"/>
    </row>
    <row r="23" spans="1:8" ht="16.2" customHeight="1" x14ac:dyDescent="0.3">
      <c r="A23" s="1990"/>
      <c r="B23" s="1582"/>
      <c r="C23" s="215" t="str">
        <f>OF!C28</f>
        <v>100 to &lt;300 ft.</v>
      </c>
      <c r="D23" s="47">
        <f>OF!D28</f>
        <v>0</v>
      </c>
      <c r="E23" s="952">
        <v>6</v>
      </c>
      <c r="F23" s="54">
        <f t="shared" si="1"/>
        <v>0</v>
      </c>
      <c r="G23" s="1029"/>
      <c r="H23" s="1521"/>
    </row>
    <row r="24" spans="1:8" ht="16.2" customHeight="1" x14ac:dyDescent="0.3">
      <c r="A24" s="1990"/>
      <c r="B24" s="1582"/>
      <c r="C24" s="215" t="str">
        <f>OF!C29</f>
        <v>300 to &lt;1000 ft.</v>
      </c>
      <c r="D24" s="47">
        <f>OF!D29</f>
        <v>0</v>
      </c>
      <c r="E24" s="952">
        <v>4</v>
      </c>
      <c r="F24" s="54">
        <f t="shared" si="1"/>
        <v>0</v>
      </c>
      <c r="G24" s="1029"/>
      <c r="H24" s="1521"/>
    </row>
    <row r="25" spans="1:8" ht="16.2" customHeight="1" x14ac:dyDescent="0.3">
      <c r="A25" s="1990"/>
      <c r="B25" s="1582"/>
      <c r="C25" s="215" t="str">
        <f>OF!C30</f>
        <v>1000 ft. to &lt; 0.5 mile.</v>
      </c>
      <c r="D25" s="47">
        <f>OF!D30</f>
        <v>0</v>
      </c>
      <c r="E25" s="952">
        <v>3</v>
      </c>
      <c r="F25" s="54">
        <f t="shared" si="1"/>
        <v>0</v>
      </c>
      <c r="G25" s="1029"/>
      <c r="H25" s="1521"/>
    </row>
    <row r="26" spans="1:8" ht="16.2" customHeight="1" x14ac:dyDescent="0.3">
      <c r="A26" s="1990"/>
      <c r="B26" s="1582"/>
      <c r="C26" s="215" t="str">
        <f>OF!C31</f>
        <v>0.5 mile to  2 miles.</v>
      </c>
      <c r="D26" s="47">
        <f>OF!D31</f>
        <v>0</v>
      </c>
      <c r="E26" s="952">
        <v>2</v>
      </c>
      <c r="F26" s="54">
        <f t="shared" si="1"/>
        <v>0</v>
      </c>
      <c r="G26" s="1029"/>
      <c r="H26" s="1521"/>
    </row>
    <row r="27" spans="1:8" ht="16.2" customHeight="1" thickBot="1" x14ac:dyDescent="0.35">
      <c r="A27" s="1991"/>
      <c r="B27" s="1600"/>
      <c r="C27" s="465" t="str">
        <f>OF!C32</f>
        <v>&gt;2 miles.</v>
      </c>
      <c r="D27" s="242">
        <f>OF!D32</f>
        <v>0</v>
      </c>
      <c r="E27" s="1008">
        <v>0</v>
      </c>
      <c r="F27" s="193">
        <f t="shared" si="1"/>
        <v>0</v>
      </c>
      <c r="G27" s="1030"/>
      <c r="H27" s="1523"/>
    </row>
    <row r="28" spans="1:8" ht="21" customHeight="1" thickBot="1" x14ac:dyDescent="0.35">
      <c r="A28" s="1990" t="str">
        <f>OF!A65</f>
        <v>OF11</v>
      </c>
      <c r="B28" s="1582" t="str">
        <f>OF!B65</f>
        <v>Herbaceous Open Land Percentage (OpenLpct)</v>
      </c>
      <c r="C28" s="244" t="str">
        <f>OF!C65</f>
        <v>Within a 2-mile radius of the AA center, the amount of herbaceous openland in flat terrain is:</v>
      </c>
      <c r="D28" s="1113"/>
      <c r="E28" s="1009"/>
      <c r="F28" s="963"/>
      <c r="G28" s="947">
        <f>MAX(F29:F33)/MAX(E29:E33)</f>
        <v>0</v>
      </c>
      <c r="H28" s="1521" t="s">
        <v>124</v>
      </c>
    </row>
    <row r="29" spans="1:8" ht="16.2" customHeight="1" x14ac:dyDescent="0.3">
      <c r="A29" s="1990"/>
      <c r="B29" s="1582"/>
      <c r="C29" s="215" t="str">
        <f>OF!C66</f>
        <v>&lt;5% of the land.</v>
      </c>
      <c r="D29" s="47">
        <f>OF!D66</f>
        <v>0</v>
      </c>
      <c r="E29" s="952">
        <v>0</v>
      </c>
      <c r="F29" s="54">
        <f t="shared" si="1"/>
        <v>0</v>
      </c>
      <c r="G29" s="1029"/>
      <c r="H29" s="1521"/>
    </row>
    <row r="30" spans="1:8" ht="16.2" customHeight="1" x14ac:dyDescent="0.3">
      <c r="A30" s="1990"/>
      <c r="B30" s="1582"/>
      <c r="C30" s="215" t="str">
        <f>OF!C67</f>
        <v>5 to &lt;20%.</v>
      </c>
      <c r="D30" s="47">
        <f>OF!D67</f>
        <v>0</v>
      </c>
      <c r="E30" s="952">
        <v>1</v>
      </c>
      <c r="F30" s="54">
        <f t="shared" si="1"/>
        <v>0</v>
      </c>
      <c r="G30" s="1029"/>
      <c r="H30" s="1521"/>
    </row>
    <row r="31" spans="1:8" ht="16.2" customHeight="1" x14ac:dyDescent="0.3">
      <c r="A31" s="1990"/>
      <c r="B31" s="1582"/>
      <c r="C31" s="215" t="str">
        <f>OF!C68</f>
        <v>20 to &lt;50%.</v>
      </c>
      <c r="D31" s="47">
        <f>OF!D68</f>
        <v>0</v>
      </c>
      <c r="E31" s="952">
        <v>2</v>
      </c>
      <c r="F31" s="54">
        <f t="shared" si="1"/>
        <v>0</v>
      </c>
      <c r="G31" s="1029"/>
      <c r="H31" s="1521"/>
    </row>
    <row r="32" spans="1:8" ht="16.2" customHeight="1" x14ac:dyDescent="0.3">
      <c r="A32" s="1990"/>
      <c r="B32" s="1582"/>
      <c r="C32" s="215" t="str">
        <f>OF!C69</f>
        <v>50 to 80%.</v>
      </c>
      <c r="D32" s="47">
        <f>OF!D69</f>
        <v>0</v>
      </c>
      <c r="E32" s="952">
        <v>4</v>
      </c>
      <c r="F32" s="54">
        <f t="shared" si="1"/>
        <v>0</v>
      </c>
      <c r="G32" s="1029"/>
      <c r="H32" s="1521"/>
    </row>
    <row r="33" spans="1:8" ht="16.2" customHeight="1" thickBot="1" x14ac:dyDescent="0.35">
      <c r="A33" s="1990"/>
      <c r="B33" s="1582"/>
      <c r="C33" s="2" t="str">
        <f>OF!C70</f>
        <v>&gt;80%.</v>
      </c>
      <c r="D33" s="80">
        <f>OF!D70</f>
        <v>0</v>
      </c>
      <c r="E33" s="1010">
        <v>6</v>
      </c>
      <c r="F33" s="54">
        <f t="shared" si="1"/>
        <v>0</v>
      </c>
      <c r="G33" s="1114"/>
      <c r="H33" s="1521"/>
    </row>
    <row r="34" spans="1:8" ht="21" customHeight="1" thickBot="1" x14ac:dyDescent="0.35">
      <c r="A34" s="2025" t="str">
        <f>OF!A71</f>
        <v>OF12</v>
      </c>
      <c r="B34" s="2002" t="str">
        <f>OF!B71</f>
        <v>Landscape Wetland Connectivity (ConnScapeW)</v>
      </c>
      <c r="C34" s="1110" t="str">
        <f>OF!C71</f>
        <v xml:space="preserve">Within a 2-mile radius of the AA center: </v>
      </c>
      <c r="D34" s="549"/>
      <c r="E34" s="210"/>
      <c r="F34" s="241"/>
      <c r="G34" s="948">
        <f>MAX(F35:F38)/MAX(E35:E38)</f>
        <v>0</v>
      </c>
      <c r="H34" s="1599" t="s">
        <v>137</v>
      </c>
    </row>
    <row r="35" spans="1:8" ht="16.2" customHeight="1" x14ac:dyDescent="0.3">
      <c r="A35" s="2026"/>
      <c r="B35" s="2000"/>
      <c r="C35" s="1111" t="str">
        <f>OF!C72</f>
        <v>There are NO other wetlands.</v>
      </c>
      <c r="D35" s="47">
        <f>OF!D72</f>
        <v>0</v>
      </c>
      <c r="E35" s="49">
        <v>0</v>
      </c>
      <c r="F35" s="45">
        <f>D35*E35</f>
        <v>0</v>
      </c>
      <c r="G35" s="956"/>
      <c r="H35" s="1582"/>
    </row>
    <row r="36" spans="1:8" ht="42" customHeight="1" x14ac:dyDescent="0.3">
      <c r="A36" s="2026"/>
      <c r="B36" s="2000"/>
      <c r="C36" s="453" t="str">
        <f>OF!C73</f>
        <v>There are other wetlands (or a wetland), but NONE are connected to the AA by a corridor of perennial vegetation.  The corridor must be at least 150 ft wide along its entire length and not interrupted by roads with regular traffic.</v>
      </c>
      <c r="D36" s="47">
        <f>OF!D73</f>
        <v>0</v>
      </c>
      <c r="E36" s="49">
        <v>1</v>
      </c>
      <c r="F36" s="54">
        <f>D36*E36</f>
        <v>0</v>
      </c>
      <c r="G36" s="956"/>
      <c r="H36" s="1582"/>
    </row>
    <row r="37" spans="1:8" ht="25.5" customHeight="1" x14ac:dyDescent="0.3">
      <c r="A37" s="2026"/>
      <c r="B37" s="2000"/>
      <c r="C37" s="453" t="str">
        <f>OF!C74</f>
        <v>There are other wetlands (or a wetland), and ALL are connected to the AA by the type of corridor described.</v>
      </c>
      <c r="D37" s="47">
        <f>OF!D74</f>
        <v>0</v>
      </c>
      <c r="E37" s="49">
        <v>3</v>
      </c>
      <c r="F37" s="54">
        <f>D37*E37</f>
        <v>0</v>
      </c>
      <c r="G37" s="956"/>
      <c r="H37" s="1582"/>
    </row>
    <row r="38" spans="1:8" ht="27" customHeight="1" thickBot="1" x14ac:dyDescent="0.35">
      <c r="A38" s="2027"/>
      <c r="B38" s="2003"/>
      <c r="C38" s="451" t="str">
        <f>OF!C75</f>
        <v>There are other wetlands (or a wetland), and ONE or MORE (but not all) are connected to the AA by the type of corridor described.</v>
      </c>
      <c r="D38" s="80">
        <f>OF!D75</f>
        <v>0</v>
      </c>
      <c r="E38" s="245">
        <v>2</v>
      </c>
      <c r="F38" s="193">
        <f>D38*E38</f>
        <v>0</v>
      </c>
      <c r="G38" s="1037"/>
      <c r="H38" s="1600"/>
    </row>
    <row r="39" spans="1:8" ht="21" customHeight="1" thickBot="1" x14ac:dyDescent="0.35">
      <c r="A39" s="2026" t="str">
        <f>OF!A76</f>
        <v>OF13</v>
      </c>
      <c r="B39" s="2000" t="str">
        <f>OF!B76</f>
        <v>Local Wetland Connectivity (ConnLocalW)</v>
      </c>
      <c r="C39" s="452" t="str">
        <f>OF!C76</f>
        <v>Within a 0.5 mile radius of the AA center:</v>
      </c>
      <c r="D39" s="549"/>
      <c r="E39" s="65"/>
      <c r="F39" s="46"/>
      <c r="G39" s="947">
        <f>MAX(F40:F43)/MAX(E40:E43)</f>
        <v>0</v>
      </c>
      <c r="H39" s="1582" t="s">
        <v>711</v>
      </c>
    </row>
    <row r="40" spans="1:8" ht="16.2" customHeight="1" x14ac:dyDescent="0.3">
      <c r="A40" s="2026"/>
      <c r="B40" s="2000"/>
      <c r="C40" s="1111" t="str">
        <f>OF!C77</f>
        <v>There are NO other wetlands.</v>
      </c>
      <c r="D40" s="47">
        <f>OF!D77</f>
        <v>0</v>
      </c>
      <c r="E40" s="49">
        <v>0</v>
      </c>
      <c r="F40" s="54">
        <f>D40*E40</f>
        <v>0</v>
      </c>
      <c r="G40" s="957"/>
      <c r="H40" s="1582"/>
    </row>
    <row r="41" spans="1:8" ht="42" customHeight="1" x14ac:dyDescent="0.3">
      <c r="A41" s="2026"/>
      <c r="B41" s="2000"/>
      <c r="C41" s="453" t="str">
        <f>OF!C78</f>
        <v>There are other wetlands (or a wetland), but NONE are connected to the AA by a corridor of perennial vegetation.  The corridor must be at least 150 ft wide along its entire length and not interrupted by roads with regular traffic.</v>
      </c>
      <c r="D41" s="47">
        <f>OF!D78</f>
        <v>0</v>
      </c>
      <c r="E41" s="49">
        <v>1</v>
      </c>
      <c r="F41" s="54">
        <f>D41*E41</f>
        <v>0</v>
      </c>
      <c r="G41" s="959"/>
      <c r="H41" s="1582"/>
    </row>
    <row r="42" spans="1:8" ht="26.25" customHeight="1" x14ac:dyDescent="0.3">
      <c r="A42" s="2026"/>
      <c r="B42" s="2000"/>
      <c r="C42" s="453" t="str">
        <f>OF!C79</f>
        <v>There are other wetlands (or a wetland), and ALL are connected to the AA by the type of corridor described.</v>
      </c>
      <c r="D42" s="47">
        <f>OF!D79</f>
        <v>0</v>
      </c>
      <c r="E42" s="49">
        <v>3</v>
      </c>
      <c r="F42" s="54">
        <f>D42*E42</f>
        <v>0</v>
      </c>
      <c r="G42" s="959"/>
      <c r="H42" s="1582"/>
    </row>
    <row r="43" spans="1:8" ht="27" customHeight="1" thickBot="1" x14ac:dyDescent="0.35">
      <c r="A43" s="2026"/>
      <c r="B43" s="2000"/>
      <c r="C43" s="453" t="str">
        <f>OF!C80</f>
        <v>There are other wetlands (or a wetland), and ONE or MORE (but not all) are connected to the AA by the type of corridor described.</v>
      </c>
      <c r="D43" s="242">
        <f>OF!D80</f>
        <v>0</v>
      </c>
      <c r="E43" s="67">
        <v>2</v>
      </c>
      <c r="F43" s="54">
        <f>D43*E43</f>
        <v>0</v>
      </c>
      <c r="G43" s="959"/>
      <c r="H43" s="1582"/>
    </row>
    <row r="44" spans="1:8" ht="60" customHeight="1" thickBot="1" x14ac:dyDescent="0.35">
      <c r="A44" s="2025" t="str">
        <f>OF!A81</f>
        <v>OF14</v>
      </c>
      <c r="B44" s="2002" t="str">
        <f>OF!B81</f>
        <v>Wetland Number &amp; Diversity Uniqueness (HUCbest)</v>
      </c>
      <c r="C44" s="1115" t="str">
        <f>OF!C81</f>
        <v>According to the ORWAP Report, this AA is located in one of the HUCs that are listed as having a large diversity, area, or number of wetlands relative to the area of the HUC.   Select All of the following that are true:</v>
      </c>
      <c r="D44" s="549"/>
      <c r="E44" s="210"/>
      <c r="F44" s="972"/>
      <c r="G44" s="948">
        <f>IF((D49=1),"", MAX(F45:F48)/MAX(E45:E48))</f>
        <v>0</v>
      </c>
      <c r="H44" s="1599" t="s">
        <v>696</v>
      </c>
    </row>
    <row r="45" spans="1:8" ht="16.2" customHeight="1" x14ac:dyDescent="0.3">
      <c r="A45" s="2026"/>
      <c r="B45" s="2000"/>
      <c r="C45" s="1116" t="str">
        <f>OF!C82</f>
        <v xml:space="preserve">Yes, for the HUC8 watershed               
</v>
      </c>
      <c r="D45" s="47">
        <f>OF!D82</f>
        <v>0</v>
      </c>
      <c r="E45" s="49">
        <v>3</v>
      </c>
      <c r="F45" s="45">
        <f>D45*E45</f>
        <v>0</v>
      </c>
      <c r="G45" s="957"/>
      <c r="H45" s="1582"/>
    </row>
    <row r="46" spans="1:8" ht="16.2" customHeight="1" x14ac:dyDescent="0.3">
      <c r="A46" s="2026"/>
      <c r="B46" s="2000"/>
      <c r="C46" s="1117" t="str">
        <f>OF!C83</f>
        <v xml:space="preserve">Yes, for the HUC10 watershed </v>
      </c>
      <c r="D46" s="47">
        <f>OF!D83</f>
        <v>0</v>
      </c>
      <c r="E46" s="49">
        <v>2</v>
      </c>
      <c r="F46" s="45">
        <f>D46*E46</f>
        <v>0</v>
      </c>
      <c r="G46" s="957"/>
      <c r="H46" s="1582"/>
    </row>
    <row r="47" spans="1:8" ht="16.2" customHeight="1" x14ac:dyDescent="0.3">
      <c r="A47" s="2026"/>
      <c r="B47" s="2000"/>
      <c r="C47" s="1117" t="str">
        <f>OF!C84</f>
        <v xml:space="preserve">Yes, for the HUC12 watershed </v>
      </c>
      <c r="D47" s="47">
        <f>OF!D84</f>
        <v>0</v>
      </c>
      <c r="E47" s="49">
        <v>1</v>
      </c>
      <c r="F47" s="45">
        <f>D47*E47</f>
        <v>0</v>
      </c>
      <c r="G47" s="957"/>
      <c r="H47" s="1582"/>
    </row>
    <row r="48" spans="1:8" ht="16.2" customHeight="1" x14ac:dyDescent="0.3">
      <c r="A48" s="2026"/>
      <c r="B48" s="2000"/>
      <c r="C48" s="1117" t="str">
        <f>OF!C85</f>
        <v>None of above.</v>
      </c>
      <c r="D48" s="47">
        <f>OF!D85</f>
        <v>0</v>
      </c>
      <c r="E48" s="49">
        <v>0</v>
      </c>
      <c r="F48" s="45">
        <f>D48*E48</f>
        <v>0</v>
      </c>
      <c r="G48" s="957"/>
      <c r="H48" s="1582"/>
    </row>
    <row r="49" spans="1:8" ht="16.2" customHeight="1" thickBot="1" x14ac:dyDescent="0.35">
      <c r="A49" s="2027"/>
      <c r="B49" s="2003"/>
      <c r="C49" s="1118" t="str">
        <f>OF!C86</f>
        <v>Data are inadequate (NWI mapping not completed in HUC).</v>
      </c>
      <c r="D49" s="80">
        <f>OF!D86</f>
        <v>0</v>
      </c>
      <c r="E49" s="245"/>
      <c r="F49" s="193"/>
      <c r="G49" s="958"/>
      <c r="H49" s="1600"/>
    </row>
    <row r="50" spans="1:8" ht="75" customHeight="1" thickBot="1" x14ac:dyDescent="0.35">
      <c r="A50" s="2026" t="str">
        <f>OF!A152</f>
        <v>OF28</v>
      </c>
      <c r="B50" s="2000" t="str">
        <f>OF!B152</f>
        <v>Input Water - Recognized Quality Issues (WQin)</v>
      </c>
      <c r="C50" s="1119"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50" s="210"/>
      <c r="E50" s="65"/>
      <c r="F50" s="46"/>
      <c r="G50" s="947">
        <f>IF((OF!D159=1),"",IF((D51=0),1,0))</f>
        <v>1</v>
      </c>
      <c r="H50" s="1582" t="s">
        <v>1598</v>
      </c>
    </row>
    <row r="51" spans="1:8" ht="16.2" customHeight="1" thickBot="1" x14ac:dyDescent="0.35">
      <c r="A51" s="2026"/>
      <c r="B51" s="2000"/>
      <c r="C51" s="1120" t="str">
        <f>OF!C156</f>
        <v>Petrochemicals, heavy metals (iron, manganese, lead, zinc, etc.), other toxins.</v>
      </c>
      <c r="D51" s="80">
        <f>OF!D156</f>
        <v>0</v>
      </c>
      <c r="E51" s="67"/>
      <c r="F51" s="54"/>
      <c r="G51" s="959"/>
      <c r="H51" s="1582"/>
    </row>
    <row r="52" spans="1:8" ht="21" customHeight="1" thickBot="1" x14ac:dyDescent="0.35">
      <c r="A52" s="2004" t="str">
        <f>OF!A159</f>
        <v>OF29</v>
      </c>
      <c r="B52" s="1688" t="str">
        <f>OF!B159</f>
        <v>Duration of Connection Beween Problem Area &amp; the AA (ConnecUp)</v>
      </c>
      <c r="C52" s="931" t="str">
        <f>OF!C159</f>
        <v>The upstream problem area mentioned above (OF28) has a surface water connection to the AA:</v>
      </c>
      <c r="D52" s="549"/>
      <c r="E52" s="1007"/>
      <c r="F52" s="1121"/>
      <c r="G52" s="948" t="str">
        <f>IF((D51=1),MAX(F53:F55)/MAX(E53:E55),"")</f>
        <v/>
      </c>
      <c r="H52" s="1599" t="s">
        <v>1593</v>
      </c>
    </row>
    <row r="53" spans="1:8" ht="16.2" customHeight="1" x14ac:dyDescent="0.3">
      <c r="A53" s="2005"/>
      <c r="B53" s="1689"/>
      <c r="C53" s="1120" t="str">
        <f>OF!C160</f>
        <v>For 9 or more continuous months annually.</v>
      </c>
      <c r="D53" s="47">
        <f>OF!D160</f>
        <v>0</v>
      </c>
      <c r="E53" s="952">
        <v>0</v>
      </c>
      <c r="F53" s="1122">
        <f>D53*E53</f>
        <v>0</v>
      </c>
      <c r="G53" s="792"/>
      <c r="H53" s="1582"/>
    </row>
    <row r="54" spans="1:8" ht="16.2" customHeight="1" x14ac:dyDescent="0.3">
      <c r="A54" s="2005"/>
      <c r="B54" s="1689"/>
      <c r="C54" s="1039" t="str">
        <f>OF!C161</f>
        <v>Intermittently (at least once annually, but for less than 9 months continually).</v>
      </c>
      <c r="D54" s="47">
        <f>OF!D161</f>
        <v>0</v>
      </c>
      <c r="E54" s="952">
        <v>1</v>
      </c>
      <c r="F54" s="1122">
        <f>D54*E54</f>
        <v>0</v>
      </c>
      <c r="G54" s="792"/>
      <c r="H54" s="1582"/>
    </row>
    <row r="55" spans="1:8" ht="16.2" customHeight="1" thickBot="1" x14ac:dyDescent="0.35">
      <c r="A55" s="2006"/>
      <c r="B55" s="1690"/>
      <c r="C55" s="932" t="str">
        <f>OF!C162</f>
        <v>Never (or less than annually).</v>
      </c>
      <c r="D55" s="80">
        <f>OF!D162</f>
        <v>0</v>
      </c>
      <c r="E55" s="1008">
        <v>3</v>
      </c>
      <c r="F55" s="1124">
        <f>D55*E55</f>
        <v>0</v>
      </c>
      <c r="G55" s="909"/>
      <c r="H55" s="1600"/>
    </row>
    <row r="56" spans="1:8" ht="30" customHeight="1" thickBot="1" x14ac:dyDescent="0.35">
      <c r="A56" s="1990" t="str">
        <f>OF!A225</f>
        <v>OF43</v>
      </c>
      <c r="B56" s="1582" t="str">
        <f>OF!B225</f>
        <v>Growing Degree Days (GDD)</v>
      </c>
      <c r="C56" s="438" t="str">
        <f>OF!C225</f>
        <v xml:space="preserve">According to ORWAP Map Viewer's Growing Degree Days layer,  the long term normal Growing Degree Days category at the approximate location of the AA is: </v>
      </c>
      <c r="D56" s="549"/>
      <c r="E56" s="1009"/>
      <c r="F56" s="963"/>
      <c r="G56" s="947">
        <f>MAX(F57:F63)/MAX(E57:E63)</f>
        <v>0</v>
      </c>
      <c r="H56" s="1896" t="s">
        <v>682</v>
      </c>
    </row>
    <row r="57" spans="1:8" ht="16.2" customHeight="1" x14ac:dyDescent="0.3">
      <c r="A57" s="1990"/>
      <c r="B57" s="1582"/>
      <c r="C57" s="449" t="str">
        <f>OF!C226</f>
        <v>&lt;256.</v>
      </c>
      <c r="D57" s="47">
        <f>OF!D226</f>
        <v>0</v>
      </c>
      <c r="E57" s="952">
        <v>1</v>
      </c>
      <c r="F57" s="45">
        <f t="shared" ref="F57:F70" si="2">D57*E57</f>
        <v>0</v>
      </c>
      <c r="G57" s="1029"/>
      <c r="H57" s="1623"/>
    </row>
    <row r="58" spans="1:8" ht="16.2" customHeight="1" x14ac:dyDescent="0.3">
      <c r="A58" s="1990"/>
      <c r="B58" s="1582"/>
      <c r="C58" s="449" t="str">
        <f>OF!C227</f>
        <v>256 - 1020.</v>
      </c>
      <c r="D58" s="47">
        <f>OF!D227</f>
        <v>0</v>
      </c>
      <c r="E58" s="952">
        <v>2</v>
      </c>
      <c r="F58" s="45">
        <f t="shared" si="2"/>
        <v>0</v>
      </c>
      <c r="G58" s="1029"/>
      <c r="H58" s="1623"/>
    </row>
    <row r="59" spans="1:8" ht="16.2" customHeight="1" x14ac:dyDescent="0.3">
      <c r="A59" s="1990"/>
      <c r="B59" s="1582"/>
      <c r="C59" s="449" t="str">
        <f>OF!C228</f>
        <v>1021-1785.</v>
      </c>
      <c r="D59" s="47">
        <f>OF!D228</f>
        <v>0</v>
      </c>
      <c r="E59" s="952">
        <v>3</v>
      </c>
      <c r="F59" s="45">
        <f t="shared" si="2"/>
        <v>0</v>
      </c>
      <c r="G59" s="1029"/>
      <c r="H59" s="1623"/>
    </row>
    <row r="60" spans="1:8" ht="16.2" customHeight="1" x14ac:dyDescent="0.3">
      <c r="A60" s="1990"/>
      <c r="B60" s="1582"/>
      <c r="C60" s="449" t="str">
        <f>OF!C229</f>
        <v>1786 - 2550.</v>
      </c>
      <c r="D60" s="47">
        <f>OF!D229</f>
        <v>0</v>
      </c>
      <c r="E60" s="952">
        <v>4</v>
      </c>
      <c r="F60" s="45">
        <f t="shared" si="2"/>
        <v>0</v>
      </c>
      <c r="G60" s="1029"/>
      <c r="H60" s="1623"/>
    </row>
    <row r="61" spans="1:8" ht="16.2" customHeight="1" x14ac:dyDescent="0.3">
      <c r="A61" s="1990"/>
      <c r="B61" s="1582"/>
      <c r="C61" s="449" t="str">
        <f>OF!C230</f>
        <v>2551 - 3315.</v>
      </c>
      <c r="D61" s="47">
        <f>OF!D230</f>
        <v>0</v>
      </c>
      <c r="E61" s="952">
        <v>5</v>
      </c>
      <c r="F61" s="45">
        <f t="shared" si="2"/>
        <v>0</v>
      </c>
      <c r="G61" s="1029"/>
      <c r="H61" s="1623"/>
    </row>
    <row r="62" spans="1:8" ht="16.2" customHeight="1" x14ac:dyDescent="0.3">
      <c r="A62" s="1990"/>
      <c r="B62" s="1582"/>
      <c r="C62" s="449" t="str">
        <f>OF!C231</f>
        <v>3316 - 4079.</v>
      </c>
      <c r="D62" s="47">
        <f>OF!D231</f>
        <v>0</v>
      </c>
      <c r="E62" s="952">
        <v>6</v>
      </c>
      <c r="F62" s="45">
        <f t="shared" si="2"/>
        <v>0</v>
      </c>
      <c r="G62" s="1029"/>
      <c r="H62" s="1623"/>
    </row>
    <row r="63" spans="1:8" ht="16.2" customHeight="1" thickBot="1" x14ac:dyDescent="0.35">
      <c r="A63" s="1990"/>
      <c r="B63" s="1582"/>
      <c r="C63" s="11" t="str">
        <f>OF!C232</f>
        <v>&gt; 4079.</v>
      </c>
      <c r="D63" s="242">
        <f>OF!D232</f>
        <v>0</v>
      </c>
      <c r="E63" s="1010">
        <v>7</v>
      </c>
      <c r="F63" s="54">
        <f t="shared" si="2"/>
        <v>0</v>
      </c>
      <c r="G63" s="1114"/>
      <c r="H63" s="1897"/>
    </row>
    <row r="64" spans="1:8" ht="45" customHeight="1" thickBot="1" x14ac:dyDescent="0.35">
      <c r="A64" s="1125" t="str">
        <f>F!A5</f>
        <v>F2</v>
      </c>
      <c r="B64" s="1126" t="str">
        <f>F!B5</f>
        <v>Ponded Condition (Lentic)</v>
      </c>
      <c r="C64" s="1127" t="str">
        <f>F!C5</f>
        <v xml:space="preserve">At least once every 2 years, some part of the AA contains a cumulative total of &gt;900 sq.ft. of surface water that is ponded. The water persists for &gt;6 days and may be hidden beneath emergent vegetation or scattered in small pools. Enter 1, if true.  </v>
      </c>
      <c r="D64" s="1018">
        <f>F!D5</f>
        <v>0</v>
      </c>
      <c r="E64" s="1128"/>
      <c r="F64" s="972"/>
      <c r="G64" s="1129">
        <f>D64</f>
        <v>0</v>
      </c>
      <c r="H64" s="713" t="s">
        <v>2004</v>
      </c>
    </row>
    <row r="65" spans="1:9" ht="55.5" customHeight="1" thickBot="1" x14ac:dyDescent="0.35">
      <c r="A65" s="2018" t="str">
        <f>F!A7</f>
        <v>F3</v>
      </c>
      <c r="B65" s="2015" t="str">
        <f>F!B7</f>
        <v>Water Regime (Hydropd)</v>
      </c>
      <c r="C65" s="1110" t="str">
        <f>F!C7</f>
        <v>The water regime (hydroperiod) of the most permanent (usually deepest) part of the AA is:  Select only ONE. 
[To meet any of the definitions other than Ephemeral, there must be &gt;100 sq ft of surface water for the duration described, otherwise mark the type listed above it.]</v>
      </c>
      <c r="D65" s="549"/>
      <c r="E65" s="1007"/>
      <c r="F65" s="192"/>
      <c r="G65" s="815">
        <f>MAX(F66:F70)/MAX(E66:E70)</f>
        <v>0</v>
      </c>
      <c r="H65" s="1522" t="s">
        <v>1742</v>
      </c>
    </row>
    <row r="66" spans="1:9" ht="44.4" customHeight="1" x14ac:dyDescent="0.3">
      <c r="A66" s="2019"/>
      <c r="B66" s="1947"/>
      <c r="C66" s="893" t="str">
        <f>F!C8</f>
        <v>Ephemeral.  Surface water in the wettest part of the AA is present for fewer than 7 consecutive days during an average growing season.  Includes some of the areas mapped as Saturated Nontidal in the ORWAP Map Viewer (which is not comprehensive).  Enter 1 and SKIP to F25.</v>
      </c>
      <c r="D66" s="47">
        <f>F!D8</f>
        <v>0</v>
      </c>
      <c r="E66" s="952">
        <v>0</v>
      </c>
      <c r="F66" s="45">
        <f t="shared" si="2"/>
        <v>0</v>
      </c>
      <c r="G66" s="59"/>
      <c r="H66" s="1521"/>
    </row>
    <row r="67" spans="1:9" ht="57" customHeight="1" x14ac:dyDescent="0.3">
      <c r="A67" s="2019"/>
      <c r="B67" s="1947"/>
      <c r="C67" s="894" t="str">
        <f>F!C9</f>
        <v xml:space="preserve">Temporary.  Surface water present for 1-4 weeks consecutively during an average growing season, OR if persists for longer, it is almost entirely in scattered pools, each smaller than 1 sq.m.  Dries up completely during part of most average years.  Includes some of the areas mapped as Saturated Nontidal in the ORWAP Map Viewer (which is not comprehensive). Enter 1 and SKIP to F25. </v>
      </c>
      <c r="D67" s="47">
        <f>F!D9</f>
        <v>0</v>
      </c>
      <c r="E67" s="952">
        <v>1</v>
      </c>
      <c r="F67" s="45">
        <f t="shared" si="2"/>
        <v>0</v>
      </c>
      <c r="G67" s="59"/>
      <c r="H67" s="1521"/>
    </row>
    <row r="68" spans="1:9" ht="54" customHeight="1" x14ac:dyDescent="0.3">
      <c r="A68" s="2019"/>
      <c r="B68" s="1947"/>
      <c r="C68" s="894" t="str">
        <f>F!C10</f>
        <v>Seasonal.  Surface water present for 5-17 weeks (1-4 months) consecutively during an average growing season, but dries up completely during part of most average years.  Includes some of the areas mapped as Seasonal Nontidal in the ORWAP Map Viewer (which is not comprehensive). Enter 1 and SKIP to F5.</v>
      </c>
      <c r="D68" s="47">
        <f>F!D10</f>
        <v>0</v>
      </c>
      <c r="E68" s="952">
        <v>3</v>
      </c>
      <c r="F68" s="45">
        <f t="shared" si="2"/>
        <v>0</v>
      </c>
      <c r="G68" s="59"/>
      <c r="H68" s="1521"/>
    </row>
    <row r="69" spans="1:9" ht="57" customHeight="1" x14ac:dyDescent="0.3">
      <c r="A69" s="2019"/>
      <c r="B69" s="1947"/>
      <c r="C69" s="894" t="str">
        <f>F!C11</f>
        <v>Semi-Persistent.  Surface water present for more than 17 weeks (4 months) consecutively during an average growing season, but dries up completely during part of most average years.  Includes some of the areas mapped as Seasonal Nontidal in the ORWAP Map Viewer (which is not comprehensive). Enter 1 and SKIP to F5.</v>
      </c>
      <c r="D69" s="47">
        <f>F!D11</f>
        <v>0</v>
      </c>
      <c r="E69" s="952">
        <v>4</v>
      </c>
      <c r="F69" s="45">
        <f t="shared" si="2"/>
        <v>0</v>
      </c>
      <c r="G69" s="59"/>
      <c r="H69" s="1521"/>
    </row>
    <row r="70" spans="1:9" ht="42" customHeight="1" thickBot="1" x14ac:dyDescent="0.35">
      <c r="A70" s="2020"/>
      <c r="B70" s="2016"/>
      <c r="C70" s="932" t="str">
        <f>F!C12</f>
        <v>Permanent.  Does not dry up completely during most average years. Includes some of the areas mapped as Persistent Nontidal in the ORWAP Map Viewer (which is not comprehensive).  Enter 1 and continue.</v>
      </c>
      <c r="D70" s="242">
        <f>F!D12</f>
        <v>0</v>
      </c>
      <c r="E70" s="1008">
        <v>5</v>
      </c>
      <c r="F70" s="193">
        <f t="shared" si="2"/>
        <v>0</v>
      </c>
      <c r="G70" s="243"/>
      <c r="H70" s="1523"/>
    </row>
    <row r="71" spans="1:9" s="1" customFormat="1" ht="45" customHeight="1" thickBot="1" x14ac:dyDescent="0.35">
      <c r="A71" s="2001" t="str">
        <f>F!A13</f>
        <v>F4</v>
      </c>
      <c r="B71" s="2000" t="str">
        <f>F!B13</f>
        <v>Flooded Persistently - % of AA (PermW)</v>
      </c>
      <c r="C71" s="1130" t="str">
        <f>F!C13</f>
        <v xml:space="preserve">Identify the parts of the AA that still contain surface water even during the driest times of a normal year . At that time, the percentage of the AA that still contains surface water is: </v>
      </c>
      <c r="D71" s="549"/>
      <c r="E71" s="65"/>
      <c r="F71" s="60"/>
      <c r="G71" s="954" t="str">
        <f>IF((PermType=0),"", MAX(F72:F75)/MAX(E72:E75))</f>
        <v/>
      </c>
      <c r="H71" s="1582" t="s">
        <v>1630</v>
      </c>
      <c r="I71" s="2"/>
    </row>
    <row r="72" spans="1:9" ht="16.2" customHeight="1" x14ac:dyDescent="0.3">
      <c r="A72" s="2001"/>
      <c r="B72" s="2000"/>
      <c r="C72" s="6" t="str">
        <f>F!C14</f>
        <v>1 to &lt;25% of the AA.</v>
      </c>
      <c r="D72" s="47">
        <f>F!D14</f>
        <v>0</v>
      </c>
      <c r="E72" s="49">
        <v>1</v>
      </c>
      <c r="F72" s="45">
        <f>D72*E72</f>
        <v>0</v>
      </c>
      <c r="G72" s="956"/>
      <c r="H72" s="1582"/>
    </row>
    <row r="73" spans="1:9" ht="16.2" customHeight="1" x14ac:dyDescent="0.3">
      <c r="A73" s="2001"/>
      <c r="B73" s="2000"/>
      <c r="C73" s="1131" t="str">
        <f>F!C15</f>
        <v>25 to &lt;50% of the AA.</v>
      </c>
      <c r="D73" s="47">
        <f>F!D15</f>
        <v>0</v>
      </c>
      <c r="E73" s="49">
        <v>2</v>
      </c>
      <c r="F73" s="45">
        <f>D73*E73</f>
        <v>0</v>
      </c>
      <c r="G73" s="957"/>
      <c r="H73" s="1582"/>
    </row>
    <row r="74" spans="1:9" ht="16.2" customHeight="1" x14ac:dyDescent="0.3">
      <c r="A74" s="2001"/>
      <c r="B74" s="2000"/>
      <c r="C74" s="1131" t="str">
        <f>F!C16</f>
        <v>50 to 95% of the AA.</v>
      </c>
      <c r="D74" s="47">
        <f>F!D16</f>
        <v>0</v>
      </c>
      <c r="E74" s="49">
        <v>3</v>
      </c>
      <c r="F74" s="45">
        <f>D74*E74</f>
        <v>0</v>
      </c>
      <c r="G74" s="957"/>
      <c r="H74" s="1582"/>
    </row>
    <row r="75" spans="1:9" ht="16.2" customHeight="1" thickBot="1" x14ac:dyDescent="0.35">
      <c r="A75" s="2001"/>
      <c r="B75" s="2000"/>
      <c r="C75" s="1131" t="str">
        <f>F!C17</f>
        <v>&gt;95% of the AA.</v>
      </c>
      <c r="D75" s="80">
        <f>F!D17</f>
        <v>0</v>
      </c>
      <c r="E75" s="67">
        <v>4</v>
      </c>
      <c r="F75" s="54">
        <f>D75*E75</f>
        <v>0</v>
      </c>
      <c r="G75" s="959"/>
      <c r="H75" s="1582"/>
    </row>
    <row r="76" spans="1:9" ht="30" customHeight="1" thickBot="1" x14ac:dyDescent="0.35">
      <c r="A76" s="2011" t="str">
        <f>F!A18</f>
        <v>F5</v>
      </c>
      <c r="B76" s="2002" t="str">
        <f>F!B18</f>
        <v>Depth Class (Predominant)  (DepthDom)</v>
      </c>
      <c r="C76" s="1110" t="str">
        <f>F!C18</f>
        <v>When water is present in the AA, the depth most of the time in most of inundated area is: 
[Note: NOT necessarily the maximum spatial or annual depth]</v>
      </c>
      <c r="D76" s="549"/>
      <c r="E76" s="210"/>
      <c r="F76" s="955"/>
      <c r="G76" s="815">
        <f>IF((NeverWater+TempWet&gt;0),"",MAX(F77:F81)/MAX(E77:E81))</f>
        <v>0</v>
      </c>
      <c r="H76" s="1599" t="s">
        <v>1631</v>
      </c>
    </row>
    <row r="77" spans="1:9" ht="16.2" customHeight="1" x14ac:dyDescent="0.3">
      <c r="A77" s="1865"/>
      <c r="B77" s="1582"/>
      <c r="C77" s="1132" t="str">
        <f>F!C19</f>
        <v>&gt;0 to &lt;0.5 ft.</v>
      </c>
      <c r="D77" s="47">
        <f>F!D19</f>
        <v>0</v>
      </c>
      <c r="E77" s="49">
        <v>3</v>
      </c>
      <c r="F77" s="45">
        <f>D77*E77</f>
        <v>0</v>
      </c>
      <c r="G77" s="956"/>
      <c r="H77" s="1582"/>
    </row>
    <row r="78" spans="1:9" ht="16.2" customHeight="1" x14ac:dyDescent="0.3">
      <c r="A78" s="1865"/>
      <c r="B78" s="1582"/>
      <c r="C78" s="1133" t="str">
        <f>F!C20</f>
        <v>0.5 to &lt; 1 ft deep.</v>
      </c>
      <c r="D78" s="47">
        <f>F!D20</f>
        <v>0</v>
      </c>
      <c r="E78" s="49">
        <v>4</v>
      </c>
      <c r="F78" s="45">
        <f>D78*E78</f>
        <v>0</v>
      </c>
      <c r="G78" s="957"/>
      <c r="H78" s="1582"/>
    </row>
    <row r="79" spans="1:9" ht="16.2" customHeight="1" x14ac:dyDescent="0.3">
      <c r="A79" s="1865"/>
      <c r="B79" s="1582"/>
      <c r="C79" s="1133" t="str">
        <f>F!C21</f>
        <v>1 to &lt;3 ft deep.</v>
      </c>
      <c r="D79" s="47">
        <f>F!D21</f>
        <v>0</v>
      </c>
      <c r="E79" s="49">
        <v>7</v>
      </c>
      <c r="F79" s="45">
        <f>D79*E79</f>
        <v>0</v>
      </c>
      <c r="G79" s="957"/>
      <c r="H79" s="1582"/>
    </row>
    <row r="80" spans="1:9" ht="16.2" customHeight="1" x14ac:dyDescent="0.3">
      <c r="A80" s="1865"/>
      <c r="B80" s="1582"/>
      <c r="C80" s="1133" t="str">
        <f>F!C22</f>
        <v>3 to 6 ft deep.</v>
      </c>
      <c r="D80" s="47">
        <f>F!D22</f>
        <v>0</v>
      </c>
      <c r="E80" s="49">
        <v>5</v>
      </c>
      <c r="F80" s="45">
        <f>D80*E80</f>
        <v>0</v>
      </c>
      <c r="G80" s="957"/>
      <c r="H80" s="1582"/>
    </row>
    <row r="81" spans="1:8" ht="16.2" customHeight="1" thickBot="1" x14ac:dyDescent="0.35">
      <c r="A81" s="1866"/>
      <c r="B81" s="1600"/>
      <c r="C81" s="1134" t="str">
        <f>F!C23</f>
        <v>&gt;6 ft deep.</v>
      </c>
      <c r="D81" s="80">
        <f>F!D23</f>
        <v>0</v>
      </c>
      <c r="E81" s="245">
        <v>1</v>
      </c>
      <c r="F81" s="193">
        <f>D81*E81</f>
        <v>0</v>
      </c>
      <c r="G81" s="958"/>
      <c r="H81" s="1600"/>
    </row>
    <row r="82" spans="1:8" ht="30.75" customHeight="1" thickBot="1" x14ac:dyDescent="0.35">
      <c r="A82" s="2001" t="str">
        <f>F!A24</f>
        <v>F6</v>
      </c>
      <c r="B82" s="2000" t="str">
        <f>F!B24</f>
        <v>Depth Class Distribution (DepthEven)</v>
      </c>
      <c r="C82" s="1130" t="str">
        <f>F!C24</f>
        <v>Within the area described above, and during most of the time when surface water is present, the water area has: Select only one.</v>
      </c>
      <c r="D82" s="549"/>
      <c r="E82" s="65"/>
      <c r="F82" s="60"/>
      <c r="G82" s="954">
        <f>IF((NeverWater+TempWet&gt;0),"",MAX(F83:F85)/MAX(E83:E85))</f>
        <v>0</v>
      </c>
      <c r="H82" s="1582" t="s">
        <v>1632</v>
      </c>
    </row>
    <row r="83" spans="1:8" ht="27" customHeight="1" x14ac:dyDescent="0.3">
      <c r="A83" s="1865"/>
      <c r="B83" s="1582"/>
      <c r="C83" s="1132" t="str">
        <f>F!C25</f>
        <v>One depth class covering &gt;90% of the AA’s inundated area (use the classes in the question above).</v>
      </c>
      <c r="D83" s="47">
        <f>F!D25</f>
        <v>0</v>
      </c>
      <c r="E83" s="65">
        <v>1</v>
      </c>
      <c r="F83" s="46">
        <f>D83*E83</f>
        <v>0</v>
      </c>
      <c r="G83" s="956"/>
      <c r="H83" s="1582"/>
    </row>
    <row r="84" spans="1:8" ht="25.5" customHeight="1" x14ac:dyDescent="0.3">
      <c r="A84" s="1865"/>
      <c r="B84" s="1582"/>
      <c r="C84" s="1133" t="str">
        <f>F!C26</f>
        <v>One depth class covering 51-90% of the AA’s inundated area (use the classes in the question above).</v>
      </c>
      <c r="D84" s="47">
        <f>F!D26</f>
        <v>0</v>
      </c>
      <c r="E84" s="49">
        <v>2</v>
      </c>
      <c r="F84" s="45">
        <f>D84*E84</f>
        <v>0</v>
      </c>
      <c r="G84" s="957"/>
      <c r="H84" s="1582"/>
    </row>
    <row r="85" spans="1:8" ht="16.2" customHeight="1" thickBot="1" x14ac:dyDescent="0.35">
      <c r="A85" s="1865"/>
      <c r="B85" s="1582"/>
      <c r="C85" s="1131" t="str">
        <f>F!C27</f>
        <v>Neither of above.  There are 3 or more depth classes and none occupy &gt;50%.</v>
      </c>
      <c r="D85" s="80">
        <f>F!D27</f>
        <v>0</v>
      </c>
      <c r="E85" s="67">
        <v>3</v>
      </c>
      <c r="F85" s="54">
        <f>D85*E85</f>
        <v>0</v>
      </c>
      <c r="G85" s="959"/>
      <c r="H85" s="1582"/>
    </row>
    <row r="86" spans="1:8" ht="45" customHeight="1" thickBot="1" x14ac:dyDescent="0.35">
      <c r="A86" s="2011" t="str">
        <f>F!A28</f>
        <v>F7</v>
      </c>
      <c r="B86" s="2002" t="str">
        <f>F!B28</f>
        <v>Emergent Plants -- Area (EmArea)</v>
      </c>
      <c r="C86" s="1110" t="str">
        <f>F!C28</f>
        <v>Consider just the area that has surface water for &gt;1 week during the growing season.  Herbaceous plants (not moss, not woody) whose foliage extends above a water surface in this area (i.e., emergents) cumulatively occupy an annual maximum of:</v>
      </c>
      <c r="D86" s="549"/>
      <c r="E86" s="210"/>
      <c r="F86" s="192"/>
      <c r="G86" s="815">
        <f>IF((NeverWater+TempWet&gt;0),"",MAX(F87:F92)/MAX(E87:E92))</f>
        <v>0</v>
      </c>
      <c r="H86" s="1599" t="s">
        <v>1633</v>
      </c>
    </row>
    <row r="87" spans="1:8" ht="26.25" customHeight="1" x14ac:dyDescent="0.3">
      <c r="A87" s="2001"/>
      <c r="B87" s="2000"/>
      <c r="C87" s="1132" t="str">
        <f>F!C29</f>
        <v>&lt;0.01 acre (&lt; 400 sq.ft).  Enter 1 and SKIP TO F10, unless only part of a wetland is being assessed.</v>
      </c>
      <c r="D87" s="47">
        <f>F!D29</f>
        <v>0</v>
      </c>
      <c r="E87" s="49">
        <v>0</v>
      </c>
      <c r="F87" s="45">
        <f t="shared" ref="F87:F92" si="3">D87*E87</f>
        <v>0</v>
      </c>
      <c r="G87" s="957"/>
      <c r="H87" s="1582"/>
    </row>
    <row r="88" spans="1:8" ht="16.2" customHeight="1" x14ac:dyDescent="0.3">
      <c r="A88" s="2001"/>
      <c r="B88" s="2000"/>
      <c r="C88" s="1133" t="str">
        <f>F!C30</f>
        <v>0.01 to&lt; 0.10 acres (3,920 sq. ft).</v>
      </c>
      <c r="D88" s="47">
        <f>F!D30</f>
        <v>0</v>
      </c>
      <c r="E88" s="49">
        <v>1</v>
      </c>
      <c r="F88" s="45">
        <f t="shared" si="3"/>
        <v>0</v>
      </c>
      <c r="G88" s="957"/>
      <c r="H88" s="1582"/>
    </row>
    <row r="89" spans="1:8" ht="16.2" customHeight="1" x14ac:dyDescent="0.3">
      <c r="A89" s="2001"/>
      <c r="B89" s="2000"/>
      <c r="C89" s="1133" t="str">
        <f>F!C31</f>
        <v>0.10 to &lt;0.50 acres (21,340 sq. ft).</v>
      </c>
      <c r="D89" s="47">
        <f>F!D31</f>
        <v>0</v>
      </c>
      <c r="E89" s="49">
        <v>2</v>
      </c>
      <c r="F89" s="45">
        <f t="shared" si="3"/>
        <v>0</v>
      </c>
      <c r="G89" s="957"/>
      <c r="H89" s="1582"/>
    </row>
    <row r="90" spans="1:8" ht="16.2" customHeight="1" x14ac:dyDescent="0.3">
      <c r="A90" s="2001"/>
      <c r="B90" s="2000"/>
      <c r="C90" s="1133" t="str">
        <f>F!C32</f>
        <v>0.50 to &lt;5 acres.</v>
      </c>
      <c r="D90" s="47">
        <f>F!D32</f>
        <v>0</v>
      </c>
      <c r="E90" s="49">
        <v>3</v>
      </c>
      <c r="F90" s="45">
        <f t="shared" si="3"/>
        <v>0</v>
      </c>
      <c r="G90" s="957"/>
      <c r="H90" s="1582"/>
    </row>
    <row r="91" spans="1:8" ht="16.2" customHeight="1" x14ac:dyDescent="0.3">
      <c r="A91" s="2001"/>
      <c r="B91" s="2000"/>
      <c r="C91" s="1133" t="str">
        <f>F!C33</f>
        <v>5 to 50 acres.</v>
      </c>
      <c r="D91" s="47">
        <f>F!D33</f>
        <v>0</v>
      </c>
      <c r="E91" s="49">
        <v>5</v>
      </c>
      <c r="F91" s="45">
        <f t="shared" si="3"/>
        <v>0</v>
      </c>
      <c r="G91" s="957"/>
      <c r="H91" s="1582"/>
    </row>
    <row r="92" spans="1:8" ht="16.2" customHeight="1" thickBot="1" x14ac:dyDescent="0.35">
      <c r="A92" s="2012"/>
      <c r="B92" s="2003"/>
      <c r="C92" s="1134" t="str">
        <f>F!C34</f>
        <v>&gt;50 acres.</v>
      </c>
      <c r="D92" s="80">
        <f>F!D34</f>
        <v>0</v>
      </c>
      <c r="E92" s="245">
        <v>7</v>
      </c>
      <c r="F92" s="193">
        <f t="shared" si="3"/>
        <v>0</v>
      </c>
      <c r="G92" s="958"/>
      <c r="H92" s="1600"/>
    </row>
    <row r="93" spans="1:8" ht="21" customHeight="1" thickBot="1" x14ac:dyDescent="0.35">
      <c r="A93" s="2001" t="str">
        <f>F!A35</f>
        <v>F8</v>
      </c>
      <c r="B93" s="2000" t="str">
        <f>F!B35</f>
        <v>% Emergent Plants (EmPct)</v>
      </c>
      <c r="C93" s="1130" t="str">
        <f>F!C35</f>
        <v>Emergent plants occupy an annual maximum of:</v>
      </c>
      <c r="D93" s="549"/>
      <c r="E93" s="65"/>
      <c r="F93" s="46"/>
      <c r="G93" s="954">
        <f>IF((NeverWater+TempWet&gt;0),"",IF((NoEm=1),"",MAX(F94:F98)/MAX(E94:E98)))</f>
        <v>0</v>
      </c>
      <c r="H93" s="1582" t="s">
        <v>1682</v>
      </c>
    </row>
    <row r="94" spans="1:8" ht="16.2" customHeight="1" x14ac:dyDescent="0.3">
      <c r="A94" s="2001"/>
      <c r="B94" s="2000"/>
      <c r="C94" s="1132" t="str">
        <f>F!C36</f>
        <v>&lt;5% of the parts of the AA that are inundated for &gt;7 days at some time of the year.</v>
      </c>
      <c r="D94" s="47">
        <f>F!D36</f>
        <v>0</v>
      </c>
      <c r="E94" s="49">
        <v>1</v>
      </c>
      <c r="F94" s="45">
        <f>D94*E94</f>
        <v>0</v>
      </c>
      <c r="G94" s="957"/>
      <c r="H94" s="1582"/>
    </row>
    <row r="95" spans="1:8" ht="16.2" customHeight="1" x14ac:dyDescent="0.3">
      <c r="A95" s="2001"/>
      <c r="B95" s="2000"/>
      <c r="C95" s="1133" t="str">
        <f>F!C37</f>
        <v>5 to &lt;30% of the parts of the AA that are inundated for &gt;7 days at some time of the year.</v>
      </c>
      <c r="D95" s="47">
        <f>F!D37</f>
        <v>0</v>
      </c>
      <c r="E95" s="49">
        <v>3</v>
      </c>
      <c r="F95" s="45">
        <f>D95*E95</f>
        <v>0</v>
      </c>
      <c r="G95" s="957"/>
      <c r="H95" s="1582"/>
    </row>
    <row r="96" spans="1:8" ht="16.2" customHeight="1" x14ac:dyDescent="0.3">
      <c r="A96" s="2001"/>
      <c r="B96" s="2000"/>
      <c r="C96" s="1133" t="str">
        <f>F!C38</f>
        <v>30 to &lt;60% of the parts of the AA that are inundated for &gt;7 days at some time of the year.</v>
      </c>
      <c r="D96" s="47">
        <f>F!D38</f>
        <v>0</v>
      </c>
      <c r="E96" s="49">
        <v>6</v>
      </c>
      <c r="F96" s="45">
        <f>D96*E96</f>
        <v>0</v>
      </c>
      <c r="G96" s="957"/>
      <c r="H96" s="1582"/>
    </row>
    <row r="97" spans="1:8" ht="16.2" customHeight="1" x14ac:dyDescent="0.3">
      <c r="A97" s="2001"/>
      <c r="B97" s="2000"/>
      <c r="C97" s="1133" t="str">
        <f>F!C39</f>
        <v>60 to 95% of the parts of the AA that are inundated for &gt;7 days at some time of the year.</v>
      </c>
      <c r="D97" s="47">
        <f>F!D39</f>
        <v>0</v>
      </c>
      <c r="E97" s="49">
        <v>4</v>
      </c>
      <c r="F97" s="45">
        <f>D97*E97</f>
        <v>0</v>
      </c>
      <c r="G97" s="957"/>
      <c r="H97" s="1582"/>
    </row>
    <row r="98" spans="1:8" ht="16.2" customHeight="1" thickBot="1" x14ac:dyDescent="0.35">
      <c r="A98" s="2001"/>
      <c r="B98" s="2000"/>
      <c r="C98" s="1131" t="str">
        <f>F!C40</f>
        <v>&gt;95% of the parts of the AA that are inundated for &gt;7 days at some time of the year.</v>
      </c>
      <c r="D98" s="242">
        <f>F!D40</f>
        <v>0</v>
      </c>
      <c r="E98" s="67">
        <v>2</v>
      </c>
      <c r="F98" s="54">
        <f>D98*E98</f>
        <v>0</v>
      </c>
      <c r="G98" s="959"/>
      <c r="H98" s="1582"/>
    </row>
    <row r="99" spans="1:8" ht="30" customHeight="1" thickBot="1" x14ac:dyDescent="0.35">
      <c r="A99" s="1125" t="str">
        <f>F!A41</f>
        <v>F9</v>
      </c>
      <c r="B99" s="2015" t="str">
        <f>F!B41</f>
        <v>Cattail or Tall Bulrush Cover (Cttail)</v>
      </c>
      <c r="C99" s="1110" t="str">
        <f>F!C41</f>
        <v>The percentage of the emergent vegetation cover in the AA that is cattail (Typha spp.) or tall bulrush is:</v>
      </c>
      <c r="D99" s="549"/>
      <c r="E99" s="210"/>
      <c r="F99" s="241"/>
      <c r="G99" s="815">
        <f>IF((NeverWater+TempWet&gt;0),"",IF((NoEm=1),"",MAX(F100:F103)/MAX(E100:E103)))</f>
        <v>0</v>
      </c>
      <c r="H99" s="1522" t="s">
        <v>1683</v>
      </c>
    </row>
    <row r="100" spans="1:8" ht="16.2" customHeight="1" x14ac:dyDescent="0.3">
      <c r="A100" s="1135"/>
      <c r="B100" s="1947"/>
      <c r="C100" s="1132" t="str">
        <f>F!C42</f>
        <v>&lt;1% of the emergent vegetation, or cattail and bulrush are absent.</v>
      </c>
      <c r="D100" s="47">
        <f>F!D42</f>
        <v>0</v>
      </c>
      <c r="E100" s="65">
        <v>1</v>
      </c>
      <c r="F100" s="45">
        <f>D100*E100</f>
        <v>0</v>
      </c>
      <c r="G100" s="957"/>
      <c r="H100" s="1521"/>
    </row>
    <row r="101" spans="1:8" ht="16.2" customHeight="1" x14ac:dyDescent="0.3">
      <c r="A101" s="1135"/>
      <c r="B101" s="1947"/>
      <c r="C101" s="1133" t="str">
        <f>F!C43</f>
        <v>1 to &lt;25% of the emergent vegetation.</v>
      </c>
      <c r="D101" s="47">
        <f>F!D43</f>
        <v>0</v>
      </c>
      <c r="E101" s="65">
        <v>3</v>
      </c>
      <c r="F101" s="45">
        <f>D101*E101</f>
        <v>0</v>
      </c>
      <c r="G101" s="957"/>
      <c r="H101" s="1521"/>
    </row>
    <row r="102" spans="1:8" ht="16.2" customHeight="1" x14ac:dyDescent="0.3">
      <c r="A102" s="1135"/>
      <c r="B102" s="1947"/>
      <c r="C102" s="1133" t="str">
        <f>F!C44</f>
        <v>25 to 75% of the emergent vegetation.</v>
      </c>
      <c r="D102" s="47">
        <f>F!D44</f>
        <v>0</v>
      </c>
      <c r="E102" s="65">
        <v>3</v>
      </c>
      <c r="F102" s="45">
        <f>D102*E102</f>
        <v>0</v>
      </c>
      <c r="G102" s="957"/>
      <c r="H102" s="1521"/>
    </row>
    <row r="103" spans="1:8" ht="16.2" customHeight="1" thickBot="1" x14ac:dyDescent="0.35">
      <c r="A103" s="1136"/>
      <c r="B103" s="2016"/>
      <c r="C103" s="1134" t="str">
        <f>F!C45</f>
        <v>&gt;75%, of the emergent vegetation.</v>
      </c>
      <c r="D103" s="242">
        <f>F!D45</f>
        <v>0</v>
      </c>
      <c r="E103" s="479">
        <v>2</v>
      </c>
      <c r="F103" s="193">
        <f>D103*E103</f>
        <v>0</v>
      </c>
      <c r="G103" s="958"/>
      <c r="H103" s="1523"/>
    </row>
    <row r="104" spans="1:8" ht="45" customHeight="1" thickBot="1" x14ac:dyDescent="0.35">
      <c r="A104" s="2011" t="str">
        <f>F!A46</f>
        <v>F10</v>
      </c>
      <c r="B104" s="2002" t="str">
        <f>F!B46</f>
        <v>Water Shading by AA's Woody Vegetation - Driest  (WoodyDryShade)</v>
      </c>
      <c r="C104" s="1137" t="str">
        <f>F!C46</f>
        <v>During an average growing season, when water levels are lowest (but surface water still occupies &gt;400 sq ft or &gt;1% of the AA), the percentage of the remaining surface water within the AA that is shaded by trees and/or shrubs located within the AA is:</v>
      </c>
      <c r="D104" s="65"/>
      <c r="E104" s="210"/>
      <c r="F104" s="192"/>
      <c r="G104" s="815">
        <f>IF((NeverWater+TempWet&gt;0),"",IF((HistOpenland=1),"",MAX(F105:F110)/MAX(E105:E110)))</f>
        <v>0</v>
      </c>
      <c r="H104" s="1599" t="s">
        <v>1634</v>
      </c>
    </row>
    <row r="105" spans="1:8" ht="27.75" customHeight="1" x14ac:dyDescent="0.3">
      <c r="A105" s="2001"/>
      <c r="B105" s="2000"/>
      <c r="C105" s="1132" t="str">
        <f>F!C47</f>
        <v>&lt;5% of the water, and fewer than 10 woody plants taller than 3 ft shade it, or all surface water is flowing.</v>
      </c>
      <c r="D105" s="47">
        <f>F!D47</f>
        <v>0</v>
      </c>
      <c r="E105" s="49">
        <v>6</v>
      </c>
      <c r="F105" s="45">
        <f t="shared" ref="F105:F110" si="4">D105*E105</f>
        <v>0</v>
      </c>
      <c r="G105" s="963"/>
      <c r="H105" s="1582"/>
    </row>
    <row r="106" spans="1:8" ht="16.2" customHeight="1" x14ac:dyDescent="0.3">
      <c r="A106" s="2001"/>
      <c r="B106" s="2000"/>
      <c r="C106" s="1133" t="str">
        <f>F!C48</f>
        <v>&lt;5% of the water, but more than 10 woody plants taller than 3 ft shade it.</v>
      </c>
      <c r="D106" s="47">
        <f>F!D48</f>
        <v>0</v>
      </c>
      <c r="E106" s="49">
        <v>5</v>
      </c>
      <c r="F106" s="45">
        <f t="shared" si="4"/>
        <v>0</v>
      </c>
      <c r="G106" s="963"/>
      <c r="H106" s="1582"/>
    </row>
    <row r="107" spans="1:8" ht="16.2" customHeight="1" x14ac:dyDescent="0.3">
      <c r="A107" s="2001"/>
      <c r="B107" s="2000"/>
      <c r="C107" s="1133" t="str">
        <f>F!C49</f>
        <v>5 to &lt;25% of the water.</v>
      </c>
      <c r="D107" s="47">
        <f>F!D49</f>
        <v>0</v>
      </c>
      <c r="E107" s="49">
        <v>4</v>
      </c>
      <c r="F107" s="45">
        <f t="shared" si="4"/>
        <v>0</v>
      </c>
      <c r="G107" s="963"/>
      <c r="H107" s="1582"/>
    </row>
    <row r="108" spans="1:8" ht="16.2" customHeight="1" x14ac:dyDescent="0.3">
      <c r="A108" s="2001"/>
      <c r="B108" s="2000"/>
      <c r="C108" s="1133" t="str">
        <f>F!C50</f>
        <v>25 to &lt;50% of the water.</v>
      </c>
      <c r="D108" s="47">
        <f>F!D50</f>
        <v>0</v>
      </c>
      <c r="E108" s="49">
        <v>3</v>
      </c>
      <c r="F108" s="45">
        <f t="shared" si="4"/>
        <v>0</v>
      </c>
      <c r="G108" s="963"/>
      <c r="H108" s="1582"/>
    </row>
    <row r="109" spans="1:8" ht="16.2" customHeight="1" x14ac:dyDescent="0.3">
      <c r="A109" s="2001"/>
      <c r="B109" s="2000"/>
      <c r="C109" s="1133" t="str">
        <f>F!C51</f>
        <v>50 to 95% of the water.</v>
      </c>
      <c r="D109" s="47">
        <f>F!D51</f>
        <v>0</v>
      </c>
      <c r="E109" s="49">
        <v>2</v>
      </c>
      <c r="F109" s="45">
        <f t="shared" si="4"/>
        <v>0</v>
      </c>
      <c r="G109" s="963"/>
      <c r="H109" s="1582"/>
    </row>
    <row r="110" spans="1:8" ht="16.2" customHeight="1" thickBot="1" x14ac:dyDescent="0.35">
      <c r="A110" s="2012"/>
      <c r="B110" s="2003"/>
      <c r="C110" s="1134" t="str">
        <f>F!C52</f>
        <v>&gt;95% of the water.</v>
      </c>
      <c r="D110" s="47">
        <f>F!D52</f>
        <v>0</v>
      </c>
      <c r="E110" s="245">
        <v>1</v>
      </c>
      <c r="F110" s="193">
        <f t="shared" si="4"/>
        <v>0</v>
      </c>
      <c r="G110" s="1138"/>
      <c r="H110" s="1600"/>
    </row>
    <row r="111" spans="1:8" ht="30" customHeight="1" thickBot="1" x14ac:dyDescent="0.35">
      <c r="A111" s="1864" t="str">
        <f>F!A71</f>
        <v>F14</v>
      </c>
      <c r="B111" s="1599" t="str">
        <f>F!B71</f>
        <v>Ponded Open Water Distribution - Wettest  (WaterMixWet)</v>
      </c>
      <c r="C111" s="114" t="str">
        <f>F!C71</f>
        <v>When water levels are highest, during a normal year, the distribution (in aerial view) of ponded open water patches larger than 0.01 acre (400 sq. ft) within the AA is:</v>
      </c>
      <c r="D111" s="210"/>
      <c r="E111" s="1007"/>
      <c r="F111" s="1139"/>
      <c r="G111" s="815">
        <f>IF((NeverWater+TempWet&gt;0),"",IF((NoPond=1),"",IF((NoPondOW=1),"",MAX(F112:F115)/MAX(E112:E115))))</f>
        <v>0</v>
      </c>
      <c r="H111" s="1599" t="s">
        <v>1637</v>
      </c>
    </row>
    <row r="112" spans="1:8" ht="57" customHeight="1" x14ac:dyDescent="0.3">
      <c r="A112" s="1865"/>
      <c r="B112" s="1582"/>
      <c r="C112" s="11" t="str">
        <f>F!C72</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112" s="47">
        <f>F!D72</f>
        <v>0</v>
      </c>
      <c r="E112" s="952">
        <v>4</v>
      </c>
      <c r="F112" s="1140">
        <f>D112*E112</f>
        <v>0</v>
      </c>
      <c r="G112" s="1029"/>
      <c r="H112" s="1582"/>
    </row>
    <row r="113" spans="1:8" ht="54.75" customHeight="1" x14ac:dyDescent="0.3">
      <c r="A113" s="1865"/>
      <c r="B113" s="1582"/>
      <c r="C113" s="286" t="str">
        <f>F!C73</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113" s="47">
        <f>F!D73</f>
        <v>0</v>
      </c>
      <c r="E113" s="952">
        <v>3</v>
      </c>
      <c r="F113" s="1140">
        <f>D113*E113</f>
        <v>0</v>
      </c>
      <c r="G113" s="1029"/>
      <c r="H113" s="1582"/>
    </row>
    <row r="114" spans="1:8" ht="42" customHeight="1" x14ac:dyDescent="0.3">
      <c r="A114" s="1865"/>
      <c r="B114" s="1582"/>
      <c r="C114" s="286" t="str">
        <f>F!C74</f>
        <v xml:space="preserve">(a) Vegetation OR open water comprise &gt;70% of the AA (and its bordering  waters) AND (b) There are several small patches of open water scattered within vegetation or several small vegetation clump "islands" scattered within open water. </v>
      </c>
      <c r="D114" s="47">
        <f>F!D74</f>
        <v>0</v>
      </c>
      <c r="E114" s="952">
        <v>2</v>
      </c>
      <c r="F114" s="1140">
        <f>D114*E114</f>
        <v>0</v>
      </c>
      <c r="G114" s="1029"/>
      <c r="H114" s="1582"/>
    </row>
    <row r="115" spans="1:8" ht="67.5" customHeight="1" thickBot="1" x14ac:dyDescent="0.35">
      <c r="A115" s="1866"/>
      <c r="B115" s="1600"/>
      <c r="C115" s="443" t="str">
        <f>F!C75</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115" s="242">
        <f>F!D75</f>
        <v>0</v>
      </c>
      <c r="E115" s="1008">
        <v>1</v>
      </c>
      <c r="F115" s="1124">
        <f>D115*E115</f>
        <v>0</v>
      </c>
      <c r="G115" s="1030"/>
      <c r="H115" s="1600"/>
    </row>
    <row r="116" spans="1:8" ht="45" customHeight="1" thickBot="1" x14ac:dyDescent="0.35">
      <c r="A116" s="2001" t="str">
        <f>F!A83</f>
        <v>F16</v>
      </c>
      <c r="B116" s="2000" t="str">
        <f>F!B83</f>
        <v>All Ponded Water as a Percentage (Driest)  (PondWpctDry)</v>
      </c>
      <c r="C116" s="1130" t="str">
        <f>F!C83</f>
        <v>When water levels are lowest, during a normal year, but surface water still occupies &gt;1,076 sq feet (100 sq meter) OR  &gt;1% of the AA (whichever is more), the water that is ponded (either visible or concealed by vegetation) in the AA occupies:</v>
      </c>
      <c r="D116" s="549"/>
      <c r="E116" s="65"/>
      <c r="F116" s="60"/>
      <c r="G116" s="954">
        <f>IF((NeverWater+TempWet&gt;0),"",IF((NoPond=1),"",MAX(F117:F122)/MAX(E117:E122)))</f>
        <v>0</v>
      </c>
      <c r="H116" s="1582" t="s">
        <v>1638</v>
      </c>
    </row>
    <row r="117" spans="1:8" ht="27" customHeight="1" x14ac:dyDescent="0.3">
      <c r="A117" s="2001"/>
      <c r="B117" s="2000"/>
      <c r="C117" s="1132" t="str">
        <f>F!C84</f>
        <v xml:space="preserve">&lt;1% or none. Surface water is completely or nearly absent then, or is entirely flowing. Enter 1 and SKIP TO F22. </v>
      </c>
      <c r="D117" s="47">
        <f>F!D84</f>
        <v>0</v>
      </c>
      <c r="E117" s="49">
        <v>0</v>
      </c>
      <c r="F117" s="45">
        <f t="shared" ref="F117:F122" si="5">D117*E117</f>
        <v>0</v>
      </c>
      <c r="G117" s="956"/>
      <c r="H117" s="1582"/>
    </row>
    <row r="118" spans="1:8" ht="16.2" customHeight="1" x14ac:dyDescent="0.3">
      <c r="A118" s="2001"/>
      <c r="B118" s="2000"/>
      <c r="C118" s="1132" t="str">
        <f>F!C85</f>
        <v>1 to 5% of the AA.</v>
      </c>
      <c r="D118" s="47">
        <f>F!D85</f>
        <v>0</v>
      </c>
      <c r="E118" s="49">
        <v>1</v>
      </c>
      <c r="F118" s="45">
        <f t="shared" si="5"/>
        <v>0</v>
      </c>
      <c r="G118" s="957"/>
      <c r="H118" s="1582"/>
    </row>
    <row r="119" spans="1:8" ht="16.2" customHeight="1" x14ac:dyDescent="0.3">
      <c r="A119" s="2001"/>
      <c r="B119" s="2000"/>
      <c r="C119" s="1132" t="str">
        <f>F!C86</f>
        <v>5 to &lt;30% of the AA.</v>
      </c>
      <c r="D119" s="47">
        <f>F!D86</f>
        <v>0</v>
      </c>
      <c r="E119" s="49">
        <v>2</v>
      </c>
      <c r="F119" s="45">
        <f t="shared" si="5"/>
        <v>0</v>
      </c>
      <c r="G119" s="957"/>
      <c r="H119" s="1582"/>
    </row>
    <row r="120" spans="1:8" ht="16.2" customHeight="1" x14ac:dyDescent="0.3">
      <c r="A120" s="2001"/>
      <c r="B120" s="2000"/>
      <c r="C120" s="1132" t="str">
        <f>F!C87</f>
        <v>30 to &lt;70% of the AA.</v>
      </c>
      <c r="D120" s="47">
        <f>F!D87</f>
        <v>0</v>
      </c>
      <c r="E120" s="49">
        <v>3</v>
      </c>
      <c r="F120" s="45">
        <f t="shared" si="5"/>
        <v>0</v>
      </c>
      <c r="G120" s="957"/>
      <c r="H120" s="1582"/>
    </row>
    <row r="121" spans="1:8" ht="16.2" customHeight="1" x14ac:dyDescent="0.3">
      <c r="A121" s="2001"/>
      <c r="B121" s="2000"/>
      <c r="C121" s="1132" t="str">
        <f>F!C88</f>
        <v>70 to 95% of the AA.</v>
      </c>
      <c r="D121" s="47">
        <f>F!D88</f>
        <v>0</v>
      </c>
      <c r="E121" s="49">
        <v>4</v>
      </c>
      <c r="F121" s="45">
        <f t="shared" si="5"/>
        <v>0</v>
      </c>
      <c r="G121" s="957"/>
      <c r="H121" s="1582"/>
    </row>
    <row r="122" spans="1:8" ht="16.2" customHeight="1" thickBot="1" x14ac:dyDescent="0.35">
      <c r="A122" s="2001"/>
      <c r="B122" s="2000"/>
      <c r="C122" s="6" t="str">
        <f>F!C89</f>
        <v>&gt;95% of the AA.</v>
      </c>
      <c r="D122" s="242">
        <f>F!D89</f>
        <v>0</v>
      </c>
      <c r="E122" s="67">
        <v>5</v>
      </c>
      <c r="F122" s="54">
        <f t="shared" si="5"/>
        <v>0</v>
      </c>
      <c r="G122" s="959"/>
      <c r="H122" s="1582"/>
    </row>
    <row r="123" spans="1:8" ht="30" customHeight="1" thickBot="1" x14ac:dyDescent="0.35">
      <c r="A123" s="2007" t="str">
        <f>F!A90</f>
        <v>F17</v>
      </c>
      <c r="B123" s="1688" t="str">
        <f>F!B90</f>
        <v>Ponded Open Water Area (Driest)  (OWareaDry)</v>
      </c>
      <c r="C123" s="441" t="str">
        <f>F!C90</f>
        <v>When water levels are lowest, during a normal year, the AA's ponded open water occupies a cumulative area, including adjacent ponded waters, of:</v>
      </c>
      <c r="D123" s="549"/>
      <c r="E123" s="210"/>
      <c r="F123" s="258"/>
      <c r="G123" s="815">
        <f>IF((NeverWater+TempWet&gt;0),"",IF((NoPond2=1),"",MAX(F124:F132)/MAX(E124:E132)))</f>
        <v>0</v>
      </c>
      <c r="H123" s="1599" t="s">
        <v>1639</v>
      </c>
    </row>
    <row r="124" spans="1:8" ht="16.2" customHeight="1" x14ac:dyDescent="0.3">
      <c r="A124" s="1982"/>
      <c r="B124" s="1689"/>
      <c r="C124" s="1111" t="str">
        <f>F!C91</f>
        <v>&lt;0.10 acre (&lt; 4356 sq. ft).  Enter 1 and SKIP TO F24.</v>
      </c>
      <c r="D124" s="47">
        <f>F!D91</f>
        <v>0</v>
      </c>
      <c r="E124" s="49">
        <v>1</v>
      </c>
      <c r="F124" s="45">
        <f t="shared" ref="F124:F132" si="6">D124*E124</f>
        <v>0</v>
      </c>
      <c r="G124" s="59"/>
      <c r="H124" s="1582"/>
    </row>
    <row r="125" spans="1:8" ht="16.2" customHeight="1" x14ac:dyDescent="0.3">
      <c r="A125" s="1982"/>
      <c r="B125" s="1689"/>
      <c r="C125" s="453" t="str">
        <f>F!C92</f>
        <v>0.10 to &lt;0.50 acres (21,340 sq. ft).</v>
      </c>
      <c r="D125" s="47">
        <f>F!D92</f>
        <v>0</v>
      </c>
      <c r="E125" s="49">
        <v>2</v>
      </c>
      <c r="F125" s="45">
        <f t="shared" si="6"/>
        <v>0</v>
      </c>
      <c r="G125" s="59"/>
      <c r="H125" s="1582"/>
    </row>
    <row r="126" spans="1:8" ht="16.2" customHeight="1" x14ac:dyDescent="0.3">
      <c r="A126" s="1982"/>
      <c r="B126" s="1689"/>
      <c r="C126" s="453" t="str">
        <f>F!C93</f>
        <v>0.50 to &lt;1  acres.</v>
      </c>
      <c r="D126" s="47">
        <f>F!D93</f>
        <v>0</v>
      </c>
      <c r="E126" s="49">
        <v>3</v>
      </c>
      <c r="F126" s="45">
        <f t="shared" si="6"/>
        <v>0</v>
      </c>
      <c r="G126" s="59"/>
      <c r="H126" s="1582"/>
    </row>
    <row r="127" spans="1:8" ht="16.2" customHeight="1" x14ac:dyDescent="0.3">
      <c r="A127" s="1982"/>
      <c r="B127" s="1689"/>
      <c r="C127" s="453" t="str">
        <f>F!C94</f>
        <v>1- 4 acres.</v>
      </c>
      <c r="D127" s="47">
        <f>F!D94</f>
        <v>0</v>
      </c>
      <c r="E127" s="49">
        <v>4</v>
      </c>
      <c r="F127" s="45">
        <f t="shared" si="6"/>
        <v>0</v>
      </c>
      <c r="G127" s="59"/>
      <c r="H127" s="1582"/>
    </row>
    <row r="128" spans="1:8" ht="16.2" customHeight="1" x14ac:dyDescent="0.3">
      <c r="A128" s="1982"/>
      <c r="B128" s="1689"/>
      <c r="C128" s="453" t="str">
        <f>F!C95</f>
        <v>5 to &lt;50 acres.</v>
      </c>
      <c r="D128" s="47">
        <f>F!D95</f>
        <v>0</v>
      </c>
      <c r="E128" s="49">
        <v>5</v>
      </c>
      <c r="F128" s="45">
        <f t="shared" si="6"/>
        <v>0</v>
      </c>
      <c r="G128" s="59"/>
      <c r="H128" s="1582"/>
    </row>
    <row r="129" spans="1:8" ht="16.2" customHeight="1" x14ac:dyDescent="0.3">
      <c r="A129" s="1982"/>
      <c r="B129" s="1689"/>
      <c r="C129" s="453" t="str">
        <f>F!C96</f>
        <v>50 to &lt;640 acres (1 sq. mi).</v>
      </c>
      <c r="D129" s="47">
        <f>F!D96</f>
        <v>0</v>
      </c>
      <c r="E129" s="49">
        <v>6</v>
      </c>
      <c r="F129" s="45">
        <f t="shared" si="6"/>
        <v>0</v>
      </c>
      <c r="G129" s="59"/>
      <c r="H129" s="1582"/>
    </row>
    <row r="130" spans="1:8" ht="16.2" customHeight="1" x14ac:dyDescent="0.3">
      <c r="A130" s="1982"/>
      <c r="B130" s="1689"/>
      <c r="C130" s="453" t="str">
        <f>F!C97</f>
        <v>640 to &lt;1000 acres.</v>
      </c>
      <c r="D130" s="47">
        <f>F!D97</f>
        <v>0</v>
      </c>
      <c r="E130" s="49">
        <v>6</v>
      </c>
      <c r="F130" s="45">
        <f t="shared" si="6"/>
        <v>0</v>
      </c>
      <c r="G130" s="59"/>
      <c r="H130" s="1582"/>
    </row>
    <row r="131" spans="1:8" ht="16.2" customHeight="1" x14ac:dyDescent="0.3">
      <c r="A131" s="1982"/>
      <c r="B131" s="1689"/>
      <c r="C131" s="453" t="str">
        <f>F!C98</f>
        <v>1000 to 2500 acres.</v>
      </c>
      <c r="D131" s="47">
        <f>F!D98</f>
        <v>0</v>
      </c>
      <c r="E131" s="49">
        <v>7</v>
      </c>
      <c r="F131" s="45">
        <f t="shared" si="6"/>
        <v>0</v>
      </c>
      <c r="G131" s="59"/>
      <c r="H131" s="1582"/>
    </row>
    <row r="132" spans="1:8" ht="16.2" customHeight="1" thickBot="1" x14ac:dyDescent="0.35">
      <c r="A132" s="2008"/>
      <c r="B132" s="1690"/>
      <c r="C132" s="451" t="str">
        <f>F!C99</f>
        <v>&gt;2500 acres (&gt;4 sq.mi).</v>
      </c>
      <c r="D132" s="80">
        <f>F!D99</f>
        <v>0</v>
      </c>
      <c r="E132" s="245">
        <v>7</v>
      </c>
      <c r="F132" s="193">
        <f t="shared" si="6"/>
        <v>0</v>
      </c>
      <c r="G132" s="958"/>
      <c r="H132" s="1600"/>
    </row>
    <row r="133" spans="1:8" ht="30" customHeight="1" thickBot="1" x14ac:dyDescent="0.35">
      <c r="A133" s="2001" t="str">
        <f>F!A100</f>
        <v>F18</v>
      </c>
      <c r="B133" s="2000" t="str">
        <f>F!B100</f>
        <v>Ponded Open Water Distribution - (Driest)  (WaterMixDry)</v>
      </c>
      <c r="C133" s="1130" t="str">
        <f>F!C100</f>
        <v>When water levels are lowest, during a normal year, the distribution of ponded open water patches larger than 0.01 acre (400 sq. ft) within the AA is:</v>
      </c>
      <c r="D133" s="549"/>
      <c r="E133" s="65"/>
      <c r="F133" s="963"/>
      <c r="G133" s="954">
        <f>IF((NeverWater+TempWet&gt;0),"",IF((NoPond2=1),"",IF((NoPondOW2=1),"",MAX(F134:F137)/MAX(E134:E137))))</f>
        <v>0</v>
      </c>
      <c r="H133" s="1582" t="s">
        <v>1699</v>
      </c>
    </row>
    <row r="134" spans="1:8" ht="57" customHeight="1" x14ac:dyDescent="0.3">
      <c r="A134" s="2001"/>
      <c r="B134" s="2000"/>
      <c r="C134" s="1132" t="str">
        <f>F!C101</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134" s="47">
        <f>F!D101</f>
        <v>0</v>
      </c>
      <c r="E134" s="49">
        <v>4</v>
      </c>
      <c r="F134" s="45">
        <f>D134*E134</f>
        <v>0</v>
      </c>
      <c r="G134" s="963"/>
      <c r="H134" s="1582"/>
    </row>
    <row r="135" spans="1:8" ht="54" customHeight="1" x14ac:dyDescent="0.3">
      <c r="A135" s="2001"/>
      <c r="B135" s="2000"/>
      <c r="C135" s="1133" t="str">
        <f>F!C102</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135" s="47">
        <f>F!D102</f>
        <v>0</v>
      </c>
      <c r="E135" s="49">
        <v>3</v>
      </c>
      <c r="F135" s="45">
        <f>D135*E135</f>
        <v>0</v>
      </c>
      <c r="G135" s="963"/>
      <c r="H135" s="1582"/>
    </row>
    <row r="136" spans="1:8" ht="42" customHeight="1" x14ac:dyDescent="0.3">
      <c r="A136" s="2001"/>
      <c r="B136" s="2000"/>
      <c r="C136" s="1133" t="str">
        <f>F!C103</f>
        <v xml:space="preserve">(a) Vegetation OR open water comprise &gt;70% of the AA (and its bordering  waters) AND (b) There are several small patches of open water scattered within vegetation or several small vegetation clump "islands" scattered within  open water. </v>
      </c>
      <c r="D136" s="47">
        <f>F!D103</f>
        <v>0</v>
      </c>
      <c r="E136" s="49">
        <v>2</v>
      </c>
      <c r="F136" s="45">
        <f>D136*E136</f>
        <v>0</v>
      </c>
      <c r="G136" s="963"/>
      <c r="H136" s="1582"/>
    </row>
    <row r="137" spans="1:8" ht="69.75" customHeight="1" thickBot="1" x14ac:dyDescent="0.35">
      <c r="A137" s="2017"/>
      <c r="B137" s="2000"/>
      <c r="C137" s="1131" t="str">
        <f>F!C104</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137" s="80">
        <f>F!D104</f>
        <v>0</v>
      </c>
      <c r="E137" s="67">
        <v>1</v>
      </c>
      <c r="F137" s="54">
        <f>D137*E137</f>
        <v>0</v>
      </c>
      <c r="G137" s="1141"/>
      <c r="H137" s="1582"/>
    </row>
    <row r="138" spans="1:8" ht="45" customHeight="1" thickBot="1" x14ac:dyDescent="0.35">
      <c r="A138" s="1142" t="str">
        <f>F!A105</f>
        <v>F19</v>
      </c>
      <c r="B138" s="1137" t="str">
        <f>F!B105</f>
        <v>Floating Algae &amp; Duckweed (Algae)</v>
      </c>
      <c r="C138" s="1143" t="str">
        <f>F!C105</f>
        <v>At some time of the year, most of the AA's otherwise-unshaded water surface is covered by floating mats of algae, or small (&lt;1 inch) floating plants such as duckweed, Azolla, Wolffia, or Riccia.  Enter 1, if true.</v>
      </c>
      <c r="D138" s="1144">
        <f>F!D105</f>
        <v>0</v>
      </c>
      <c r="E138" s="260"/>
      <c r="F138" s="249"/>
      <c r="G138" s="815">
        <f>IF((NeverWater+TempWet&gt;0),"",IF((TempWet=1),"",IF((NoPond2=1),"", IF((NoPondOW2=1),"",IF((D138=1),1,0)))))</f>
        <v>0</v>
      </c>
      <c r="H138" s="4" t="s">
        <v>1700</v>
      </c>
    </row>
    <row r="139" spans="1:8" ht="30" customHeight="1" thickBot="1" x14ac:dyDescent="0.35">
      <c r="A139" s="2030" t="str">
        <f>F!A106</f>
        <v>F20</v>
      </c>
      <c r="B139" s="2000" t="str">
        <f>F!B106</f>
        <v xml:space="preserve">Floating-leaved &amp; Submerged Aquatic Vegetation (SAV)  </v>
      </c>
      <c r="C139" s="1112" t="str">
        <f>F!C106</f>
        <v>SAV (submerged &amp; floating-leaved aquatic vegetation, excluding the species listed above) occupies an annual maximum of:</v>
      </c>
      <c r="D139" s="549"/>
      <c r="E139" s="65"/>
      <c r="F139" s="46"/>
      <c r="G139" s="954">
        <f>IF((NeverWater+TempWet&gt;0),"",IF((TempWet=1),"",IF((NoPond2=1),"",IF((NoPondOW2=1),"",IF((D140=1),"",MAX(F140:F145)/MAX(E140:E145))))))</f>
        <v>0</v>
      </c>
      <c r="H139" s="1582" t="s">
        <v>1701</v>
      </c>
    </row>
    <row r="140" spans="1:8" ht="16.2" customHeight="1" x14ac:dyDescent="0.3">
      <c r="A140" s="2001"/>
      <c r="B140" s="2000"/>
      <c r="C140" s="1116" t="str">
        <f>F!C107</f>
        <v>none, or &lt;5% of the water area.</v>
      </c>
      <c r="D140" s="47">
        <f>F!D107</f>
        <v>0</v>
      </c>
      <c r="E140" s="49">
        <v>0</v>
      </c>
      <c r="F140" s="45">
        <f t="shared" ref="F140:F145" si="7">D140*E140</f>
        <v>0</v>
      </c>
      <c r="G140" s="1029"/>
      <c r="H140" s="1582"/>
    </row>
    <row r="141" spans="1:8" ht="16.2" customHeight="1" x14ac:dyDescent="0.3">
      <c r="A141" s="2001"/>
      <c r="B141" s="2000"/>
      <c r="C141" s="1117" t="str">
        <f>F!C108</f>
        <v>5 to &lt;25% of the water area.</v>
      </c>
      <c r="D141" s="47">
        <f>F!D108</f>
        <v>0</v>
      </c>
      <c r="E141" s="49">
        <v>2</v>
      </c>
      <c r="F141" s="45">
        <f t="shared" si="7"/>
        <v>0</v>
      </c>
      <c r="G141" s="1029"/>
      <c r="H141" s="1582"/>
    </row>
    <row r="142" spans="1:8" ht="16.2" customHeight="1" x14ac:dyDescent="0.3">
      <c r="A142" s="2001"/>
      <c r="B142" s="2000"/>
      <c r="C142" s="1117" t="str">
        <f>F!C109</f>
        <v>25 to &lt;50% of the water area.</v>
      </c>
      <c r="D142" s="47">
        <f>F!D109</f>
        <v>0</v>
      </c>
      <c r="E142" s="49">
        <v>3</v>
      </c>
      <c r="F142" s="45">
        <f t="shared" si="7"/>
        <v>0</v>
      </c>
      <c r="G142" s="1029"/>
      <c r="H142" s="1582"/>
    </row>
    <row r="143" spans="1:8" ht="16.2" customHeight="1" x14ac:dyDescent="0.3">
      <c r="A143" s="2001"/>
      <c r="B143" s="2000"/>
      <c r="C143" s="1117" t="str">
        <f>F!C110</f>
        <v>50 to 95% of the water area.</v>
      </c>
      <c r="D143" s="47">
        <f>F!D110</f>
        <v>0</v>
      </c>
      <c r="E143" s="49">
        <v>4</v>
      </c>
      <c r="F143" s="45">
        <f t="shared" si="7"/>
        <v>0</v>
      </c>
      <c r="G143" s="1029"/>
      <c r="H143" s="1582"/>
    </row>
    <row r="144" spans="1:8" ht="16.2" customHeight="1" x14ac:dyDescent="0.3">
      <c r="A144" s="2001"/>
      <c r="B144" s="2000"/>
      <c r="C144" s="1117" t="str">
        <f>F!C111</f>
        <v>&gt;95% of the water area.</v>
      </c>
      <c r="D144" s="47">
        <f>F!D111</f>
        <v>0</v>
      </c>
      <c r="E144" s="49">
        <v>3</v>
      </c>
      <c r="F144" s="45">
        <f t="shared" si="7"/>
        <v>0</v>
      </c>
      <c r="G144" s="1029"/>
      <c r="H144" s="1582"/>
    </row>
    <row r="145" spans="1:8" ht="16.2" customHeight="1" thickBot="1" x14ac:dyDescent="0.35">
      <c r="A145" s="2001"/>
      <c r="B145" s="2000"/>
      <c r="C145" s="1145" t="str">
        <f>F!C112</f>
        <v>many SAV plants present, but impossible to select from the above categories.</v>
      </c>
      <c r="D145" s="80">
        <f>F!D112</f>
        <v>0</v>
      </c>
      <c r="E145" s="67">
        <v>1</v>
      </c>
      <c r="F145" s="54">
        <f t="shared" si="7"/>
        <v>0</v>
      </c>
      <c r="G145" s="1114"/>
      <c r="H145" s="1582"/>
    </row>
    <row r="146" spans="1:8" ht="59.25" customHeight="1" thickBot="1" x14ac:dyDescent="0.35">
      <c r="A146" s="2011" t="str">
        <f>F!A113</f>
        <v>F21</v>
      </c>
      <c r="B146" s="2002" t="str">
        <f>F!B113</f>
        <v>Width of Vegetated Zone (Driest)  (WidthDry)</v>
      </c>
      <c r="C146" s="1110" t="str">
        <f>F!C113</f>
        <v xml:space="preserve">When water levels are lowest, during a normal year, but surface water still occupies &gt;400 sq feet or &gt;1% of the AA (which ever is more), the width of the vegetated wetland that separates the largest patch of open water within or bordering the AA from the closest adjacent uplands, is predominantly: </v>
      </c>
      <c r="D146" s="549"/>
      <c r="E146" s="210"/>
      <c r="F146" s="192"/>
      <c r="G146" s="815">
        <f>IF((NeverWater+TempWet&gt;0),"",IF((NoPond2=1),"",IF((NoPondOW2=1),"",MAX(F147:F152)/MAX(E147:E152))))</f>
        <v>0</v>
      </c>
      <c r="H146" s="1599" t="s">
        <v>1702</v>
      </c>
    </row>
    <row r="147" spans="1:8" ht="16.2" customHeight="1" x14ac:dyDescent="0.3">
      <c r="A147" s="2001"/>
      <c r="B147" s="2000"/>
      <c r="C147" s="1132" t="str">
        <f>F!C114</f>
        <v>&lt;5 ft, or no vegetation between upland and open water.</v>
      </c>
      <c r="D147" s="47">
        <f>F!D114</f>
        <v>0</v>
      </c>
      <c r="E147" s="49">
        <v>0</v>
      </c>
      <c r="F147" s="45">
        <f t="shared" ref="F147:F152" si="8">D147*E147</f>
        <v>0</v>
      </c>
      <c r="G147" s="963"/>
      <c r="H147" s="1582"/>
    </row>
    <row r="148" spans="1:8" ht="16.2" customHeight="1" x14ac:dyDescent="0.3">
      <c r="A148" s="2001"/>
      <c r="B148" s="2000"/>
      <c r="C148" s="1133" t="str">
        <f>F!C115</f>
        <v>5 to &lt;30 ft.</v>
      </c>
      <c r="D148" s="47">
        <f>F!D115</f>
        <v>0</v>
      </c>
      <c r="E148" s="49">
        <v>2</v>
      </c>
      <c r="F148" s="45">
        <f t="shared" si="8"/>
        <v>0</v>
      </c>
      <c r="G148" s="963"/>
      <c r="H148" s="1582"/>
    </row>
    <row r="149" spans="1:8" ht="16.2" customHeight="1" x14ac:dyDescent="0.3">
      <c r="A149" s="2001"/>
      <c r="B149" s="2000"/>
      <c r="C149" s="1133" t="str">
        <f>F!C116</f>
        <v>30 to &lt;50 ft.</v>
      </c>
      <c r="D149" s="47">
        <f>F!D116</f>
        <v>0</v>
      </c>
      <c r="E149" s="49">
        <v>3</v>
      </c>
      <c r="F149" s="45">
        <f t="shared" si="8"/>
        <v>0</v>
      </c>
      <c r="G149" s="963"/>
      <c r="H149" s="1582"/>
    </row>
    <row r="150" spans="1:8" ht="16.2" customHeight="1" x14ac:dyDescent="0.3">
      <c r="A150" s="2001"/>
      <c r="B150" s="2000"/>
      <c r="C150" s="1133" t="str">
        <f>F!C117</f>
        <v>50 to &lt;100 ft.</v>
      </c>
      <c r="D150" s="47">
        <f>F!D117</f>
        <v>0</v>
      </c>
      <c r="E150" s="49">
        <v>4</v>
      </c>
      <c r="F150" s="45">
        <f t="shared" si="8"/>
        <v>0</v>
      </c>
      <c r="G150" s="963"/>
      <c r="H150" s="1582"/>
    </row>
    <row r="151" spans="1:8" ht="16.2" customHeight="1" x14ac:dyDescent="0.3">
      <c r="A151" s="2001"/>
      <c r="B151" s="2000"/>
      <c r="C151" s="1133" t="str">
        <f>F!C118</f>
        <v>100 to 300 ft.</v>
      </c>
      <c r="D151" s="47">
        <f>F!D118</f>
        <v>0</v>
      </c>
      <c r="E151" s="49">
        <v>5</v>
      </c>
      <c r="F151" s="45">
        <f t="shared" si="8"/>
        <v>0</v>
      </c>
      <c r="G151" s="963"/>
      <c r="H151" s="1582"/>
    </row>
    <row r="152" spans="1:8" ht="16.2" customHeight="1" thickBot="1" x14ac:dyDescent="0.35">
      <c r="A152" s="2012"/>
      <c r="B152" s="2003"/>
      <c r="C152" s="1134" t="str">
        <f>F!C119</f>
        <v>&gt; 300 ft.</v>
      </c>
      <c r="D152" s="80">
        <f>F!D119</f>
        <v>0</v>
      </c>
      <c r="E152" s="245">
        <v>6</v>
      </c>
      <c r="F152" s="193">
        <f t="shared" si="8"/>
        <v>0</v>
      </c>
      <c r="G152" s="1138"/>
      <c r="H152" s="1600"/>
    </row>
    <row r="153" spans="1:8" ht="21" customHeight="1" thickBot="1" x14ac:dyDescent="0.35">
      <c r="A153" s="2001" t="str">
        <f>F!A120</f>
        <v>F22</v>
      </c>
      <c r="B153" s="2000" t="str">
        <f>F!B120</f>
        <v>Beaver (Beaver)</v>
      </c>
      <c r="C153" s="1130" t="str">
        <f>F!C120</f>
        <v>Use of the AA by beaver during the past 5 years is:  Select most applicable ONE.</v>
      </c>
      <c r="D153" s="549"/>
      <c r="E153" s="65"/>
      <c r="F153" s="46"/>
      <c r="G153" s="954">
        <f>IF((NeverWater+TempWet&gt;0),"",IF((TempWet=1),"",IF((NoPondOW2=1),"",MAX(F154:F158)/MAX(E154:E158))))</f>
        <v>0</v>
      </c>
      <c r="H153" s="1582" t="s">
        <v>1640</v>
      </c>
    </row>
    <row r="154" spans="1:8" ht="18.75" customHeight="1" x14ac:dyDescent="0.3">
      <c r="A154" s="2001"/>
      <c r="B154" s="2000"/>
      <c r="C154" s="1132" t="str">
        <f>F!C121</f>
        <v>Evident from direct observation or presence of gnawed limbs, dams, tracks, dens, or lodges.</v>
      </c>
      <c r="D154" s="47">
        <f>F!D121</f>
        <v>0</v>
      </c>
      <c r="E154" s="49">
        <v>5</v>
      </c>
      <c r="F154" s="45">
        <f>D154*E154</f>
        <v>0</v>
      </c>
      <c r="G154" s="957"/>
      <c r="H154" s="1582"/>
    </row>
    <row r="155" spans="1:8" ht="66" customHeight="1" x14ac:dyDescent="0.3">
      <c r="A155" s="2001"/>
      <c r="B155" s="2000"/>
      <c r="C155" s="1133" t="str">
        <f>F!C122</f>
        <v>Very likely based on known occurrence in this part of the region and proximity to ALL of the following (a) a persistent freshwater wetland, pond, or lake, or a perennial low-gradient (&lt;5%) channel, and (b) average valley width is &gt; 150 ft and (c) &gt;20% cumulative cover of aspen, cottonwood, alder, and willow in vegetated areas within 150 ft of the AA's edge.  Or there is evidence of beaver just outside the AA.</v>
      </c>
      <c r="D155" s="47">
        <f>F!D122</f>
        <v>0</v>
      </c>
      <c r="E155" s="49">
        <v>3</v>
      </c>
      <c r="F155" s="45">
        <f>D155*E155</f>
        <v>0</v>
      </c>
      <c r="G155" s="957"/>
      <c r="H155" s="1582"/>
    </row>
    <row r="156" spans="1:8" ht="57" customHeight="1" x14ac:dyDescent="0.3">
      <c r="A156" s="2001"/>
      <c r="B156" s="2000"/>
      <c r="C156" s="1133" t="str">
        <f>F!C123</f>
        <v>Somewhat likely based on known occurrence in this part of the region and proximity to ALL of the following (a) a persistent freshwater wetland, pond, or lake, or a perennial low or mid-gradient (&lt;10%) channel, and (b) average valley width is &gt;50 ft, and (c) &gt;20% cumulative cover of hardwood trees and shrubs in vegetated areas within 150 ft of the AA's edge.</v>
      </c>
      <c r="D156" s="47">
        <f>F!D123</f>
        <v>0</v>
      </c>
      <c r="E156" s="49">
        <v>2</v>
      </c>
      <c r="F156" s="45">
        <f>D156*E156</f>
        <v>0</v>
      </c>
      <c r="G156" s="957"/>
      <c r="H156" s="1582"/>
    </row>
    <row r="157" spans="1:8" ht="27" customHeight="1" x14ac:dyDescent="0.3">
      <c r="A157" s="2001"/>
      <c r="B157" s="2000"/>
      <c r="C157" s="1133" t="str">
        <f>F!C124</f>
        <v>Unlikely because site characteristics above are deficient, and/or this is an area where beaver are routinely removed.  But beaver occur within 2 miles.</v>
      </c>
      <c r="D157" s="47">
        <f>F!D124</f>
        <v>0</v>
      </c>
      <c r="E157" s="49">
        <v>1</v>
      </c>
      <c r="F157" s="45">
        <f>D157*E157</f>
        <v>0</v>
      </c>
      <c r="G157" s="957"/>
      <c r="H157" s="1582"/>
    </row>
    <row r="158" spans="1:8" ht="16.2" customHeight="1" thickBot="1" x14ac:dyDescent="0.35">
      <c r="A158" s="2001"/>
      <c r="B158" s="2000"/>
      <c r="C158" s="1131" t="str">
        <f>F!C125</f>
        <v>None.  Beaver are absent from this part of the region.</v>
      </c>
      <c r="D158" s="80">
        <f>F!D125</f>
        <v>0</v>
      </c>
      <c r="E158" s="67">
        <v>0</v>
      </c>
      <c r="F158" s="54">
        <f>D158*E158</f>
        <v>0</v>
      </c>
      <c r="G158" s="959"/>
      <c r="H158" s="1582"/>
    </row>
    <row r="159" spans="1:8" ht="57" customHeight="1" thickBot="1" x14ac:dyDescent="0.35">
      <c r="A159" s="1146" t="str">
        <f>F!A126</f>
        <v>F23</v>
      </c>
      <c r="B159" s="1137" t="str">
        <f>F!B126</f>
        <v>Isolated Island (Island)</v>
      </c>
      <c r="C159" s="1143" t="str">
        <f>F!C126</f>
        <v>During June, the wetland contains (or is part of) an island that is isolated from the shore by water depths &gt;3 ft. The island may be solid, or it may be a floating vegetation mat suitable for nesting waterbirds.  The island must be larger than 400 sq.ft and without inhabited buildings. Enter 1, if true.</v>
      </c>
      <c r="D159" s="1144">
        <f>F!D126</f>
        <v>0</v>
      </c>
      <c r="E159" s="260"/>
      <c r="F159" s="835"/>
      <c r="G159" s="815" t="str">
        <f>IF((NeverWater+TempWet&gt;0),"",IF((TempWet=1),"",IF((D159=1),1,"")))</f>
        <v/>
      </c>
      <c r="H159" s="4" t="s">
        <v>1641</v>
      </c>
    </row>
    <row r="160" spans="1:8" ht="21" customHeight="1" thickBot="1" x14ac:dyDescent="0.35">
      <c r="A160" s="2001" t="str">
        <f>F!A128</f>
        <v>F25</v>
      </c>
      <c r="B160" s="2000" t="str">
        <f>F!B128</f>
        <v>Water Fluctuation Range - Maximum  (Fluctu)</v>
      </c>
      <c r="C160" s="1137" t="str">
        <f>F!C128</f>
        <v>The maximum vertical fluctuation in surface water within the AA, during a normal year is:</v>
      </c>
      <c r="D160" s="210"/>
      <c r="E160" s="65"/>
      <c r="F160" s="963"/>
      <c r="G160" s="954">
        <f>MAX(F161:F165)/MAX(E161:E165)</f>
        <v>0</v>
      </c>
      <c r="H160" s="1582" t="s">
        <v>169</v>
      </c>
    </row>
    <row r="161" spans="1:8" ht="16.2" customHeight="1" x14ac:dyDescent="0.3">
      <c r="A161" s="1865"/>
      <c r="B161" s="1582"/>
      <c r="C161" s="439" t="str">
        <f>F!C129</f>
        <v>&lt;0.5 ft or stable.</v>
      </c>
      <c r="D161" s="47">
        <f>F!D129</f>
        <v>0</v>
      </c>
      <c r="E161" s="49">
        <v>4</v>
      </c>
      <c r="F161" s="45">
        <f>D161*E161</f>
        <v>0</v>
      </c>
      <c r="G161" s="956"/>
      <c r="H161" s="1582"/>
    </row>
    <row r="162" spans="1:8" ht="16.2" customHeight="1" x14ac:dyDescent="0.3">
      <c r="A162" s="1865"/>
      <c r="B162" s="1582"/>
      <c r="C162" s="440" t="str">
        <f>F!C130</f>
        <v>0.5 to &lt; 1 ft.</v>
      </c>
      <c r="D162" s="47">
        <f>F!D130</f>
        <v>0</v>
      </c>
      <c r="E162" s="49">
        <v>5</v>
      </c>
      <c r="F162" s="45">
        <f>D162*E162</f>
        <v>0</v>
      </c>
      <c r="G162" s="957"/>
      <c r="H162" s="1582"/>
    </row>
    <row r="163" spans="1:8" ht="16.2" customHeight="1" x14ac:dyDescent="0.3">
      <c r="A163" s="1865"/>
      <c r="B163" s="1582"/>
      <c r="C163" s="440" t="str">
        <f>F!C131</f>
        <v>1 to &lt;3 ft.</v>
      </c>
      <c r="D163" s="47">
        <f>F!D131</f>
        <v>0</v>
      </c>
      <c r="E163" s="49">
        <v>3</v>
      </c>
      <c r="F163" s="45">
        <f>D163*E163</f>
        <v>0</v>
      </c>
      <c r="G163" s="957"/>
      <c r="H163" s="1582"/>
    </row>
    <row r="164" spans="1:8" ht="16.2" customHeight="1" x14ac:dyDescent="0.3">
      <c r="A164" s="1865"/>
      <c r="B164" s="1582"/>
      <c r="C164" s="440" t="str">
        <f>F!C132</f>
        <v>3 to 6 ft.</v>
      </c>
      <c r="D164" s="47">
        <f>F!D132</f>
        <v>0</v>
      </c>
      <c r="E164" s="49">
        <v>2</v>
      </c>
      <c r="F164" s="45">
        <f>D164*E164</f>
        <v>0</v>
      </c>
      <c r="G164" s="957"/>
      <c r="H164" s="1582"/>
    </row>
    <row r="165" spans="1:8" ht="16.2" customHeight="1" thickBot="1" x14ac:dyDescent="0.35">
      <c r="A165" s="1865"/>
      <c r="B165" s="1582"/>
      <c r="C165" s="453" t="str">
        <f>F!C133</f>
        <v>&gt;6 ft.</v>
      </c>
      <c r="D165" s="242">
        <f>F!D133</f>
        <v>0</v>
      </c>
      <c r="E165" s="67">
        <v>1</v>
      </c>
      <c r="F165" s="54">
        <f>D165*E165</f>
        <v>0</v>
      </c>
      <c r="G165" s="959"/>
      <c r="H165" s="1582"/>
    </row>
    <row r="166" spans="1:8" ht="45" customHeight="1" thickBot="1" x14ac:dyDescent="0.35">
      <c r="A166" s="2007" t="str">
        <f>F!A134</f>
        <v>F26</v>
      </c>
      <c r="B166" s="1688" t="str">
        <f>F!B134</f>
        <v>% Only Saturated or Seasonally Flooded (SeasPct)</v>
      </c>
      <c r="C166" s="441"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166" s="549"/>
      <c r="E166" s="210"/>
      <c r="F166" s="241"/>
      <c r="G166" s="815">
        <f>MAX(F167:F171)/MAX(E167:E171)</f>
        <v>0</v>
      </c>
      <c r="H166" s="1599" t="s">
        <v>828</v>
      </c>
    </row>
    <row r="167" spans="1:8" ht="16.2" customHeight="1" x14ac:dyDescent="0.3">
      <c r="A167" s="2028"/>
      <c r="B167" s="1985"/>
      <c r="C167" s="439" t="str">
        <f>F!C135</f>
        <v>&lt;5% of the AA, or none (i.e., all water persists for &gt;4 months).</v>
      </c>
      <c r="D167" s="47">
        <f>F!D135</f>
        <v>0</v>
      </c>
      <c r="E167" s="49">
        <v>3</v>
      </c>
      <c r="F167" s="45">
        <f>D167*E167</f>
        <v>0</v>
      </c>
      <c r="G167" s="956"/>
      <c r="H167" s="1582"/>
    </row>
    <row r="168" spans="1:8" ht="16.2" customHeight="1" x14ac:dyDescent="0.3">
      <c r="A168" s="2028"/>
      <c r="B168" s="1985"/>
      <c r="C168" s="440" t="str">
        <f>F!C136</f>
        <v>5 to &lt;25% of the AA.</v>
      </c>
      <c r="D168" s="47">
        <f>F!D136</f>
        <v>0</v>
      </c>
      <c r="E168" s="49">
        <v>4</v>
      </c>
      <c r="F168" s="45">
        <f>D168*E168</f>
        <v>0</v>
      </c>
      <c r="G168" s="957"/>
      <c r="H168" s="1582"/>
    </row>
    <row r="169" spans="1:8" ht="16.2" customHeight="1" x14ac:dyDescent="0.3">
      <c r="A169" s="2028"/>
      <c r="B169" s="1985"/>
      <c r="C169" s="440" t="str">
        <f>F!C137</f>
        <v>25 to &lt;50% of the AA.</v>
      </c>
      <c r="D169" s="47">
        <f>F!D137</f>
        <v>0</v>
      </c>
      <c r="E169" s="49">
        <v>2</v>
      </c>
      <c r="F169" s="45">
        <f>D169*E169</f>
        <v>0</v>
      </c>
      <c r="G169" s="957"/>
      <c r="H169" s="1582"/>
    </row>
    <row r="170" spans="1:8" ht="16.2" customHeight="1" x14ac:dyDescent="0.3">
      <c r="A170" s="2028"/>
      <c r="B170" s="1985"/>
      <c r="C170" s="440" t="str">
        <f>F!C138</f>
        <v>50 to 75% of the AA.</v>
      </c>
      <c r="D170" s="47">
        <f>F!D138</f>
        <v>0</v>
      </c>
      <c r="E170" s="49">
        <v>1</v>
      </c>
      <c r="F170" s="45">
        <f>D170*E170</f>
        <v>0</v>
      </c>
      <c r="G170" s="957"/>
      <c r="H170" s="1582"/>
    </row>
    <row r="171" spans="1:8" ht="16.2" customHeight="1" thickBot="1" x14ac:dyDescent="0.35">
      <c r="A171" s="2029"/>
      <c r="B171" s="1654"/>
      <c r="C171" s="451" t="str">
        <f>F!C139</f>
        <v>&gt;75% of the AA.</v>
      </c>
      <c r="D171" s="80">
        <f>F!D139</f>
        <v>0</v>
      </c>
      <c r="E171" s="245">
        <v>0</v>
      </c>
      <c r="F171" s="193">
        <f>D171*E171</f>
        <v>0</v>
      </c>
      <c r="G171" s="958"/>
      <c r="H171" s="1600"/>
    </row>
    <row r="172" spans="1:8" ht="21" customHeight="1" thickBot="1" x14ac:dyDescent="0.35">
      <c r="A172" s="2001" t="str">
        <f>F!A183</f>
        <v>F36</v>
      </c>
      <c r="B172" s="2000" t="str">
        <f>F!B183</f>
        <v>Internal Gradient (Gradient)</v>
      </c>
      <c r="C172" s="1119" t="str">
        <f>F!C183</f>
        <v>The gradient from the lowest to highest point of land within the AA (or from outlet to inlet) is:</v>
      </c>
      <c r="D172" s="210"/>
      <c r="E172" s="65"/>
      <c r="F172" s="867"/>
      <c r="G172" s="954">
        <f>MAX(F173:F176)/MAX(E173:E176)</f>
        <v>0</v>
      </c>
      <c r="H172" s="1896" t="s">
        <v>251</v>
      </c>
    </row>
    <row r="173" spans="1:8" ht="16.2" customHeight="1" x14ac:dyDescent="0.3">
      <c r="A173" s="2001"/>
      <c r="B173" s="2000"/>
      <c r="C173" s="1147" t="str">
        <f>F!C184</f>
        <v>&lt;2% (internal flow is absent or barely detectable; basically flat).</v>
      </c>
      <c r="D173" s="47">
        <f>F!D184</f>
        <v>0</v>
      </c>
      <c r="E173" s="49">
        <v>4</v>
      </c>
      <c r="F173" s="844">
        <f>D173*E173</f>
        <v>0</v>
      </c>
      <c r="G173" s="792"/>
      <c r="H173" s="1623"/>
    </row>
    <row r="174" spans="1:8" ht="16.2" customHeight="1" x14ac:dyDescent="0.3">
      <c r="A174" s="2001"/>
      <c r="B174" s="2000"/>
      <c r="C174" s="1145" t="str">
        <f>F!C185</f>
        <v>2 to &lt;6%.</v>
      </c>
      <c r="D174" s="47">
        <f>F!D185</f>
        <v>0</v>
      </c>
      <c r="E174" s="49">
        <v>2</v>
      </c>
      <c r="F174" s="844">
        <f>D174*E174</f>
        <v>0</v>
      </c>
      <c r="G174" s="793"/>
      <c r="H174" s="1623"/>
    </row>
    <row r="175" spans="1:8" ht="16.2" customHeight="1" x14ac:dyDescent="0.3">
      <c r="A175" s="2001"/>
      <c r="B175" s="2000"/>
      <c r="C175" s="1145" t="str">
        <f>F!C186</f>
        <v>6 to 10%.</v>
      </c>
      <c r="D175" s="47">
        <f>F!D186</f>
        <v>0</v>
      </c>
      <c r="E175" s="49">
        <v>1</v>
      </c>
      <c r="F175" s="844">
        <f>D175*E175</f>
        <v>0</v>
      </c>
      <c r="G175" s="793"/>
      <c r="H175" s="1623"/>
    </row>
    <row r="176" spans="1:8" ht="16.2" customHeight="1" thickBot="1" x14ac:dyDescent="0.35">
      <c r="A176" s="2001"/>
      <c r="B176" s="2000"/>
      <c r="C176" s="1145" t="str">
        <f>F!C187</f>
        <v>&gt;10%.</v>
      </c>
      <c r="D176" s="80">
        <f>F!D187</f>
        <v>0</v>
      </c>
      <c r="E176" s="67">
        <v>0</v>
      </c>
      <c r="F176" s="844">
        <f>D176*E176</f>
        <v>0</v>
      </c>
      <c r="G176" s="800"/>
      <c r="H176" s="1897"/>
    </row>
    <row r="177" spans="1:8" ht="30" customHeight="1" thickBot="1" x14ac:dyDescent="0.35">
      <c r="A177" s="2011" t="str">
        <f>F!A193</f>
        <v>F38</v>
      </c>
      <c r="B177" s="2002" t="str">
        <f>F!B193</f>
        <v>Unshaded Herbaceous Vegetation (Extent)  (HerbExpos)</v>
      </c>
      <c r="C177" s="1115" t="str">
        <f>F!C193</f>
        <v>The annual maximum areal cover of herbaceous vegetation (excluding SAV, ferns, and mosses, but including forbs &amp; graminoids) that is not beneath a woody canopy reaches:</v>
      </c>
      <c r="D177" s="549"/>
      <c r="E177" s="210"/>
      <c r="F177" s="1044"/>
      <c r="G177" s="815">
        <f>MAX(F178:F182)/MAX(E178:E182)</f>
        <v>0</v>
      </c>
      <c r="H177" s="1599" t="s">
        <v>707</v>
      </c>
    </row>
    <row r="178" spans="1:8" ht="16.2" customHeight="1" x14ac:dyDescent="0.3">
      <c r="A178" s="2001"/>
      <c r="B178" s="2000"/>
      <c r="C178" s="1116" t="str">
        <f>F!C194</f>
        <v>&lt;5% of the vegetated part of the AA.  Enter 1 and SKIP to F42.</v>
      </c>
      <c r="D178" s="47">
        <f>F!D194</f>
        <v>0</v>
      </c>
      <c r="E178" s="49">
        <v>0</v>
      </c>
      <c r="F178" s="844">
        <f>D178*E178</f>
        <v>0</v>
      </c>
      <c r="G178" s="793"/>
      <c r="H178" s="1582"/>
    </row>
    <row r="179" spans="1:8" ht="16.2" customHeight="1" x14ac:dyDescent="0.3">
      <c r="A179" s="2001"/>
      <c r="B179" s="2000"/>
      <c r="C179" s="1117" t="str">
        <f>F!C195</f>
        <v>5 to &lt;25% of the vegetated part of the AA.</v>
      </c>
      <c r="D179" s="47">
        <f>F!D195</f>
        <v>0</v>
      </c>
      <c r="E179" s="49">
        <v>2</v>
      </c>
      <c r="F179" s="844">
        <f>D179*E179</f>
        <v>0</v>
      </c>
      <c r="G179" s="793"/>
      <c r="H179" s="1582"/>
    </row>
    <row r="180" spans="1:8" ht="16.2" customHeight="1" x14ac:dyDescent="0.3">
      <c r="A180" s="2001"/>
      <c r="B180" s="2000"/>
      <c r="C180" s="1117" t="str">
        <f>F!C196</f>
        <v>25 to &lt;50% of the vegetated part of the AA.</v>
      </c>
      <c r="D180" s="47">
        <f>F!D196</f>
        <v>0</v>
      </c>
      <c r="E180" s="49">
        <v>3</v>
      </c>
      <c r="F180" s="844">
        <f>D180*E180</f>
        <v>0</v>
      </c>
      <c r="G180" s="793"/>
      <c r="H180" s="1582"/>
    </row>
    <row r="181" spans="1:8" ht="16.2" customHeight="1" x14ac:dyDescent="0.3">
      <c r="A181" s="2001"/>
      <c r="B181" s="2000"/>
      <c r="C181" s="1117" t="str">
        <f>F!C197</f>
        <v>50-95% of the vegetated part of the AA.</v>
      </c>
      <c r="D181" s="47">
        <f>F!D197</f>
        <v>0</v>
      </c>
      <c r="E181" s="49">
        <v>4</v>
      </c>
      <c r="F181" s="844">
        <f>D181*E181</f>
        <v>0</v>
      </c>
      <c r="G181" s="793"/>
      <c r="H181" s="1582"/>
    </row>
    <row r="182" spans="1:8" ht="16.2" customHeight="1" thickBot="1" x14ac:dyDescent="0.35">
      <c r="A182" s="2012"/>
      <c r="B182" s="2003"/>
      <c r="C182" s="1118" t="str">
        <f>F!C198</f>
        <v>&gt;95% of the vegetated part of the AA.</v>
      </c>
      <c r="D182" s="80">
        <f>F!D198</f>
        <v>0</v>
      </c>
      <c r="E182" s="245">
        <v>5</v>
      </c>
      <c r="F182" s="845">
        <f>D182*E182</f>
        <v>0</v>
      </c>
      <c r="G182" s="794"/>
      <c r="H182" s="1600"/>
    </row>
    <row r="183" spans="1:8" ht="56.25" customHeight="1" thickBot="1" x14ac:dyDescent="0.35">
      <c r="A183" s="2011" t="str">
        <f>F!A213</f>
        <v>F42</v>
      </c>
      <c r="B183" s="2002" t="str">
        <f>F!B213</f>
        <v>Mowing, Grazing, Fire (VegCut)</v>
      </c>
      <c r="C183" s="1110" t="str">
        <f>F!C213</f>
        <v>There is evidence that grazing by domestic or wild animals -- or mowing (multiple times per year), plowing, herbicides, harvesting, or fire -- has repeatedly reduced the AA's vegetation cover (plants that normally grows taller than 4") to less than 4 inches, or has created an obvious browse line, over the following extent:</v>
      </c>
      <c r="D183" s="549"/>
      <c r="E183" s="1007"/>
      <c r="F183" s="955"/>
      <c r="G183" s="815">
        <f>MAX(F184:F188)/MAX(E184:E188)</f>
        <v>0</v>
      </c>
      <c r="H183" s="1622" t="s">
        <v>762</v>
      </c>
    </row>
    <row r="184" spans="1:8" ht="16.2" customHeight="1" x14ac:dyDescent="0.3">
      <c r="A184" s="2001"/>
      <c r="B184" s="2000"/>
      <c r="C184" s="1132" t="str">
        <f>F!C214</f>
        <v>0% (No evidence of such activities).</v>
      </c>
      <c r="D184" s="47">
        <f>F!D214</f>
        <v>0</v>
      </c>
      <c r="E184" s="952">
        <v>2</v>
      </c>
      <c r="F184" s="45">
        <f>D184*E184</f>
        <v>0</v>
      </c>
      <c r="G184" s="956"/>
      <c r="H184" s="1623"/>
    </row>
    <row r="185" spans="1:8" ht="27" customHeight="1" x14ac:dyDescent="0.3">
      <c r="A185" s="2001"/>
      <c r="B185" s="2000"/>
      <c r="C185" s="1133" t="str">
        <f>F!C215</f>
        <v>Trace to 5% of the normally vegetated AA (grazing, mowing, or fire have occurred but vegetation height effects are mostly unnoticeable).</v>
      </c>
      <c r="D185" s="47">
        <f>F!D215</f>
        <v>0</v>
      </c>
      <c r="E185" s="952">
        <v>4</v>
      </c>
      <c r="F185" s="45">
        <f>D185*E185</f>
        <v>0</v>
      </c>
      <c r="G185" s="957"/>
      <c r="H185" s="1623"/>
    </row>
    <row r="186" spans="1:8" ht="16.2" customHeight="1" x14ac:dyDescent="0.3">
      <c r="A186" s="2001"/>
      <c r="B186" s="2000"/>
      <c r="C186" s="1133" t="str">
        <f>F!C216</f>
        <v>5 to &lt;50% of the normally vegetated AA.</v>
      </c>
      <c r="D186" s="47">
        <f>F!D216</f>
        <v>0</v>
      </c>
      <c r="E186" s="952">
        <v>2</v>
      </c>
      <c r="F186" s="45">
        <f>D186*E186</f>
        <v>0</v>
      </c>
      <c r="G186" s="957"/>
      <c r="H186" s="1623"/>
    </row>
    <row r="187" spans="1:8" ht="16.2" customHeight="1" x14ac:dyDescent="0.3">
      <c r="A187" s="2001"/>
      <c r="B187" s="2000"/>
      <c r="C187" s="1133" t="str">
        <f>F!C217</f>
        <v>50 to 95% of the normally vegetated AA.</v>
      </c>
      <c r="D187" s="47">
        <f>F!D217</f>
        <v>0</v>
      </c>
      <c r="E187" s="952">
        <v>1</v>
      </c>
      <c r="F187" s="45">
        <f>D187*E187</f>
        <v>0</v>
      </c>
      <c r="G187" s="959"/>
      <c r="H187" s="1623"/>
    </row>
    <row r="188" spans="1:8" ht="16.2" customHeight="1" thickBot="1" x14ac:dyDescent="0.35">
      <c r="A188" s="2012"/>
      <c r="B188" s="2003"/>
      <c r="C188" s="1134" t="str">
        <f>F!C218</f>
        <v>&gt;95% of the normally vegetated AA.</v>
      </c>
      <c r="D188" s="80">
        <f>F!D218</f>
        <v>0</v>
      </c>
      <c r="E188" s="1008">
        <v>0</v>
      </c>
      <c r="F188" s="193">
        <f>D188*E188</f>
        <v>0</v>
      </c>
      <c r="G188" s="958"/>
      <c r="H188" s="1624"/>
    </row>
    <row r="189" spans="1:8" ht="60" customHeight="1" thickBot="1" x14ac:dyDescent="0.35">
      <c r="A189" s="1135" t="str">
        <f>F!A220</f>
        <v>F44</v>
      </c>
      <c r="B189" s="1148" t="str">
        <f>F!B220</f>
        <v>Moss Wetland (Moss)</v>
      </c>
      <c r="C189" s="6" t="str">
        <f>F!C220</f>
        <v>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Enter 1, if true.</v>
      </c>
      <c r="D189" s="1144">
        <f>F!D220</f>
        <v>0</v>
      </c>
      <c r="E189" s="1031"/>
      <c r="F189" s="877"/>
      <c r="G189" s="1149">
        <f>IF((D189=1),0,1)</f>
        <v>1</v>
      </c>
      <c r="H189" s="712" t="s">
        <v>706</v>
      </c>
    </row>
    <row r="190" spans="1:8" ht="30" customHeight="1" thickBot="1" x14ac:dyDescent="0.35">
      <c r="A190" s="2011" t="str">
        <f>F!A260</f>
        <v>F52</v>
      </c>
      <c r="B190" s="2002" t="str">
        <f>F!B260</f>
        <v>Upland Perennial Cover - % of Perimeter (PerimPctPer)</v>
      </c>
      <c r="C190" s="1110" t="str">
        <f>F!C260</f>
        <v xml:space="preserve">The percentage of the AA's edge (perimeter) that is comprised of a band of upland perennial cover wider than 10 ft and taller than 6 inches, during most of the growing season is:  </v>
      </c>
      <c r="D190" s="549"/>
      <c r="E190" s="210"/>
      <c r="F190" s="192"/>
      <c r="G190" s="815">
        <f>MAX(F191:F196)/MAX(E191:E196)</f>
        <v>0</v>
      </c>
      <c r="H190" s="1599" t="s">
        <v>1973</v>
      </c>
    </row>
    <row r="191" spans="1:8" ht="16.2" customHeight="1" x14ac:dyDescent="0.3">
      <c r="A191" s="2028"/>
      <c r="B191" s="1985"/>
      <c r="C191" s="6" t="str">
        <f>F!C261</f>
        <v>&lt;5%.</v>
      </c>
      <c r="D191" s="47">
        <f>F!D261</f>
        <v>0</v>
      </c>
      <c r="E191" s="49">
        <v>0</v>
      </c>
      <c r="F191" s="45">
        <f t="shared" ref="F191:F196" si="9">D191*E191</f>
        <v>0</v>
      </c>
      <c r="G191" s="957"/>
      <c r="H191" s="1582"/>
    </row>
    <row r="192" spans="1:8" ht="16.2" customHeight="1" x14ac:dyDescent="0.3">
      <c r="A192" s="2028"/>
      <c r="B192" s="1985"/>
      <c r="C192" s="1131" t="str">
        <f>F!C262</f>
        <v>5 to &lt;25%.</v>
      </c>
      <c r="D192" s="47">
        <f>F!D262</f>
        <v>0</v>
      </c>
      <c r="E192" s="49">
        <v>2</v>
      </c>
      <c r="F192" s="45">
        <f t="shared" si="9"/>
        <v>0</v>
      </c>
      <c r="G192" s="957"/>
      <c r="H192" s="1582"/>
    </row>
    <row r="193" spans="1:8" ht="16.2" customHeight="1" x14ac:dyDescent="0.3">
      <c r="A193" s="2028"/>
      <c r="B193" s="1985"/>
      <c r="C193" s="1131" t="str">
        <f>F!C263</f>
        <v>25 to &lt;50%.</v>
      </c>
      <c r="D193" s="47">
        <f>F!D263</f>
        <v>0</v>
      </c>
      <c r="E193" s="49">
        <v>3</v>
      </c>
      <c r="F193" s="45">
        <f t="shared" si="9"/>
        <v>0</v>
      </c>
      <c r="G193" s="957"/>
      <c r="H193" s="1582"/>
    </row>
    <row r="194" spans="1:8" ht="16.2" customHeight="1" x14ac:dyDescent="0.3">
      <c r="A194" s="2028"/>
      <c r="B194" s="1985"/>
      <c r="C194" s="1131" t="str">
        <f>F!C264</f>
        <v>50 to &lt;75%.</v>
      </c>
      <c r="D194" s="47">
        <f>F!D264</f>
        <v>0</v>
      </c>
      <c r="E194" s="49">
        <v>4</v>
      </c>
      <c r="F194" s="45">
        <f t="shared" si="9"/>
        <v>0</v>
      </c>
      <c r="G194" s="957"/>
      <c r="H194" s="1582"/>
    </row>
    <row r="195" spans="1:8" ht="16.2" customHeight="1" x14ac:dyDescent="0.3">
      <c r="A195" s="2028"/>
      <c r="B195" s="1985"/>
      <c r="C195" s="1131" t="str">
        <f>F!C265</f>
        <v>75 to 95%.</v>
      </c>
      <c r="D195" s="47">
        <f>F!D265</f>
        <v>0</v>
      </c>
      <c r="E195" s="49">
        <v>5</v>
      </c>
      <c r="F195" s="45">
        <f t="shared" si="9"/>
        <v>0</v>
      </c>
      <c r="G195" s="957"/>
      <c r="H195" s="1582"/>
    </row>
    <row r="196" spans="1:8" ht="16.2" customHeight="1" thickBot="1" x14ac:dyDescent="0.35">
      <c r="A196" s="2029"/>
      <c r="B196" s="1654"/>
      <c r="C196" s="1134" t="str">
        <f>F!C266</f>
        <v>&gt;95%.</v>
      </c>
      <c r="D196" s="80">
        <f>F!D266</f>
        <v>0</v>
      </c>
      <c r="E196" s="245">
        <v>6</v>
      </c>
      <c r="F196" s="193">
        <f t="shared" si="9"/>
        <v>0</v>
      </c>
      <c r="G196" s="958"/>
      <c r="H196" s="1600"/>
    </row>
    <row r="197" spans="1:8" ht="73.5" customHeight="1" thickBot="1" x14ac:dyDescent="0.35">
      <c r="A197" s="2011" t="str">
        <f>F!A267</f>
        <v>F53</v>
      </c>
      <c r="B197" s="2002" t="str">
        <f>F!B267</f>
        <v>Upland Perennial Cover - Width (Buffer)  (BuffWidth)</v>
      </c>
      <c r="C197" s="1137"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97" s="210"/>
      <c r="E197" s="210"/>
      <c r="F197" s="241"/>
      <c r="G197" s="815">
        <f>MAX(F198:F203)/MAX(E198:E203)</f>
        <v>0</v>
      </c>
      <c r="H197" s="1599" t="s">
        <v>763</v>
      </c>
    </row>
    <row r="198" spans="1:8" ht="16.2" customHeight="1" x14ac:dyDescent="0.3">
      <c r="A198" s="2028"/>
      <c r="B198" s="1985"/>
      <c r="C198" s="6" t="str">
        <f>F!C268</f>
        <v xml:space="preserve">&lt; 5 ft, or none.  </v>
      </c>
      <c r="D198" s="47">
        <f>F!D268</f>
        <v>0</v>
      </c>
      <c r="E198" s="49">
        <v>0</v>
      </c>
      <c r="F198" s="45">
        <f t="shared" ref="F198:F203" si="10">D198*E198</f>
        <v>0</v>
      </c>
      <c r="G198" s="956"/>
      <c r="H198" s="1582"/>
    </row>
    <row r="199" spans="1:8" ht="16.2" customHeight="1" x14ac:dyDescent="0.3">
      <c r="A199" s="2028"/>
      <c r="B199" s="1985"/>
      <c r="C199" s="1131" t="str">
        <f>F!C269</f>
        <v>5 to &lt;30 ft.</v>
      </c>
      <c r="D199" s="47">
        <f>F!D269</f>
        <v>0</v>
      </c>
      <c r="E199" s="49">
        <v>2</v>
      </c>
      <c r="F199" s="45">
        <f t="shared" si="10"/>
        <v>0</v>
      </c>
      <c r="G199" s="957"/>
      <c r="H199" s="1582"/>
    </row>
    <row r="200" spans="1:8" ht="16.2" customHeight="1" x14ac:dyDescent="0.3">
      <c r="A200" s="2028"/>
      <c r="B200" s="1985"/>
      <c r="C200" s="1131" t="str">
        <f>F!C270</f>
        <v>30 to &lt;50 ft.</v>
      </c>
      <c r="D200" s="47">
        <f>F!D270</f>
        <v>0</v>
      </c>
      <c r="E200" s="49">
        <v>3</v>
      </c>
      <c r="F200" s="45">
        <f t="shared" si="10"/>
        <v>0</v>
      </c>
      <c r="G200" s="957"/>
      <c r="H200" s="1582"/>
    </row>
    <row r="201" spans="1:8" ht="16.2" customHeight="1" x14ac:dyDescent="0.3">
      <c r="A201" s="2028"/>
      <c r="B201" s="1985"/>
      <c r="C201" s="1131" t="str">
        <f>F!C271</f>
        <v>50 to &lt;100 ft.</v>
      </c>
      <c r="D201" s="47">
        <f>F!D271</f>
        <v>0</v>
      </c>
      <c r="E201" s="49">
        <v>4</v>
      </c>
      <c r="F201" s="45">
        <f t="shared" si="10"/>
        <v>0</v>
      </c>
      <c r="G201" s="957"/>
      <c r="H201" s="1582"/>
    </row>
    <row r="202" spans="1:8" ht="16.2" customHeight="1" x14ac:dyDescent="0.3">
      <c r="A202" s="2028"/>
      <c r="B202" s="1985"/>
      <c r="C202" s="1131" t="str">
        <f>F!C272</f>
        <v>100  to 300 ft.</v>
      </c>
      <c r="D202" s="47">
        <f>F!D272</f>
        <v>0</v>
      </c>
      <c r="E202" s="49">
        <v>5</v>
      </c>
      <c r="F202" s="45">
        <f t="shared" si="10"/>
        <v>0</v>
      </c>
      <c r="G202" s="959"/>
      <c r="H202" s="1582"/>
    </row>
    <row r="203" spans="1:8" ht="16.2" customHeight="1" thickBot="1" x14ac:dyDescent="0.35">
      <c r="A203" s="2029"/>
      <c r="B203" s="1654"/>
      <c r="C203" s="1134" t="str">
        <f>F!C273</f>
        <v xml:space="preserve">&gt; 300 ft. </v>
      </c>
      <c r="D203" s="80">
        <f>F!D273</f>
        <v>0</v>
      </c>
      <c r="E203" s="245">
        <v>6</v>
      </c>
      <c r="F203" s="193">
        <f t="shared" si="10"/>
        <v>0</v>
      </c>
      <c r="G203" s="958"/>
      <c r="H203" s="1600"/>
    </row>
    <row r="204" spans="1:8" ht="30" customHeight="1" thickBot="1" x14ac:dyDescent="0.35">
      <c r="A204" s="2001" t="str">
        <f>F!A274</f>
        <v>F54</v>
      </c>
      <c r="B204" s="2000" t="str">
        <f>F!B274</f>
        <v>Upland Trees as % of All Perennial Cover (UpTreePctPer)</v>
      </c>
      <c r="C204" s="1112" t="str">
        <f>F!C274</f>
        <v>Within 100 f.t landward from the AA's edge (perimeter), the percentage of the upland perennial cover that is woody plants taller than 20 ft is:</v>
      </c>
      <c r="D204" s="549"/>
      <c r="E204" s="65"/>
      <c r="F204" s="46"/>
      <c r="G204" s="954">
        <f>IF((HistOpenland=1),"",MAX(F205:F210)/MAX(E205:E210))</f>
        <v>0</v>
      </c>
      <c r="H204" s="1582" t="s">
        <v>228</v>
      </c>
    </row>
    <row r="205" spans="1:8" ht="16.2" customHeight="1" x14ac:dyDescent="0.3">
      <c r="A205" s="2001"/>
      <c r="B205" s="2000"/>
      <c r="C205" s="1116" t="str">
        <f>F!C275</f>
        <v>&lt;5%, or there is no upland perennial cover along the upland edge.</v>
      </c>
      <c r="D205" s="47">
        <f>F!D275</f>
        <v>0</v>
      </c>
      <c r="E205" s="49">
        <v>3</v>
      </c>
      <c r="F205" s="45">
        <f t="shared" ref="F205:F210" si="11">D205*E205</f>
        <v>0</v>
      </c>
      <c r="G205" s="957"/>
      <c r="H205" s="1582"/>
    </row>
    <row r="206" spans="1:8" ht="16.2" customHeight="1" x14ac:dyDescent="0.3">
      <c r="A206" s="2001"/>
      <c r="B206" s="2000"/>
      <c r="C206" s="1117" t="str">
        <f>F!C276</f>
        <v>5 to &lt;25% of perennial cover.</v>
      </c>
      <c r="D206" s="47">
        <f>F!D276</f>
        <v>0</v>
      </c>
      <c r="E206" s="49">
        <v>3</v>
      </c>
      <c r="F206" s="45">
        <f t="shared" si="11"/>
        <v>0</v>
      </c>
      <c r="G206" s="957"/>
      <c r="H206" s="1582"/>
    </row>
    <row r="207" spans="1:8" ht="16.2" customHeight="1" x14ac:dyDescent="0.3">
      <c r="A207" s="2001"/>
      <c r="B207" s="2000"/>
      <c r="C207" s="1117" t="str">
        <f>F!C277</f>
        <v>25 to &lt;50% of perennial cover.</v>
      </c>
      <c r="D207" s="47">
        <f>F!D277</f>
        <v>0</v>
      </c>
      <c r="E207" s="49">
        <v>3</v>
      </c>
      <c r="F207" s="45">
        <f t="shared" si="11"/>
        <v>0</v>
      </c>
      <c r="G207" s="957"/>
      <c r="H207" s="1582"/>
    </row>
    <row r="208" spans="1:8" ht="16.2" customHeight="1" x14ac:dyDescent="0.3">
      <c r="A208" s="2001"/>
      <c r="B208" s="2000"/>
      <c r="C208" s="1117" t="str">
        <f>F!C278</f>
        <v>50 to &lt;75% of perennial cover.</v>
      </c>
      <c r="D208" s="47">
        <f>F!D278</f>
        <v>0</v>
      </c>
      <c r="E208" s="49">
        <v>2</v>
      </c>
      <c r="F208" s="45">
        <f t="shared" si="11"/>
        <v>0</v>
      </c>
      <c r="G208" s="957"/>
      <c r="H208" s="1582"/>
    </row>
    <row r="209" spans="1:8" ht="16.2" customHeight="1" x14ac:dyDescent="0.3">
      <c r="A209" s="2001"/>
      <c r="B209" s="2000"/>
      <c r="C209" s="1117" t="str">
        <f>F!C279</f>
        <v>75 to 95% of perennial cover.</v>
      </c>
      <c r="D209" s="47">
        <f>F!D279</f>
        <v>0</v>
      </c>
      <c r="E209" s="49">
        <v>1</v>
      </c>
      <c r="F209" s="45">
        <f t="shared" si="11"/>
        <v>0</v>
      </c>
      <c r="G209" s="957"/>
      <c r="H209" s="1582"/>
    </row>
    <row r="210" spans="1:8" ht="16.2" customHeight="1" thickBot="1" x14ac:dyDescent="0.35">
      <c r="A210" s="2001"/>
      <c r="B210" s="2000"/>
      <c r="C210" s="1145" t="str">
        <f>F!C280</f>
        <v>&gt;95% of perennial cover.</v>
      </c>
      <c r="D210" s="80">
        <f>F!D280</f>
        <v>0</v>
      </c>
      <c r="E210" s="67">
        <v>0</v>
      </c>
      <c r="F210" s="54">
        <f t="shared" si="11"/>
        <v>0</v>
      </c>
      <c r="G210" s="959"/>
      <c r="H210" s="1582"/>
    </row>
    <row r="211" spans="1:8" ht="60" customHeight="1" thickBot="1" x14ac:dyDescent="0.35">
      <c r="A211" s="2011" t="str">
        <f>F!A328</f>
        <v>F68</v>
      </c>
      <c r="B211" s="2002" t="str">
        <f>F!B328</f>
        <v>Core Area 1 (VisitNo)</v>
      </c>
      <c r="C211" s="1110"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211" s="549"/>
      <c r="E211" s="1007"/>
      <c r="F211" s="955"/>
      <c r="G211" s="815">
        <f>MAX(F212:F217)/MAX(E212:E217)</f>
        <v>0</v>
      </c>
      <c r="H211" s="1599" t="s">
        <v>136</v>
      </c>
    </row>
    <row r="212" spans="1:8" ht="16.2" customHeight="1" x14ac:dyDescent="0.3">
      <c r="A212" s="2001"/>
      <c r="B212" s="2000"/>
      <c r="C212" s="439" t="str">
        <f>F!C329</f>
        <v>&lt;5% and no inhabited building is within 300 ft of the AA.</v>
      </c>
      <c r="D212" s="47">
        <f>F!D329</f>
        <v>0</v>
      </c>
      <c r="E212" s="1045">
        <v>1</v>
      </c>
      <c r="F212" s="45">
        <f t="shared" ref="F212:F217" si="12">D212*E212</f>
        <v>0</v>
      </c>
      <c r="G212" s="956"/>
      <c r="H212" s="1582"/>
    </row>
    <row r="213" spans="1:8" ht="16.2" customHeight="1" x14ac:dyDescent="0.3">
      <c r="A213" s="2001"/>
      <c r="B213" s="2000"/>
      <c r="C213" s="440" t="str">
        <f>F!C330</f>
        <v>&lt;5% and inhabited building is within 300 ft of the AA.</v>
      </c>
      <c r="D213" s="47">
        <f>F!D330</f>
        <v>0</v>
      </c>
      <c r="E213" s="1045">
        <v>0</v>
      </c>
      <c r="F213" s="45">
        <f t="shared" si="12"/>
        <v>0</v>
      </c>
      <c r="G213" s="957"/>
      <c r="H213" s="1582"/>
    </row>
    <row r="214" spans="1:8" ht="16.2" customHeight="1" x14ac:dyDescent="0.3">
      <c r="A214" s="2001"/>
      <c r="B214" s="2000"/>
      <c r="C214" s="440" t="str">
        <f>F!C331</f>
        <v>5 to &lt;50% and no inhabited building is within 300 ft of the AA.</v>
      </c>
      <c r="D214" s="47">
        <f>F!D331</f>
        <v>0</v>
      </c>
      <c r="E214" s="1045">
        <v>3</v>
      </c>
      <c r="F214" s="45">
        <f t="shared" si="12"/>
        <v>0</v>
      </c>
      <c r="G214" s="957"/>
      <c r="H214" s="1582"/>
    </row>
    <row r="215" spans="1:8" ht="16.2" customHeight="1" x14ac:dyDescent="0.3">
      <c r="A215" s="2001"/>
      <c r="B215" s="2000"/>
      <c r="C215" s="440" t="str">
        <f>F!C332</f>
        <v>5 to &lt;50% and inhabited building is within 300 ft of the AA.</v>
      </c>
      <c r="D215" s="47">
        <f>F!D332</f>
        <v>0</v>
      </c>
      <c r="E215" s="1045">
        <v>2</v>
      </c>
      <c r="F215" s="45">
        <f t="shared" si="12"/>
        <v>0</v>
      </c>
      <c r="G215" s="959"/>
      <c r="H215" s="1582"/>
    </row>
    <row r="216" spans="1:8" ht="16.2" customHeight="1" x14ac:dyDescent="0.3">
      <c r="A216" s="2001"/>
      <c r="B216" s="2000"/>
      <c r="C216" s="440" t="str">
        <f>F!C333</f>
        <v>50 to 95% with or without inhabited building nearby.</v>
      </c>
      <c r="D216" s="47">
        <f>F!D333</f>
        <v>0</v>
      </c>
      <c r="E216" s="1045">
        <v>4</v>
      </c>
      <c r="F216" s="45">
        <f t="shared" si="12"/>
        <v>0</v>
      </c>
      <c r="G216" s="959"/>
      <c r="H216" s="1582"/>
    </row>
    <row r="217" spans="1:8" ht="16.2" customHeight="1" thickBot="1" x14ac:dyDescent="0.35">
      <c r="A217" s="2012"/>
      <c r="B217" s="2003"/>
      <c r="C217" s="451" t="str">
        <f>F!C334</f>
        <v>&gt;95% of the AA with or without inhabited building nearby.</v>
      </c>
      <c r="D217" s="80">
        <f>F!D334</f>
        <v>0</v>
      </c>
      <c r="E217" s="1046">
        <v>5</v>
      </c>
      <c r="F217" s="193">
        <f t="shared" si="12"/>
        <v>0</v>
      </c>
      <c r="G217" s="958"/>
      <c r="H217" s="1600"/>
    </row>
    <row r="218" spans="1:8" ht="30" customHeight="1" thickBot="1" x14ac:dyDescent="0.35">
      <c r="A218" s="2001" t="str">
        <f>F!A335</f>
        <v>F69</v>
      </c>
      <c r="B218" s="2000" t="str">
        <f>F!B335</f>
        <v>Core Area 2 (VisitOften)</v>
      </c>
      <c r="C218" s="1130" t="str">
        <f>F!C335</f>
        <v>The part of the AA visited by humans almost daily for several weeks during an average growing season probably comprises:  [The Note in the preceding question applies here as well].</v>
      </c>
      <c r="D218" s="549"/>
      <c r="E218" s="1047"/>
      <c r="F218" s="963"/>
      <c r="G218" s="954">
        <f>MAX(F219:F222)/MAX(E219:E222)</f>
        <v>0</v>
      </c>
      <c r="H218" s="1582" t="s">
        <v>124</v>
      </c>
    </row>
    <row r="219" spans="1:8" ht="16.2" customHeight="1" x14ac:dyDescent="0.3">
      <c r="A219" s="2001"/>
      <c r="B219" s="2000"/>
      <c r="C219" s="1132" t="str">
        <f>F!C336</f>
        <v>&lt;5%.</v>
      </c>
      <c r="D219" s="47">
        <f>F!D336</f>
        <v>0</v>
      </c>
      <c r="E219" s="1045">
        <v>3</v>
      </c>
      <c r="F219" s="45">
        <f>D219*E219</f>
        <v>0</v>
      </c>
      <c r="G219" s="956"/>
      <c r="H219" s="1582"/>
    </row>
    <row r="220" spans="1:8" ht="16.2" customHeight="1" x14ac:dyDescent="0.3">
      <c r="A220" s="2001"/>
      <c r="B220" s="2000"/>
      <c r="C220" s="1133" t="str">
        <f>F!C337</f>
        <v>5 to &lt;50%.</v>
      </c>
      <c r="D220" s="47">
        <f>F!D337</f>
        <v>0</v>
      </c>
      <c r="E220" s="1045">
        <v>2</v>
      </c>
      <c r="F220" s="45">
        <f>D220*E220</f>
        <v>0</v>
      </c>
      <c r="G220" s="957"/>
      <c r="H220" s="1582"/>
    </row>
    <row r="221" spans="1:8" ht="16.2" customHeight="1" x14ac:dyDescent="0.3">
      <c r="A221" s="2001"/>
      <c r="B221" s="2000"/>
      <c r="C221" s="1133" t="str">
        <f>F!C338</f>
        <v>50 to 95%.</v>
      </c>
      <c r="D221" s="47">
        <f>F!D338</f>
        <v>0</v>
      </c>
      <c r="E221" s="1045">
        <v>1</v>
      </c>
      <c r="F221" s="45">
        <f>D221*E221</f>
        <v>0</v>
      </c>
      <c r="G221" s="957"/>
      <c r="H221" s="1582"/>
    </row>
    <row r="222" spans="1:8" ht="16.2" customHeight="1" thickBot="1" x14ac:dyDescent="0.35">
      <c r="A222" s="2001"/>
      <c r="B222" s="2000"/>
      <c r="C222" s="1131" t="str">
        <f>F!C339</f>
        <v>&gt;95% of the AA.</v>
      </c>
      <c r="D222" s="242">
        <f>F!D339</f>
        <v>0</v>
      </c>
      <c r="E222" s="1048">
        <v>0</v>
      </c>
      <c r="F222" s="54">
        <f>D222*E222</f>
        <v>0</v>
      </c>
      <c r="G222" s="959"/>
      <c r="H222" s="1582"/>
    </row>
    <row r="223" spans="1:8" s="372" customFormat="1" ht="36" customHeight="1" thickBot="1" x14ac:dyDescent="0.3">
      <c r="A223" s="362" t="s">
        <v>126</v>
      </c>
      <c r="B223" s="1150" t="s">
        <v>1463</v>
      </c>
      <c r="C223" s="442" t="s">
        <v>1271</v>
      </c>
      <c r="D223" s="1151" t="s">
        <v>115</v>
      </c>
      <c r="E223" s="863" t="s">
        <v>771</v>
      </c>
      <c r="F223" s="363" t="s">
        <v>1475</v>
      </c>
      <c r="G223" s="824" t="s">
        <v>770</v>
      </c>
      <c r="H223" s="363" t="s">
        <v>772</v>
      </c>
    </row>
    <row r="224" spans="1:8" ht="44.25" customHeight="1" thickBot="1" x14ac:dyDescent="0.35">
      <c r="A224" s="1978" t="str">
        <f>OF!A48</f>
        <v>OF8</v>
      </c>
      <c r="B224" s="1599" t="str">
        <f>OF!B48</f>
        <v>Wetland Type Local Uniqueness (UniqPatch)</v>
      </c>
      <c r="C224" s="75" t="str">
        <f>OF!C48</f>
        <v xml:space="preserve"> Select EACH of the vegetation types below that comprise more than 10% of the AA AND less than
 10% of a 0.5 mile radius around the AA. (See Column E).</v>
      </c>
      <c r="D224" s="549"/>
      <c r="E224" s="1007"/>
      <c r="F224" s="955"/>
      <c r="G224" s="810">
        <f>D225</f>
        <v>0</v>
      </c>
      <c r="H224" s="1622" t="s">
        <v>45</v>
      </c>
    </row>
    <row r="225" spans="1:8" ht="31.5" customHeight="1" thickBot="1" x14ac:dyDescent="0.35">
      <c r="A225" s="1980"/>
      <c r="B225" s="1600"/>
      <c r="C225" s="465" t="str">
        <f>OF!C49</f>
        <v>Herbaceous vegetation (perennial grasses, sedges, forbs; not under a woody canopy; not crops).</v>
      </c>
      <c r="D225" s="242">
        <f>OF!D49</f>
        <v>0</v>
      </c>
      <c r="E225" s="1008"/>
      <c r="F225" s="1124"/>
      <c r="G225" s="1037"/>
      <c r="H225" s="1624"/>
    </row>
    <row r="226" spans="1:8" ht="45" customHeight="1" thickBot="1" x14ac:dyDescent="0.35">
      <c r="A226" s="1797" t="str">
        <f>OF!A87</f>
        <v>OF15</v>
      </c>
      <c r="B226" s="1521" t="str">
        <f>OF!B87</f>
        <v>Landscape Functional Deficit (GISscore)</v>
      </c>
      <c r="C226" s="244" t="str">
        <f>OF!C87</f>
        <v xml:space="preserve">In the ORWAP Report, find the AA's 12-digit HUC code.  Then, find that HUC code in the FuncDeficit worksheet in the accompanying Supp_Info file. Select All functions below that have a notation for that HUC code. </v>
      </c>
      <c r="D226" s="549"/>
      <c r="E226" s="1009"/>
      <c r="F226" s="1152"/>
      <c r="G226" s="994"/>
      <c r="H226" s="1582" t="s">
        <v>674</v>
      </c>
    </row>
    <row r="227" spans="1:8" ht="16.2" customHeight="1" thickBot="1" x14ac:dyDescent="0.35">
      <c r="A227" s="1797"/>
      <c r="B227" s="1521"/>
      <c r="C227" s="2" t="str">
        <f>OF!C95</f>
        <v>Waterbird habitat (WB)</v>
      </c>
      <c r="D227" s="80">
        <f>OF!D95</f>
        <v>0</v>
      </c>
      <c r="E227" s="1010"/>
      <c r="F227" s="1114"/>
      <c r="G227" s="869">
        <f>IF((OF!D98=1),"",D227)</f>
        <v>0</v>
      </c>
      <c r="H227" s="1582"/>
    </row>
    <row r="228" spans="1:8" ht="45" customHeight="1" thickBot="1" x14ac:dyDescent="0.35">
      <c r="A228" s="1153" t="str">
        <f>OF!A98</f>
        <v>OF16</v>
      </c>
      <c r="B228" s="287" t="str">
        <f>OF!B98</f>
        <v>Conservation Designations of the AA or Local Area (ConDesig)</v>
      </c>
      <c r="C228" s="75" t="str">
        <f>OF!C101</f>
        <v>The AA is within an Important Bird Area (IBA), as officially designated, according to the map layer of that name.</v>
      </c>
      <c r="D228" s="1144">
        <f>OF!D101</f>
        <v>0</v>
      </c>
      <c r="E228" s="1011"/>
      <c r="F228" s="1154"/>
      <c r="G228" s="809">
        <f>D228</f>
        <v>0</v>
      </c>
      <c r="H228" s="730" t="s">
        <v>250</v>
      </c>
    </row>
    <row r="229" spans="1:8" ht="30" customHeight="1" thickBot="1" x14ac:dyDescent="0.35">
      <c r="A229" s="1978" t="str">
        <f>OF!A117</f>
        <v>OF20</v>
      </c>
      <c r="B229" s="1599" t="str">
        <f>OF!B117</f>
        <v>Nesting Waterbird Species of Conservation Concern (RareWBN)</v>
      </c>
      <c r="C229" s="75" t="str">
        <f>OF!C117</f>
        <v xml:space="preserve">According to the ORWAP Report, the score for occurrences of rare nesting waterbird species in the vicinity of this AA is: </v>
      </c>
      <c r="D229" s="549"/>
      <c r="E229" s="1007"/>
      <c r="F229" s="955"/>
      <c r="G229" s="810">
        <f>MAX(F230:F233)/MAX(E230:E233)</f>
        <v>0</v>
      </c>
      <c r="H229" s="1599" t="s">
        <v>249</v>
      </c>
    </row>
    <row r="230" spans="1:8" ht="42" customHeight="1" x14ac:dyDescent="0.3">
      <c r="A230" s="1979"/>
      <c r="B230" s="1582"/>
      <c r="C230" s="2" t="str">
        <f>OF!C118</f>
        <v>High (≥ 0.60 for maximum score, or ≥1.00 for this group's sum score), or there is a recent breeding-season observation of any of these species onsite by a qualified observer under conditions similar to what now occur.</v>
      </c>
      <c r="D230" s="47">
        <f>OF!D118</f>
        <v>0</v>
      </c>
      <c r="E230" s="952">
        <v>4</v>
      </c>
      <c r="F230" s="45">
        <f>D230*E230</f>
        <v>0</v>
      </c>
      <c r="G230" s="956"/>
      <c r="H230" s="1582"/>
    </row>
    <row r="231" spans="1:8" ht="16.2" customHeight="1" x14ac:dyDescent="0.3">
      <c r="A231" s="1979"/>
      <c r="B231" s="1582"/>
      <c r="C231" s="95" t="str">
        <f>OF!C119</f>
        <v>Intermediate (i.e., not as described above or below).</v>
      </c>
      <c r="D231" s="47">
        <f>OF!D119</f>
        <v>0</v>
      </c>
      <c r="E231" s="952">
        <v>2</v>
      </c>
      <c r="F231" s="45">
        <f>D231*E231</f>
        <v>0</v>
      </c>
      <c r="G231" s="957"/>
      <c r="H231" s="1582"/>
    </row>
    <row r="232" spans="1:8" ht="16.2" customHeight="1" x14ac:dyDescent="0.3">
      <c r="A232" s="1979"/>
      <c r="B232" s="1582"/>
      <c r="C232" s="95" t="str">
        <f>OF!C120</f>
        <v>Low (≤ 0.09 for maximum score and for sum score, but not 0 for both).</v>
      </c>
      <c r="D232" s="47">
        <f>OF!D120</f>
        <v>0</v>
      </c>
      <c r="E232" s="952">
        <v>1</v>
      </c>
      <c r="F232" s="45">
        <f>D232*E232</f>
        <v>0</v>
      </c>
      <c r="G232" s="957"/>
      <c r="H232" s="1582"/>
    </row>
    <row r="233" spans="1:8" ht="43.5" customHeight="1" thickBot="1" x14ac:dyDescent="0.35">
      <c r="A233" s="1980"/>
      <c r="B233" s="1600"/>
      <c r="C233" s="254" t="str">
        <f>OF!C121</f>
        <v>Zero for both this group's maximum and its sum score, and no recent onsite observation of these species during breeding season by a qualified observer under conditions similar to what now occur.</v>
      </c>
      <c r="D233" s="242">
        <f>OF!D121</f>
        <v>0</v>
      </c>
      <c r="E233" s="1008">
        <v>0</v>
      </c>
      <c r="F233" s="193">
        <f>D233*E233</f>
        <v>0</v>
      </c>
      <c r="G233" s="958"/>
      <c r="H233" s="1600"/>
    </row>
    <row r="234" spans="1:8" ht="30" customHeight="1" thickBot="1" x14ac:dyDescent="0.35">
      <c r="A234" s="1978" t="str">
        <f>OF!A145</f>
        <v>OF27</v>
      </c>
      <c r="B234" s="1599" t="str">
        <f>OF!B145</f>
        <v>Hydrologic Landscape (Arid)</v>
      </c>
      <c r="C234" s="836" t="str">
        <f>OF!C145</f>
        <v>According to the ORWAP Report,  the wetland is in a hydrologic landscape unit classified as:</v>
      </c>
      <c r="D234" s="549"/>
      <c r="E234" s="1007"/>
      <c r="F234" s="241"/>
      <c r="G234" s="810">
        <f>MAX(F235:F240)/MAX(E235:E240)</f>
        <v>0</v>
      </c>
      <c r="H234" s="1599" t="s">
        <v>709</v>
      </c>
    </row>
    <row r="235" spans="1:8" ht="16.2" customHeight="1" x14ac:dyDescent="0.3">
      <c r="A235" s="1979"/>
      <c r="B235" s="1582"/>
      <c r="C235" s="449" t="str">
        <f>OF!C146</f>
        <v>Arid.</v>
      </c>
      <c r="D235" s="47">
        <f>OF!D146</f>
        <v>0</v>
      </c>
      <c r="E235" s="952">
        <v>5</v>
      </c>
      <c r="F235" s="45">
        <f t="shared" ref="F235:F244" si="13">D235*E235</f>
        <v>0</v>
      </c>
      <c r="G235" s="1155"/>
      <c r="H235" s="1582"/>
    </row>
    <row r="236" spans="1:8" ht="16.2" customHeight="1" x14ac:dyDescent="0.3">
      <c r="A236" s="1979"/>
      <c r="B236" s="1582"/>
      <c r="C236" s="450" t="str">
        <f>OF!C147</f>
        <v>Semi-arid.</v>
      </c>
      <c r="D236" s="47">
        <f>OF!D147</f>
        <v>0</v>
      </c>
      <c r="E236" s="952">
        <v>4</v>
      </c>
      <c r="F236" s="45">
        <f t="shared" si="13"/>
        <v>0</v>
      </c>
      <c r="G236" s="1156"/>
      <c r="H236" s="1582"/>
    </row>
    <row r="237" spans="1:8" ht="16.2" customHeight="1" x14ac:dyDescent="0.3">
      <c r="A237" s="1979"/>
      <c r="B237" s="1582"/>
      <c r="C237" s="450" t="str">
        <f>OF!C148</f>
        <v>Dry.</v>
      </c>
      <c r="D237" s="47">
        <f>OF!D148</f>
        <v>0</v>
      </c>
      <c r="E237" s="952">
        <v>3</v>
      </c>
      <c r="F237" s="45">
        <f t="shared" si="13"/>
        <v>0</v>
      </c>
      <c r="G237" s="1156"/>
      <c r="H237" s="1582"/>
    </row>
    <row r="238" spans="1:8" ht="16.2" customHeight="1" x14ac:dyDescent="0.3">
      <c r="A238" s="1979"/>
      <c r="B238" s="1582"/>
      <c r="C238" s="450" t="str">
        <f>OF!C149</f>
        <v>Moist.</v>
      </c>
      <c r="D238" s="47">
        <f>OF!D149</f>
        <v>0</v>
      </c>
      <c r="E238" s="952">
        <v>2</v>
      </c>
      <c r="F238" s="45">
        <f t="shared" si="13"/>
        <v>0</v>
      </c>
      <c r="G238" s="1156"/>
      <c r="H238" s="1582"/>
    </row>
    <row r="239" spans="1:8" ht="16.2" customHeight="1" x14ac:dyDescent="0.3">
      <c r="A239" s="1979"/>
      <c r="B239" s="1582"/>
      <c r="C239" s="450" t="str">
        <f>OF!C150</f>
        <v>Wet.</v>
      </c>
      <c r="D239" s="47">
        <f>OF!D150</f>
        <v>0</v>
      </c>
      <c r="E239" s="952">
        <v>1</v>
      </c>
      <c r="F239" s="45">
        <f t="shared" si="13"/>
        <v>0</v>
      </c>
      <c r="G239" s="1156"/>
      <c r="H239" s="1582"/>
    </row>
    <row r="240" spans="1:8" ht="16.2" customHeight="1" thickBot="1" x14ac:dyDescent="0.35">
      <c r="A240" s="1980"/>
      <c r="B240" s="1600"/>
      <c r="C240" s="443" t="str">
        <f>OF!C151</f>
        <v>Very Wet.</v>
      </c>
      <c r="D240" s="80">
        <f>OF!D151</f>
        <v>0</v>
      </c>
      <c r="E240" s="1008">
        <v>0</v>
      </c>
      <c r="F240" s="193">
        <f t="shared" si="13"/>
        <v>0</v>
      </c>
      <c r="G240" s="1157"/>
      <c r="H240" s="1600"/>
    </row>
    <row r="241" spans="1:8" ht="45" customHeight="1" thickBot="1" x14ac:dyDescent="0.35">
      <c r="A241" s="1797" t="str">
        <f>OF!A220</f>
        <v>OF42</v>
      </c>
      <c r="B241" s="1896" t="str">
        <f>OF!B220</f>
        <v>Zoning (Zoning)</v>
      </c>
      <c r="C241" s="4" t="str">
        <f>OF!C220</f>
        <v>According to ORWAP Map Viewer's Oregon Zoning layer, the dominant zoned land use designation for currently undeveloped parcels upslope from the AA and within 300 ft. of its upland edge is:</v>
      </c>
      <c r="D241" s="210"/>
      <c r="E241" s="1009"/>
      <c r="F241" s="60"/>
      <c r="G241" s="811">
        <f>IF((D245=1),"",MAX(F242:F244)/MAX(E242:E244))</f>
        <v>0</v>
      </c>
      <c r="H241" s="1582" t="s">
        <v>720</v>
      </c>
    </row>
    <row r="242" spans="1:8" ht="27" customHeight="1" x14ac:dyDescent="0.3">
      <c r="A242" s="1797"/>
      <c r="B242" s="1623"/>
      <c r="C242" s="215" t="str">
        <f>OF!C221</f>
        <v>Development (Commercial, Industrial, Urban Residential, etc.), or no undeveloped parcels exist upslope from the AA.</v>
      </c>
      <c r="D242" s="47">
        <f>OF!D221</f>
        <v>0</v>
      </c>
      <c r="E242" s="952">
        <v>2</v>
      </c>
      <c r="F242" s="45">
        <f t="shared" si="13"/>
        <v>0</v>
      </c>
      <c r="G242" s="1155"/>
      <c r="H242" s="1582"/>
    </row>
    <row r="243" spans="1:8" ht="16.2" customHeight="1" x14ac:dyDescent="0.3">
      <c r="A243" s="1797"/>
      <c r="B243" s="1623"/>
      <c r="C243" s="216" t="str">
        <f>OF!C222</f>
        <v>Agriculture or Rural Residential.</v>
      </c>
      <c r="D243" s="47">
        <f>OF!D222</f>
        <v>0</v>
      </c>
      <c r="E243" s="952">
        <v>1</v>
      </c>
      <c r="F243" s="45">
        <f t="shared" si="13"/>
        <v>0</v>
      </c>
      <c r="G243" s="1156"/>
      <c r="H243" s="1582"/>
    </row>
    <row r="244" spans="1:8" ht="16.2" customHeight="1" x14ac:dyDescent="0.3">
      <c r="A244" s="1797"/>
      <c r="B244" s="1623"/>
      <c r="C244" s="216" t="str">
        <f>OF!C223</f>
        <v>Forest or Open Space, or entirely public lands.</v>
      </c>
      <c r="D244" s="47">
        <f>OF!D223</f>
        <v>0</v>
      </c>
      <c r="E244" s="952">
        <v>1</v>
      </c>
      <c r="F244" s="45">
        <f t="shared" si="13"/>
        <v>0</v>
      </c>
      <c r="G244" s="1156"/>
      <c r="H244" s="1582"/>
    </row>
    <row r="245" spans="1:8" ht="16.2" customHeight="1" thickBot="1" x14ac:dyDescent="0.35">
      <c r="A245" s="1797"/>
      <c r="B245" s="1897"/>
      <c r="C245" s="95" t="str">
        <f>OF!C224</f>
        <v>Not zoned, or no information.</v>
      </c>
      <c r="D245" s="80">
        <f>OF!D224</f>
        <v>0</v>
      </c>
      <c r="E245" s="1010"/>
      <c r="F245" s="54"/>
      <c r="G245" s="1156"/>
      <c r="H245" s="1582"/>
    </row>
    <row r="246" spans="1:8" ht="45" customHeight="1" thickBot="1" x14ac:dyDescent="0.35">
      <c r="A246" s="2009" t="str">
        <f>F!A319</f>
        <v>F66</v>
      </c>
      <c r="B246" s="1599" t="str">
        <f>F!B319</f>
        <v>Visibility (Visibil)</v>
      </c>
      <c r="C246" s="114" t="str">
        <f>F!C319</f>
        <v>The maximum percentage of the wetland that is visible from the best vantage point on public roads, public parking lots, public buildings, or public maintained trails that intersect, adjoin, or are within 300 ft of the AA (select one) is:</v>
      </c>
      <c r="D246" s="210"/>
      <c r="E246" s="1007"/>
      <c r="F246" s="241"/>
      <c r="G246" s="813">
        <f>MAX(F247:F249)/MAX(E247:E249)</f>
        <v>0</v>
      </c>
      <c r="H246" s="1599" t="s">
        <v>704</v>
      </c>
    </row>
    <row r="247" spans="1:8" ht="16.2" customHeight="1" x14ac:dyDescent="0.3">
      <c r="A247" s="1934"/>
      <c r="B247" s="1582"/>
      <c r="C247" s="449" t="str">
        <f>F!C320</f>
        <v>&lt;25%.</v>
      </c>
      <c r="D247" s="47">
        <f>F!D320</f>
        <v>0</v>
      </c>
      <c r="E247" s="952">
        <v>1</v>
      </c>
      <c r="F247" s="45">
        <f>D247*E247</f>
        <v>0</v>
      </c>
      <c r="G247" s="956"/>
      <c r="H247" s="1582"/>
    </row>
    <row r="248" spans="1:8" ht="16.2" customHeight="1" x14ac:dyDescent="0.3">
      <c r="A248" s="1934"/>
      <c r="B248" s="1582"/>
      <c r="C248" s="450" t="str">
        <f>F!C321</f>
        <v>25 - 50%.</v>
      </c>
      <c r="D248" s="47">
        <f>F!D321</f>
        <v>0</v>
      </c>
      <c r="E248" s="952">
        <v>2</v>
      </c>
      <c r="F248" s="45">
        <f>D248*E248</f>
        <v>0</v>
      </c>
      <c r="G248" s="957"/>
      <c r="H248" s="1582"/>
    </row>
    <row r="249" spans="1:8" ht="16.2" customHeight="1" thickBot="1" x14ac:dyDescent="0.35">
      <c r="A249" s="2010"/>
      <c r="B249" s="1600"/>
      <c r="C249" s="443" t="str">
        <f>F!C322</f>
        <v>&gt;50%.</v>
      </c>
      <c r="D249" s="80">
        <f>F!D322</f>
        <v>0</v>
      </c>
      <c r="E249" s="1008">
        <v>3</v>
      </c>
      <c r="F249" s="193">
        <f>D249*E249</f>
        <v>0</v>
      </c>
      <c r="G249" s="958"/>
      <c r="H249" s="1600"/>
    </row>
    <row r="250" spans="1:8" ht="21" customHeight="1" thickBot="1" x14ac:dyDescent="0.35">
      <c r="A250" s="2"/>
      <c r="B250" s="2"/>
      <c r="D250" s="980"/>
      <c r="G250" s="110"/>
    </row>
    <row r="251" spans="1:8" ht="21" customHeight="1" x14ac:dyDescent="0.3">
      <c r="A251" s="2"/>
      <c r="B251" s="2"/>
      <c r="C251" s="1952" t="s">
        <v>610</v>
      </c>
      <c r="D251" s="2024" t="s">
        <v>132</v>
      </c>
      <c r="E251" s="2024"/>
      <c r="F251" s="2024"/>
      <c r="G251" s="1160">
        <f>AVERAGE(DistPond13,DistLake13,HUCbest13,ConnScapeW13,ConnLocalW13)</f>
        <v>0</v>
      </c>
      <c r="H251" s="933" t="s">
        <v>2147</v>
      </c>
    </row>
    <row r="252" spans="1:8" ht="21" customHeight="1" x14ac:dyDescent="0.3">
      <c r="A252" s="2"/>
      <c r="B252" s="2"/>
      <c r="C252" s="1953"/>
      <c r="D252" s="2014" t="s">
        <v>127</v>
      </c>
      <c r="E252" s="2014"/>
      <c r="F252" s="2014"/>
      <c r="G252" s="1161">
        <f>AVERAGE(DistOpenL13,OpenLpct13, WoodyDryShade13,UpTreePctPer13, PerimPctPer13,BuffWidth13)</f>
        <v>0</v>
      </c>
      <c r="H252" s="934" t="s">
        <v>2148</v>
      </c>
    </row>
    <row r="253" spans="1:8" ht="30" customHeight="1" x14ac:dyDescent="0.3">
      <c r="A253" s="2"/>
      <c r="B253" s="2"/>
      <c r="C253" s="1953"/>
      <c r="D253" s="2021" t="s">
        <v>648</v>
      </c>
      <c r="E253" s="2022"/>
      <c r="F253" s="2023"/>
      <c r="G253" s="1161">
        <f>IFERROR(AVERAGE(Hydropd13,AVERAGE(Lentic13,Gradient13),AVERAGE(OWareaDry13,PondWpctDry13),MAX(SeasWpct13,PermWpct13),DepthDom13,DepthEven13, Fluctu13),"")</f>
        <v>0</v>
      </c>
      <c r="H253" s="934" t="s">
        <v>2149</v>
      </c>
    </row>
    <row r="254" spans="1:8" ht="29.4" customHeight="1" x14ac:dyDescent="0.3">
      <c r="A254" s="2"/>
      <c r="B254" s="2"/>
      <c r="C254" s="1953"/>
      <c r="D254" s="2014" t="s">
        <v>1241</v>
      </c>
      <c r="E254" s="2014"/>
      <c r="F254" s="2014"/>
      <c r="G254" s="1161">
        <f>IFERROR(AVERAGE(EmArea13, AVERAGE(HerbExpos13,WidthDry13,VegCut13), AVERAGE(Islands13,WaterMixDry13,Cttail13, EmPct13)),"")</f>
        <v>0</v>
      </c>
      <c r="H254" s="934" t="s">
        <v>2150</v>
      </c>
    </row>
    <row r="255" spans="1:8" ht="21" customHeight="1" x14ac:dyDescent="0.3">
      <c r="A255" s="2"/>
      <c r="B255" s="2"/>
      <c r="C255" s="1953"/>
      <c r="D255" s="2014" t="s">
        <v>130</v>
      </c>
      <c r="E255" s="2014"/>
      <c r="F255" s="2014"/>
      <c r="G255" s="1161">
        <f>AVERAGE(Moss13,Algae13,_SAV13,_GDD13)</f>
        <v>0.25</v>
      </c>
      <c r="H255" s="934" t="s">
        <v>1201</v>
      </c>
    </row>
    <row r="256" spans="1:8" ht="21" customHeight="1" thickBot="1" x14ac:dyDescent="0.35">
      <c r="A256" s="2"/>
      <c r="B256" s="2"/>
      <c r="C256" s="1953"/>
      <c r="D256" s="2013" t="s">
        <v>178</v>
      </c>
      <c r="E256" s="2013"/>
      <c r="F256" s="2013"/>
      <c r="G256" s="1162">
        <f>AVERAGE(VisitNo13,VisitOften13,WQin13,ConnecUp13)</f>
        <v>0.33333333333333331</v>
      </c>
      <c r="H256" s="1020" t="s">
        <v>2151</v>
      </c>
    </row>
    <row r="257" spans="1:8" ht="39" customHeight="1" thickBot="1" x14ac:dyDescent="0.35">
      <c r="A257" s="2"/>
      <c r="B257" s="2"/>
      <c r="C257" s="1807" t="s">
        <v>404</v>
      </c>
      <c r="D257" s="1808"/>
      <c r="E257" s="1809"/>
      <c r="F257" s="250" t="s">
        <v>6</v>
      </c>
      <c r="G257" s="1163">
        <f>10*(IF((Tidal=1),0,IF((TooSteep1+TooSteep2&gt;0),0, IF((NeverWater+TempWet&gt;0),AVERAGE(Hydropd13, HerbExpos13,Wscape13,Lscape13,Stressors13), (2*AVERAGE(Hydro13,Struc13,Wscape13)+AVERAGE(Stressors13,Lscape13,Produc13))/3))))</f>
        <v>0.64814814814814814</v>
      </c>
      <c r="H257" s="251" t="s">
        <v>1972</v>
      </c>
    </row>
    <row r="258" spans="1:8" ht="33" customHeight="1" thickBot="1" x14ac:dyDescent="0.35">
      <c r="A258" s="2"/>
      <c r="B258" s="2"/>
      <c r="C258" s="1871" t="s">
        <v>405</v>
      </c>
      <c r="D258" s="1872"/>
      <c r="E258" s="1873"/>
      <c r="F258" s="1158" t="s">
        <v>7</v>
      </c>
      <c r="G258" s="1164">
        <f>10*(MAX(RareWBN13v, ConDesigIBA13v, AVERAGE(RareWBN13v,UniqPatch13v,GISscoreWBv,Visibil13v,Arid13v,Zoning13v)))</f>
        <v>0</v>
      </c>
      <c r="H258" s="251" t="s">
        <v>671</v>
      </c>
    </row>
    <row r="259" spans="1:8" ht="21" customHeight="1" thickBot="1" x14ac:dyDescent="0.35"/>
    <row r="260" spans="1:8" ht="21" customHeight="1" thickBot="1" x14ac:dyDescent="0.35">
      <c r="H260" s="1159" t="s">
        <v>859</v>
      </c>
    </row>
    <row r="261" spans="1:8" ht="42" customHeight="1" x14ac:dyDescent="0.3">
      <c r="H261" s="724" t="s">
        <v>1051</v>
      </c>
    </row>
    <row r="262" spans="1:8" ht="27" customHeight="1" x14ac:dyDescent="0.3">
      <c r="H262" s="725" t="s">
        <v>1052</v>
      </c>
    </row>
    <row r="263" spans="1:8" ht="27" customHeight="1" x14ac:dyDescent="0.3">
      <c r="A263" s="2"/>
      <c r="B263" s="2"/>
      <c r="C263" s="7"/>
      <c r="D263" s="14"/>
      <c r="E263" s="14"/>
      <c r="H263" s="716" t="s">
        <v>1350</v>
      </c>
    </row>
    <row r="264" spans="1:8" ht="27" customHeight="1" x14ac:dyDescent="0.3">
      <c r="A264" s="2"/>
      <c r="B264" s="2"/>
      <c r="C264" s="7"/>
      <c r="D264" s="14"/>
      <c r="E264" s="14"/>
      <c r="H264" s="725" t="s">
        <v>1053</v>
      </c>
    </row>
    <row r="265" spans="1:8" ht="27" customHeight="1" x14ac:dyDescent="0.3">
      <c r="A265" s="2"/>
      <c r="B265" s="2"/>
      <c r="C265" s="7"/>
      <c r="D265" s="14"/>
      <c r="E265" s="14"/>
      <c r="H265" s="725" t="s">
        <v>1054</v>
      </c>
    </row>
    <row r="266" spans="1:8" ht="27" customHeight="1" x14ac:dyDescent="0.3">
      <c r="A266" s="2"/>
      <c r="B266" s="2"/>
      <c r="C266" s="7"/>
      <c r="D266" s="14"/>
      <c r="E266" s="14"/>
      <c r="H266" s="716" t="s">
        <v>1312</v>
      </c>
    </row>
    <row r="267" spans="1:8" ht="27" customHeight="1" x14ac:dyDescent="0.3">
      <c r="A267" s="2"/>
      <c r="B267" s="2"/>
      <c r="C267" s="7"/>
      <c r="D267" s="14"/>
      <c r="E267" s="14"/>
      <c r="H267" s="716" t="s">
        <v>1351</v>
      </c>
    </row>
    <row r="268" spans="1:8" ht="27" customHeight="1" x14ac:dyDescent="0.3">
      <c r="A268" s="2"/>
      <c r="B268" s="2"/>
      <c r="C268" s="7"/>
      <c r="D268" s="14"/>
      <c r="E268" s="14"/>
      <c r="H268" s="725" t="s">
        <v>1055</v>
      </c>
    </row>
    <row r="269" spans="1:8" ht="42" customHeight="1" x14ac:dyDescent="0.3">
      <c r="A269" s="2"/>
      <c r="B269" s="2"/>
      <c r="C269" s="7"/>
      <c r="D269" s="14"/>
      <c r="E269" s="14"/>
      <c r="H269" s="725" t="s">
        <v>1629</v>
      </c>
    </row>
    <row r="270" spans="1:8" ht="27" customHeight="1" thickBot="1" x14ac:dyDescent="0.35">
      <c r="A270" s="2"/>
      <c r="B270" s="2"/>
      <c r="C270" s="7"/>
      <c r="D270" s="14"/>
      <c r="E270" s="14"/>
      <c r="H270" s="726" t="s">
        <v>1056</v>
      </c>
    </row>
    <row r="271" spans="1:8" x14ac:dyDescent="0.3">
      <c r="A271" s="2"/>
      <c r="B271" s="2"/>
      <c r="C271" s="7"/>
      <c r="D271" s="14"/>
      <c r="E271" s="14"/>
    </row>
    <row r="272" spans="1:8" x14ac:dyDescent="0.3">
      <c r="A272" s="2"/>
      <c r="B272" s="2"/>
      <c r="C272" s="7"/>
      <c r="D272" s="14"/>
      <c r="E272" s="14"/>
    </row>
    <row r="273" spans="1:5" x14ac:dyDescent="0.3">
      <c r="A273" s="2"/>
      <c r="B273" s="2"/>
      <c r="C273" s="7"/>
      <c r="D273" s="14"/>
      <c r="E273" s="14"/>
    </row>
    <row r="274" spans="1:5" x14ac:dyDescent="0.3">
      <c r="A274" s="2"/>
      <c r="B274" s="2"/>
      <c r="C274" s="7"/>
      <c r="D274" s="14"/>
      <c r="E274" s="14"/>
    </row>
    <row r="275" spans="1:5" x14ac:dyDescent="0.3">
      <c r="A275" s="2"/>
      <c r="B275" s="2"/>
      <c r="C275" s="7"/>
      <c r="D275" s="14"/>
      <c r="E275" s="14"/>
    </row>
    <row r="276" spans="1:5" x14ac:dyDescent="0.3">
      <c r="A276" s="2"/>
      <c r="B276" s="2"/>
      <c r="C276" s="7"/>
      <c r="D276" s="14"/>
      <c r="E276" s="14"/>
    </row>
    <row r="277" spans="1:5" x14ac:dyDescent="0.3">
      <c r="A277" s="2"/>
      <c r="B277" s="2"/>
      <c r="C277" s="7"/>
      <c r="D277" s="14"/>
      <c r="E277" s="14"/>
    </row>
    <row r="278" spans="1:5" x14ac:dyDescent="0.3">
      <c r="A278" s="2"/>
      <c r="B278" s="2"/>
      <c r="C278" s="7"/>
      <c r="D278" s="14"/>
      <c r="E278" s="14"/>
    </row>
    <row r="279" spans="1:5" x14ac:dyDescent="0.3">
      <c r="A279" s="2"/>
      <c r="B279" s="2"/>
      <c r="C279" s="7"/>
      <c r="D279" s="14"/>
      <c r="E279" s="14"/>
    </row>
    <row r="280" spans="1:5" x14ac:dyDescent="0.3">
      <c r="A280" s="2"/>
      <c r="B280" s="2"/>
      <c r="C280" s="7"/>
      <c r="D280" s="14"/>
      <c r="E280" s="14"/>
    </row>
    <row r="281" spans="1:5" x14ac:dyDescent="0.3">
      <c r="A281" s="2"/>
      <c r="B281" s="2"/>
      <c r="C281" s="7"/>
      <c r="D281" s="14"/>
      <c r="E281" s="14"/>
    </row>
    <row r="282" spans="1:5" x14ac:dyDescent="0.3">
      <c r="A282" s="2"/>
      <c r="B282" s="2"/>
      <c r="C282" s="7"/>
      <c r="D282" s="14"/>
      <c r="E282" s="14"/>
    </row>
    <row r="283" spans="1:5" x14ac:dyDescent="0.3">
      <c r="A283" s="2"/>
      <c r="B283" s="2"/>
      <c r="C283" s="7"/>
      <c r="D283" s="14"/>
      <c r="E283" s="14"/>
    </row>
    <row r="284" spans="1:5" x14ac:dyDescent="0.3">
      <c r="A284" s="2"/>
      <c r="B284" s="2"/>
      <c r="C284" s="7"/>
      <c r="D284" s="14"/>
      <c r="E284" s="14"/>
    </row>
    <row r="285" spans="1:5" x14ac:dyDescent="0.3">
      <c r="A285" s="2"/>
      <c r="B285" s="2"/>
      <c r="C285" s="7"/>
      <c r="D285" s="14"/>
      <c r="E285" s="14"/>
    </row>
    <row r="286" spans="1:5" x14ac:dyDescent="0.3">
      <c r="A286" s="2"/>
      <c r="B286" s="2"/>
      <c r="C286" s="7"/>
      <c r="D286" s="14"/>
      <c r="E286" s="14"/>
    </row>
    <row r="287" spans="1:5" x14ac:dyDescent="0.3">
      <c r="A287" s="2"/>
      <c r="B287" s="2"/>
      <c r="C287" s="7"/>
      <c r="D287" s="14"/>
      <c r="E287" s="14"/>
    </row>
    <row r="288" spans="1:5" x14ac:dyDescent="0.3">
      <c r="A288" s="2"/>
      <c r="B288" s="2"/>
      <c r="C288" s="7"/>
      <c r="D288" s="14"/>
      <c r="E288" s="14"/>
    </row>
    <row r="289" spans="1:5" x14ac:dyDescent="0.3">
      <c r="A289" s="2"/>
      <c r="B289" s="2"/>
      <c r="C289" s="7"/>
      <c r="D289" s="14"/>
      <c r="E289" s="14"/>
    </row>
    <row r="290" spans="1:5" x14ac:dyDescent="0.3">
      <c r="A290" s="2"/>
      <c r="B290" s="2"/>
      <c r="C290" s="7"/>
      <c r="D290" s="14"/>
      <c r="E290" s="14"/>
    </row>
    <row r="291" spans="1:5" x14ac:dyDescent="0.3">
      <c r="A291" s="2"/>
      <c r="B291" s="2"/>
      <c r="C291" s="7"/>
      <c r="D291" s="14"/>
      <c r="E291" s="14"/>
    </row>
    <row r="292" spans="1:5" x14ac:dyDescent="0.3">
      <c r="A292" s="2"/>
      <c r="B292" s="2"/>
      <c r="C292" s="7"/>
      <c r="D292" s="14"/>
      <c r="E292" s="14"/>
    </row>
    <row r="293" spans="1:5" x14ac:dyDescent="0.3">
      <c r="A293" s="2"/>
      <c r="B293" s="2"/>
      <c r="C293" s="7"/>
      <c r="D293" s="14"/>
      <c r="E293" s="14"/>
    </row>
    <row r="294" spans="1:5" x14ac:dyDescent="0.3">
      <c r="A294" s="2"/>
      <c r="B294" s="2"/>
      <c r="C294" s="7"/>
      <c r="D294" s="14"/>
      <c r="E294" s="14"/>
    </row>
    <row r="295" spans="1:5" x14ac:dyDescent="0.3">
      <c r="A295" s="2"/>
      <c r="B295" s="2"/>
      <c r="C295" s="7"/>
      <c r="D295" s="14"/>
      <c r="E295" s="14"/>
    </row>
    <row r="296" spans="1:5" x14ac:dyDescent="0.3">
      <c r="A296" s="2"/>
      <c r="B296" s="2"/>
      <c r="C296" s="7"/>
      <c r="D296" s="14"/>
      <c r="E296" s="14"/>
    </row>
    <row r="297" spans="1:5" x14ac:dyDescent="0.3">
      <c r="A297" s="2"/>
      <c r="B297" s="2"/>
      <c r="C297" s="7"/>
      <c r="D297" s="14"/>
      <c r="E297" s="14"/>
    </row>
    <row r="298" spans="1:5" x14ac:dyDescent="0.3">
      <c r="A298" s="2"/>
      <c r="B298" s="2"/>
      <c r="C298" s="7"/>
      <c r="D298" s="14"/>
      <c r="E298" s="14"/>
    </row>
    <row r="299" spans="1:5" x14ac:dyDescent="0.3">
      <c r="A299" s="2"/>
      <c r="B299" s="2"/>
      <c r="C299" s="7"/>
      <c r="D299" s="14"/>
      <c r="E299" s="14"/>
    </row>
    <row r="300" spans="1:5" x14ac:dyDescent="0.3">
      <c r="A300" s="2"/>
      <c r="B300" s="2"/>
      <c r="C300" s="7"/>
      <c r="D300" s="14"/>
      <c r="E300" s="14"/>
    </row>
    <row r="301" spans="1:5" x14ac:dyDescent="0.3">
      <c r="A301" s="2"/>
      <c r="B301" s="2"/>
      <c r="C301" s="7"/>
      <c r="D301" s="14"/>
      <c r="E301" s="14"/>
    </row>
    <row r="302" spans="1:5" x14ac:dyDescent="0.3">
      <c r="A302" s="2"/>
      <c r="B302" s="2"/>
      <c r="C302" s="7"/>
      <c r="D302" s="14"/>
      <c r="E302" s="14"/>
    </row>
    <row r="303" spans="1:5" x14ac:dyDescent="0.3">
      <c r="A303" s="2"/>
      <c r="B303" s="2"/>
      <c r="C303" s="7"/>
      <c r="D303" s="14"/>
      <c r="E303" s="14"/>
    </row>
    <row r="304" spans="1:5" x14ac:dyDescent="0.3">
      <c r="A304" s="2"/>
      <c r="B304" s="2"/>
      <c r="C304" s="7"/>
      <c r="D304" s="14"/>
      <c r="E304" s="14"/>
    </row>
    <row r="305" spans="1:5" x14ac:dyDescent="0.3">
      <c r="A305" s="2"/>
      <c r="B305" s="2"/>
      <c r="C305" s="7"/>
      <c r="D305" s="14"/>
      <c r="E305" s="14"/>
    </row>
    <row r="306" spans="1:5" x14ac:dyDescent="0.3">
      <c r="A306" s="2"/>
      <c r="B306" s="2"/>
      <c r="C306" s="7"/>
      <c r="D306" s="14"/>
      <c r="E306" s="14"/>
    </row>
    <row r="307" spans="1:5" x14ac:dyDescent="0.3">
      <c r="A307" s="2"/>
      <c r="B307" s="2"/>
      <c r="C307" s="7"/>
      <c r="D307" s="14"/>
      <c r="E307" s="14"/>
    </row>
    <row r="308" spans="1:5" x14ac:dyDescent="0.3">
      <c r="A308" s="2"/>
      <c r="B308" s="2"/>
      <c r="C308" s="7"/>
      <c r="D308" s="14"/>
      <c r="E308" s="14"/>
    </row>
    <row r="309" spans="1:5" x14ac:dyDescent="0.3">
      <c r="A309" s="2"/>
      <c r="B309" s="2"/>
      <c r="C309" s="7"/>
      <c r="D309" s="14"/>
      <c r="E309" s="14"/>
    </row>
    <row r="310" spans="1:5" x14ac:dyDescent="0.3">
      <c r="A310" s="2"/>
      <c r="B310" s="2"/>
      <c r="C310" s="7"/>
      <c r="D310" s="14"/>
      <c r="E310" s="14"/>
    </row>
    <row r="311" spans="1:5" x14ac:dyDescent="0.3">
      <c r="A311" s="2"/>
      <c r="B311" s="2"/>
      <c r="C311" s="7"/>
      <c r="D311" s="14"/>
      <c r="E311" s="14"/>
    </row>
    <row r="312" spans="1:5" x14ac:dyDescent="0.3">
      <c r="A312" s="2"/>
      <c r="B312" s="2"/>
      <c r="C312" s="7"/>
      <c r="D312" s="14"/>
      <c r="E312" s="14"/>
    </row>
    <row r="313" spans="1:5" x14ac:dyDescent="0.3">
      <c r="A313" s="2"/>
      <c r="B313" s="2"/>
      <c r="C313" s="7"/>
      <c r="D313" s="14"/>
      <c r="E313" s="14"/>
    </row>
    <row r="314" spans="1:5" x14ac:dyDescent="0.3">
      <c r="A314" s="2"/>
      <c r="B314" s="2"/>
      <c r="C314" s="7"/>
      <c r="D314" s="14"/>
      <c r="E314" s="14"/>
    </row>
    <row r="315" spans="1:5" x14ac:dyDescent="0.3">
      <c r="A315" s="2"/>
      <c r="B315" s="2"/>
      <c r="C315" s="7"/>
      <c r="D315" s="14"/>
      <c r="E315" s="14"/>
    </row>
    <row r="316" spans="1:5" x14ac:dyDescent="0.3">
      <c r="A316" s="2"/>
      <c r="B316" s="2"/>
      <c r="C316" s="7"/>
      <c r="D316" s="14"/>
      <c r="E316" s="14"/>
    </row>
    <row r="317" spans="1:5" x14ac:dyDescent="0.3">
      <c r="A317" s="2"/>
      <c r="B317" s="2"/>
      <c r="C317" s="7"/>
      <c r="D317" s="14"/>
      <c r="E317" s="14"/>
    </row>
    <row r="318" spans="1:5" x14ac:dyDescent="0.3">
      <c r="A318" s="2"/>
      <c r="B318" s="2"/>
      <c r="C318" s="7"/>
      <c r="D318" s="14"/>
      <c r="E318" s="14"/>
    </row>
    <row r="319" spans="1:5" x14ac:dyDescent="0.3">
      <c r="A319" s="2"/>
      <c r="B319" s="2"/>
      <c r="C319" s="7"/>
      <c r="D319" s="14"/>
      <c r="E319" s="14"/>
    </row>
    <row r="320" spans="1:5" x14ac:dyDescent="0.3">
      <c r="A320" s="2"/>
      <c r="B320" s="2"/>
      <c r="C320" s="7"/>
      <c r="D320" s="14"/>
      <c r="E320" s="14"/>
    </row>
    <row r="321" spans="1:5" x14ac:dyDescent="0.3">
      <c r="A321" s="2"/>
      <c r="B321" s="2"/>
      <c r="C321" s="7"/>
      <c r="D321" s="14"/>
      <c r="E321" s="14"/>
    </row>
    <row r="322" spans="1:5" x14ac:dyDescent="0.3">
      <c r="A322" s="2"/>
      <c r="B322" s="2"/>
      <c r="C322" s="7"/>
      <c r="D322" s="14"/>
      <c r="E322" s="14"/>
    </row>
    <row r="323" spans="1:5" x14ac:dyDescent="0.3">
      <c r="A323" s="2"/>
      <c r="B323" s="2"/>
      <c r="C323" s="7"/>
      <c r="D323" s="14"/>
      <c r="E323" s="14"/>
    </row>
    <row r="324" spans="1:5" x14ac:dyDescent="0.3">
      <c r="A324" s="2"/>
      <c r="B324" s="2"/>
      <c r="C324" s="7"/>
      <c r="D324" s="14"/>
      <c r="E324" s="14"/>
    </row>
    <row r="325" spans="1:5" x14ac:dyDescent="0.3">
      <c r="A325" s="2"/>
      <c r="B325" s="2"/>
      <c r="C325" s="7"/>
      <c r="D325" s="14"/>
      <c r="E325" s="14"/>
    </row>
    <row r="326" spans="1:5" x14ac:dyDescent="0.3">
      <c r="A326" s="2"/>
      <c r="B326" s="2"/>
      <c r="C326" s="7"/>
      <c r="D326" s="14"/>
      <c r="E326" s="14"/>
    </row>
    <row r="327" spans="1:5" x14ac:dyDescent="0.3">
      <c r="A327" s="2"/>
      <c r="B327" s="2"/>
      <c r="C327" s="7"/>
      <c r="D327" s="14"/>
      <c r="E327" s="14"/>
    </row>
    <row r="328" spans="1:5" x14ac:dyDescent="0.3">
      <c r="A328" s="2"/>
      <c r="B328" s="2"/>
      <c r="C328" s="7"/>
      <c r="D328" s="14"/>
      <c r="E328" s="14"/>
    </row>
    <row r="329" spans="1:5" x14ac:dyDescent="0.3">
      <c r="A329" s="2"/>
      <c r="B329" s="2"/>
      <c r="C329" s="7"/>
      <c r="D329" s="14"/>
      <c r="E329" s="14"/>
    </row>
    <row r="330" spans="1:5" x14ac:dyDescent="0.3">
      <c r="A330" s="2"/>
      <c r="B330" s="2"/>
      <c r="C330" s="7"/>
      <c r="D330" s="14"/>
      <c r="E330" s="14"/>
    </row>
    <row r="331" spans="1:5" x14ac:dyDescent="0.3">
      <c r="A331" s="2"/>
      <c r="B331" s="2"/>
      <c r="C331" s="7"/>
      <c r="D331" s="14"/>
      <c r="E331" s="14"/>
    </row>
    <row r="332" spans="1:5" x14ac:dyDescent="0.3">
      <c r="A332" s="2"/>
      <c r="B332" s="2"/>
      <c r="C332" s="7"/>
      <c r="D332" s="14"/>
      <c r="E332" s="14"/>
    </row>
    <row r="333" spans="1:5" x14ac:dyDescent="0.3">
      <c r="A333" s="2"/>
      <c r="B333" s="2"/>
      <c r="C333" s="7"/>
      <c r="D333" s="14"/>
      <c r="E333" s="14"/>
    </row>
    <row r="334" spans="1:5" x14ac:dyDescent="0.3">
      <c r="A334" s="2"/>
      <c r="B334" s="2"/>
      <c r="C334" s="7"/>
      <c r="D334" s="14"/>
      <c r="E334" s="14"/>
    </row>
    <row r="335" spans="1:5" x14ac:dyDescent="0.3">
      <c r="A335" s="2"/>
      <c r="B335" s="2"/>
      <c r="C335" s="7"/>
      <c r="D335" s="14"/>
      <c r="E335" s="14"/>
    </row>
    <row r="336" spans="1:5" x14ac:dyDescent="0.3">
      <c r="A336" s="2"/>
      <c r="B336" s="2"/>
      <c r="C336" s="7"/>
      <c r="D336" s="14"/>
      <c r="E336" s="14"/>
    </row>
    <row r="337" spans="1:5" x14ac:dyDescent="0.3">
      <c r="A337" s="2"/>
      <c r="B337" s="2"/>
      <c r="C337" s="7"/>
      <c r="D337" s="14"/>
      <c r="E337" s="14"/>
    </row>
    <row r="338" spans="1:5" x14ac:dyDescent="0.3">
      <c r="A338" s="2"/>
      <c r="B338" s="2"/>
      <c r="C338" s="7"/>
      <c r="D338" s="14"/>
      <c r="E338" s="14"/>
    </row>
    <row r="339" spans="1:5" x14ac:dyDescent="0.3">
      <c r="A339" s="2"/>
      <c r="B339" s="2"/>
      <c r="C339" s="7"/>
      <c r="D339" s="14"/>
      <c r="E339" s="14"/>
    </row>
    <row r="340" spans="1:5" x14ac:dyDescent="0.3">
      <c r="A340" s="2"/>
      <c r="B340" s="2"/>
      <c r="C340" s="7"/>
      <c r="D340" s="14"/>
      <c r="E340" s="14"/>
    </row>
    <row r="341" spans="1:5" x14ac:dyDescent="0.3">
      <c r="A341" s="2"/>
      <c r="B341" s="2"/>
      <c r="C341" s="7"/>
      <c r="D341" s="14"/>
      <c r="E341" s="14"/>
    </row>
    <row r="342" spans="1:5" x14ac:dyDescent="0.3">
      <c r="A342" s="2"/>
      <c r="B342" s="2"/>
      <c r="C342" s="7"/>
      <c r="D342" s="14"/>
      <c r="E342" s="14"/>
    </row>
    <row r="343" spans="1:5" x14ac:dyDescent="0.3">
      <c r="A343" s="2"/>
      <c r="B343" s="2"/>
      <c r="C343" s="7"/>
      <c r="D343" s="14"/>
      <c r="E343" s="14"/>
    </row>
    <row r="344" spans="1:5" x14ac:dyDescent="0.3">
      <c r="A344" s="2"/>
      <c r="B344" s="2"/>
      <c r="C344" s="7"/>
      <c r="D344" s="14"/>
      <c r="E344" s="14"/>
    </row>
    <row r="345" spans="1:5" x14ac:dyDescent="0.3">
      <c r="A345" s="2"/>
      <c r="B345" s="2"/>
      <c r="C345" s="7"/>
      <c r="D345" s="14"/>
      <c r="E345" s="14"/>
    </row>
    <row r="346" spans="1:5" x14ac:dyDescent="0.3">
      <c r="A346" s="2"/>
      <c r="B346" s="2"/>
      <c r="C346" s="7"/>
      <c r="D346" s="14"/>
      <c r="E346" s="14"/>
    </row>
    <row r="347" spans="1:5" x14ac:dyDescent="0.3">
      <c r="A347" s="2"/>
      <c r="B347" s="2"/>
      <c r="C347" s="7"/>
      <c r="D347" s="14"/>
      <c r="E347" s="14"/>
    </row>
    <row r="348" spans="1:5" x14ac:dyDescent="0.3">
      <c r="A348" s="2"/>
      <c r="B348" s="2"/>
      <c r="C348" s="7"/>
      <c r="D348" s="14"/>
      <c r="E348" s="14"/>
    </row>
    <row r="349" spans="1:5" x14ac:dyDescent="0.3">
      <c r="A349" s="2"/>
      <c r="B349" s="2"/>
      <c r="C349" s="7"/>
      <c r="D349" s="14"/>
      <c r="E349" s="14"/>
    </row>
    <row r="350" spans="1:5" x14ac:dyDescent="0.3">
      <c r="A350" s="2"/>
      <c r="B350" s="2"/>
      <c r="C350" s="7"/>
      <c r="D350" s="14"/>
      <c r="E350" s="14"/>
    </row>
    <row r="351" spans="1:5" x14ac:dyDescent="0.3">
      <c r="A351" s="2"/>
      <c r="B351" s="2"/>
      <c r="C351" s="7"/>
      <c r="D351" s="14"/>
      <c r="E351" s="14"/>
    </row>
    <row r="352" spans="1:5" x14ac:dyDescent="0.3">
      <c r="A352" s="2"/>
      <c r="B352" s="2"/>
      <c r="C352" s="7"/>
      <c r="D352" s="14"/>
      <c r="E352" s="14"/>
    </row>
    <row r="353" spans="1:5" x14ac:dyDescent="0.3">
      <c r="A353" s="2"/>
      <c r="B353" s="2"/>
      <c r="C353" s="7"/>
      <c r="D353" s="14"/>
      <c r="E353" s="14"/>
    </row>
    <row r="354" spans="1:5" x14ac:dyDescent="0.3">
      <c r="A354" s="2"/>
      <c r="B354" s="2"/>
      <c r="C354" s="7"/>
      <c r="D354" s="14"/>
      <c r="E354" s="14"/>
    </row>
    <row r="355" spans="1:5" x14ac:dyDescent="0.3">
      <c r="A355" s="2"/>
      <c r="B355" s="2"/>
      <c r="C355" s="7"/>
      <c r="D355" s="14"/>
      <c r="E355" s="14"/>
    </row>
    <row r="356" spans="1:5" x14ac:dyDescent="0.3">
      <c r="A356" s="2"/>
      <c r="B356" s="2"/>
      <c r="C356" s="7"/>
      <c r="D356" s="14"/>
      <c r="E356" s="14"/>
    </row>
    <row r="357" spans="1:5" x14ac:dyDescent="0.3">
      <c r="A357" s="2"/>
      <c r="B357" s="2"/>
      <c r="C357" s="7"/>
      <c r="D357" s="14"/>
      <c r="E357" s="14"/>
    </row>
    <row r="358" spans="1:5" x14ac:dyDescent="0.3">
      <c r="A358" s="2"/>
      <c r="B358" s="2"/>
      <c r="C358" s="7"/>
      <c r="D358" s="14"/>
      <c r="E358" s="14"/>
    </row>
    <row r="359" spans="1:5" x14ac:dyDescent="0.3">
      <c r="A359" s="2"/>
      <c r="B359" s="2"/>
      <c r="C359" s="7"/>
      <c r="D359" s="14"/>
      <c r="E359" s="14"/>
    </row>
    <row r="360" spans="1:5" x14ac:dyDescent="0.3">
      <c r="A360" s="2"/>
      <c r="B360" s="2"/>
      <c r="C360" s="7"/>
      <c r="D360" s="14"/>
      <c r="E360" s="14"/>
    </row>
    <row r="361" spans="1:5" x14ac:dyDescent="0.3">
      <c r="A361" s="2"/>
      <c r="B361" s="2"/>
      <c r="C361" s="7"/>
      <c r="D361" s="14"/>
      <c r="E361" s="14"/>
    </row>
    <row r="362" spans="1:5" x14ac:dyDescent="0.3">
      <c r="A362" s="2"/>
      <c r="B362" s="2"/>
      <c r="C362" s="7"/>
      <c r="D362" s="14"/>
      <c r="E362" s="14"/>
    </row>
    <row r="363" spans="1:5" x14ac:dyDescent="0.3">
      <c r="A363" s="2"/>
      <c r="B363" s="2"/>
      <c r="C363" s="7"/>
      <c r="D363" s="14"/>
      <c r="E363" s="14"/>
    </row>
    <row r="364" spans="1:5" x14ac:dyDescent="0.3">
      <c r="A364" s="2"/>
      <c r="B364" s="2"/>
      <c r="C364" s="7"/>
      <c r="D364" s="14"/>
      <c r="E364" s="14"/>
    </row>
    <row r="365" spans="1:5" x14ac:dyDescent="0.3">
      <c r="A365" s="2"/>
      <c r="B365" s="2"/>
      <c r="C365" s="7"/>
      <c r="D365" s="14"/>
      <c r="E365" s="14"/>
    </row>
    <row r="366" spans="1:5" x14ac:dyDescent="0.3">
      <c r="A366" s="2"/>
      <c r="B366" s="2"/>
      <c r="C366" s="7"/>
      <c r="D366" s="14"/>
      <c r="E366" s="14"/>
    </row>
    <row r="367" spans="1:5" x14ac:dyDescent="0.3">
      <c r="A367" s="2"/>
      <c r="B367" s="2"/>
      <c r="C367" s="7"/>
      <c r="D367" s="14"/>
      <c r="E367" s="14"/>
    </row>
    <row r="368" spans="1:5" x14ac:dyDescent="0.3">
      <c r="A368" s="2"/>
      <c r="B368" s="2"/>
      <c r="C368" s="7"/>
      <c r="D368" s="14"/>
      <c r="E368" s="14"/>
    </row>
    <row r="369" spans="1:5" x14ac:dyDescent="0.3">
      <c r="A369" s="2"/>
      <c r="B369" s="2"/>
      <c r="C369" s="7"/>
      <c r="D369" s="14"/>
      <c r="E369" s="14"/>
    </row>
    <row r="370" spans="1:5" x14ac:dyDescent="0.3">
      <c r="A370" s="2"/>
      <c r="B370" s="2"/>
      <c r="C370" s="7"/>
      <c r="D370" s="14"/>
      <c r="E370" s="14"/>
    </row>
    <row r="371" spans="1:5" x14ac:dyDescent="0.3">
      <c r="A371" s="2"/>
      <c r="B371" s="2"/>
      <c r="C371" s="7"/>
      <c r="D371" s="14"/>
      <c r="E371" s="14"/>
    </row>
    <row r="372" spans="1:5" x14ac:dyDescent="0.3">
      <c r="A372" s="2"/>
      <c r="B372" s="2"/>
      <c r="C372" s="7"/>
      <c r="D372" s="14"/>
      <c r="E372" s="14"/>
    </row>
    <row r="373" spans="1:5" x14ac:dyDescent="0.3">
      <c r="A373" s="2"/>
      <c r="B373" s="2"/>
      <c r="C373" s="7"/>
      <c r="D373" s="14"/>
      <c r="E373" s="14"/>
    </row>
    <row r="374" spans="1:5" x14ac:dyDescent="0.3">
      <c r="A374" s="2"/>
      <c r="B374" s="2"/>
      <c r="C374" s="7"/>
      <c r="D374" s="14"/>
      <c r="E374" s="14"/>
    </row>
    <row r="375" spans="1:5" x14ac:dyDescent="0.3">
      <c r="A375" s="2"/>
      <c r="B375" s="2"/>
      <c r="C375" s="7"/>
      <c r="D375" s="14"/>
      <c r="E375" s="14"/>
    </row>
    <row r="376" spans="1:5" x14ac:dyDescent="0.3">
      <c r="A376" s="2"/>
      <c r="B376" s="2"/>
      <c r="C376" s="7"/>
      <c r="D376" s="14"/>
      <c r="E376" s="14"/>
    </row>
    <row r="377" spans="1:5" x14ac:dyDescent="0.3">
      <c r="A377" s="2"/>
      <c r="B377" s="2"/>
      <c r="C377" s="7"/>
      <c r="D377" s="14"/>
      <c r="E377" s="14"/>
    </row>
    <row r="378" spans="1:5" x14ac:dyDescent="0.3">
      <c r="A378" s="2"/>
      <c r="B378" s="2"/>
      <c r="C378" s="7"/>
      <c r="D378" s="14"/>
      <c r="E378" s="14"/>
    </row>
    <row r="379" spans="1:5" x14ac:dyDescent="0.3">
      <c r="A379" s="2"/>
      <c r="B379" s="2"/>
      <c r="C379" s="7"/>
      <c r="D379" s="14"/>
      <c r="E379" s="14"/>
    </row>
    <row r="380" spans="1:5" x14ac:dyDescent="0.3">
      <c r="A380" s="2"/>
      <c r="B380" s="2"/>
      <c r="C380" s="7"/>
      <c r="D380" s="14"/>
      <c r="E380" s="14"/>
    </row>
    <row r="381" spans="1:5" x14ac:dyDescent="0.3">
      <c r="A381" s="2"/>
      <c r="B381" s="2"/>
      <c r="C381" s="7"/>
      <c r="D381" s="14"/>
      <c r="E381" s="14"/>
    </row>
    <row r="382" spans="1:5" x14ac:dyDescent="0.3">
      <c r="A382" s="2"/>
      <c r="B382" s="2"/>
      <c r="C382" s="7"/>
      <c r="D382" s="14"/>
      <c r="E382" s="14"/>
    </row>
    <row r="383" spans="1:5" x14ac:dyDescent="0.3">
      <c r="A383" s="2"/>
      <c r="B383" s="2"/>
      <c r="C383" s="7"/>
      <c r="D383" s="14"/>
      <c r="E383" s="14"/>
    </row>
    <row r="384" spans="1:5" x14ac:dyDescent="0.3">
      <c r="A384" s="2"/>
      <c r="B384" s="2"/>
      <c r="C384" s="7"/>
      <c r="D384" s="14"/>
      <c r="E384" s="14"/>
    </row>
    <row r="385" spans="1:5" x14ac:dyDescent="0.3">
      <c r="A385" s="2"/>
      <c r="B385" s="2"/>
      <c r="C385" s="7"/>
      <c r="D385" s="14"/>
      <c r="E385" s="14"/>
    </row>
    <row r="386" spans="1:5" x14ac:dyDescent="0.3">
      <c r="A386" s="2"/>
      <c r="B386" s="2"/>
      <c r="C386" s="7"/>
      <c r="D386" s="14"/>
      <c r="E386" s="14"/>
    </row>
    <row r="387" spans="1:5" x14ac:dyDescent="0.3">
      <c r="A387" s="2"/>
      <c r="B387" s="2"/>
      <c r="C387" s="7"/>
      <c r="D387" s="14"/>
      <c r="E387" s="14"/>
    </row>
    <row r="388" spans="1:5" x14ac:dyDescent="0.3">
      <c r="A388" s="2"/>
      <c r="B388" s="2"/>
      <c r="C388" s="7"/>
      <c r="D388" s="14"/>
      <c r="E388" s="14"/>
    </row>
    <row r="389" spans="1:5" x14ac:dyDescent="0.3">
      <c r="A389" s="2"/>
      <c r="B389" s="2"/>
      <c r="C389" s="7"/>
      <c r="D389" s="14"/>
      <c r="E389" s="14"/>
    </row>
    <row r="390" spans="1:5" x14ac:dyDescent="0.3">
      <c r="A390" s="2"/>
      <c r="B390" s="2"/>
      <c r="C390" s="7"/>
      <c r="D390" s="14"/>
      <c r="E390" s="14"/>
    </row>
    <row r="391" spans="1:5" x14ac:dyDescent="0.3">
      <c r="A391" s="2"/>
      <c r="B391" s="2"/>
      <c r="C391" s="7"/>
      <c r="D391" s="14"/>
      <c r="E391" s="14"/>
    </row>
    <row r="392" spans="1:5" x14ac:dyDescent="0.3">
      <c r="A392" s="2"/>
      <c r="B392" s="2"/>
      <c r="C392" s="7"/>
      <c r="D392" s="14"/>
      <c r="E392" s="14"/>
    </row>
    <row r="393" spans="1:5" x14ac:dyDescent="0.3">
      <c r="A393" s="2"/>
      <c r="B393" s="2"/>
      <c r="C393" s="7"/>
      <c r="D393" s="14"/>
      <c r="E393" s="14"/>
    </row>
    <row r="394" spans="1:5" x14ac:dyDescent="0.3">
      <c r="A394" s="2"/>
      <c r="B394" s="2"/>
      <c r="C394" s="7"/>
      <c r="D394" s="14"/>
      <c r="E394" s="14"/>
    </row>
    <row r="395" spans="1:5" x14ac:dyDescent="0.3">
      <c r="A395" s="2"/>
      <c r="B395" s="2"/>
      <c r="C395" s="7"/>
      <c r="D395" s="14"/>
      <c r="E395" s="14"/>
    </row>
    <row r="396" spans="1:5" x14ac:dyDescent="0.3">
      <c r="A396" s="2"/>
      <c r="B396" s="2"/>
      <c r="C396" s="7"/>
      <c r="D396" s="14"/>
      <c r="E396" s="14"/>
    </row>
    <row r="397" spans="1:5" x14ac:dyDescent="0.3">
      <c r="A397" s="2"/>
      <c r="B397" s="2"/>
      <c r="C397" s="7"/>
      <c r="D397" s="14"/>
      <c r="E397" s="14"/>
    </row>
    <row r="398" spans="1:5" x14ac:dyDescent="0.3">
      <c r="A398" s="2"/>
      <c r="B398" s="2"/>
      <c r="C398" s="7"/>
      <c r="D398" s="14"/>
      <c r="E398" s="14"/>
    </row>
    <row r="399" spans="1:5" x14ac:dyDescent="0.3">
      <c r="A399" s="2"/>
      <c r="B399" s="2"/>
      <c r="C399" s="7"/>
      <c r="D399" s="14"/>
      <c r="E399" s="14"/>
    </row>
    <row r="400" spans="1:5" x14ac:dyDescent="0.3">
      <c r="A400" s="2"/>
      <c r="B400" s="2"/>
      <c r="C400" s="7"/>
      <c r="D400" s="14"/>
      <c r="E400" s="14"/>
    </row>
    <row r="401" spans="1:5" x14ac:dyDescent="0.3">
      <c r="A401" s="2"/>
      <c r="B401" s="2"/>
      <c r="C401" s="7"/>
      <c r="D401" s="14"/>
      <c r="E401" s="14"/>
    </row>
    <row r="402" spans="1:5" x14ac:dyDescent="0.3">
      <c r="A402" s="2"/>
      <c r="B402" s="2"/>
      <c r="C402" s="7"/>
      <c r="D402" s="14"/>
      <c r="E402" s="14"/>
    </row>
    <row r="403" spans="1:5" x14ac:dyDescent="0.3">
      <c r="A403" s="2"/>
      <c r="B403" s="2"/>
      <c r="C403" s="7"/>
      <c r="D403" s="14"/>
      <c r="E403" s="14"/>
    </row>
    <row r="404" spans="1:5" x14ac:dyDescent="0.3">
      <c r="A404" s="2"/>
      <c r="B404" s="2"/>
      <c r="C404" s="7"/>
      <c r="D404" s="14"/>
      <c r="E404" s="14"/>
    </row>
    <row r="405" spans="1:5" x14ac:dyDescent="0.3">
      <c r="A405" s="2"/>
      <c r="B405" s="2"/>
      <c r="C405" s="7"/>
      <c r="D405" s="14"/>
      <c r="E405" s="14"/>
    </row>
    <row r="406" spans="1:5" x14ac:dyDescent="0.3">
      <c r="A406" s="2"/>
      <c r="B406" s="2"/>
      <c r="C406" s="7"/>
      <c r="D406" s="14"/>
      <c r="E406" s="14"/>
    </row>
    <row r="407" spans="1:5" x14ac:dyDescent="0.3">
      <c r="A407" s="2"/>
      <c r="B407" s="2"/>
      <c r="C407" s="7"/>
      <c r="D407" s="14"/>
      <c r="E407" s="14"/>
    </row>
    <row r="408" spans="1:5" x14ac:dyDescent="0.3">
      <c r="A408" s="2"/>
      <c r="B408" s="2"/>
      <c r="C408" s="7"/>
      <c r="D408" s="14"/>
      <c r="E408" s="14"/>
    </row>
    <row r="409" spans="1:5" x14ac:dyDescent="0.3">
      <c r="A409" s="2"/>
      <c r="B409" s="2"/>
      <c r="C409" s="7"/>
      <c r="D409" s="14"/>
      <c r="E409" s="14"/>
    </row>
    <row r="410" spans="1:5" x14ac:dyDescent="0.3">
      <c r="A410" s="2"/>
      <c r="B410" s="2"/>
      <c r="C410" s="7"/>
      <c r="D410" s="14"/>
      <c r="E410" s="14"/>
    </row>
    <row r="411" spans="1:5" x14ac:dyDescent="0.3">
      <c r="A411" s="2"/>
      <c r="B411" s="2"/>
      <c r="C411" s="7"/>
      <c r="D411" s="14"/>
      <c r="E411" s="14"/>
    </row>
    <row r="412" spans="1:5" x14ac:dyDescent="0.3">
      <c r="A412" s="2"/>
      <c r="B412" s="2"/>
      <c r="C412" s="7"/>
      <c r="D412" s="14"/>
      <c r="E412" s="14"/>
    </row>
    <row r="413" spans="1:5" x14ac:dyDescent="0.3">
      <c r="A413" s="2"/>
      <c r="B413" s="2"/>
      <c r="C413" s="7"/>
      <c r="D413" s="14"/>
      <c r="E413" s="14"/>
    </row>
    <row r="414" spans="1:5" x14ac:dyDescent="0.3">
      <c r="A414" s="2"/>
      <c r="B414" s="2"/>
      <c r="C414" s="7"/>
      <c r="D414" s="14"/>
      <c r="E414" s="14"/>
    </row>
    <row r="415" spans="1:5" x14ac:dyDescent="0.3">
      <c r="A415" s="2"/>
      <c r="B415" s="2"/>
      <c r="C415" s="7"/>
      <c r="D415" s="14"/>
      <c r="E415" s="14"/>
    </row>
    <row r="416" spans="1:5" x14ac:dyDescent="0.3">
      <c r="A416" s="2"/>
      <c r="B416" s="2"/>
      <c r="C416" s="7"/>
      <c r="D416" s="14"/>
      <c r="E416" s="14"/>
    </row>
    <row r="417" spans="1:5" x14ac:dyDescent="0.3">
      <c r="A417" s="2"/>
      <c r="B417" s="2"/>
      <c r="C417" s="7"/>
      <c r="D417" s="14"/>
      <c r="E417" s="14"/>
    </row>
    <row r="418" spans="1:5" x14ac:dyDescent="0.3">
      <c r="A418" s="2"/>
      <c r="B418" s="2"/>
      <c r="C418" s="7"/>
      <c r="D418" s="14"/>
      <c r="E418" s="14"/>
    </row>
    <row r="419" spans="1:5" x14ac:dyDescent="0.3">
      <c r="A419" s="2"/>
      <c r="B419" s="2"/>
      <c r="C419" s="7"/>
      <c r="D419" s="14"/>
      <c r="E419" s="14"/>
    </row>
    <row r="420" spans="1:5" x14ac:dyDescent="0.3">
      <c r="A420" s="2"/>
      <c r="B420" s="2"/>
      <c r="C420" s="7"/>
      <c r="D420" s="14"/>
      <c r="E420" s="14"/>
    </row>
    <row r="421" spans="1:5" x14ac:dyDescent="0.3">
      <c r="A421" s="2"/>
      <c r="B421" s="2"/>
      <c r="C421" s="7"/>
      <c r="D421" s="14"/>
      <c r="E421" s="14"/>
    </row>
    <row r="422" spans="1:5" x14ac:dyDescent="0.3">
      <c r="A422" s="2"/>
      <c r="B422" s="2"/>
      <c r="C422" s="7"/>
      <c r="D422" s="14"/>
      <c r="E422" s="14"/>
    </row>
    <row r="423" spans="1:5" x14ac:dyDescent="0.3">
      <c r="A423" s="2"/>
      <c r="B423" s="2"/>
      <c r="C423" s="7"/>
      <c r="D423" s="14"/>
      <c r="E423" s="14"/>
    </row>
    <row r="424" spans="1:5" x14ac:dyDescent="0.3">
      <c r="A424" s="2"/>
      <c r="B424" s="2"/>
      <c r="C424" s="7"/>
      <c r="D424" s="14"/>
      <c r="E424" s="14"/>
    </row>
    <row r="425" spans="1:5" x14ac:dyDescent="0.3">
      <c r="A425" s="2"/>
      <c r="B425" s="2"/>
      <c r="C425" s="7"/>
      <c r="D425" s="14"/>
      <c r="E425" s="14"/>
    </row>
    <row r="426" spans="1:5" x14ac:dyDescent="0.3">
      <c r="A426" s="2"/>
      <c r="B426" s="2"/>
      <c r="C426" s="7"/>
      <c r="D426" s="14"/>
      <c r="E426" s="14"/>
    </row>
    <row r="427" spans="1:5" x14ac:dyDescent="0.3">
      <c r="A427" s="2"/>
      <c r="B427" s="2"/>
      <c r="C427" s="7"/>
      <c r="D427" s="14"/>
      <c r="E427" s="14"/>
    </row>
    <row r="428" spans="1:5" x14ac:dyDescent="0.3">
      <c r="A428" s="2"/>
      <c r="B428" s="2"/>
      <c r="C428" s="7"/>
      <c r="D428" s="14"/>
      <c r="E428" s="14"/>
    </row>
    <row r="429" spans="1:5" x14ac:dyDescent="0.3">
      <c r="A429" s="2"/>
      <c r="B429" s="2"/>
      <c r="C429" s="7"/>
      <c r="D429" s="14"/>
      <c r="E429" s="14"/>
    </row>
    <row r="430" spans="1:5" x14ac:dyDescent="0.3">
      <c r="A430" s="2"/>
      <c r="B430" s="2"/>
      <c r="C430" s="7"/>
      <c r="D430" s="14"/>
      <c r="E430" s="14"/>
    </row>
    <row r="431" spans="1:5" x14ac:dyDescent="0.3">
      <c r="A431" s="2"/>
      <c r="B431" s="2"/>
      <c r="C431" s="7"/>
      <c r="D431" s="14"/>
      <c r="E431" s="14"/>
    </row>
    <row r="432" spans="1:5" x14ac:dyDescent="0.3">
      <c r="A432" s="2"/>
      <c r="B432" s="2"/>
      <c r="C432" s="7"/>
      <c r="D432" s="14"/>
      <c r="E432" s="14"/>
    </row>
    <row r="433" spans="1:5" x14ac:dyDescent="0.3">
      <c r="A433" s="2"/>
      <c r="B433" s="2"/>
      <c r="C433" s="7"/>
      <c r="D433" s="14"/>
      <c r="E433" s="14"/>
    </row>
    <row r="434" spans="1:5" x14ac:dyDescent="0.3">
      <c r="A434" s="2"/>
      <c r="B434" s="2"/>
      <c r="C434" s="7"/>
      <c r="D434" s="14"/>
      <c r="E434" s="14"/>
    </row>
    <row r="435" spans="1:5" x14ac:dyDescent="0.3">
      <c r="A435" s="2"/>
      <c r="B435" s="2"/>
      <c r="C435" s="7"/>
      <c r="D435" s="14"/>
      <c r="E435" s="14"/>
    </row>
    <row r="436" spans="1:5" x14ac:dyDescent="0.3">
      <c r="A436" s="2"/>
      <c r="B436" s="2"/>
      <c r="C436" s="7"/>
      <c r="D436" s="14"/>
      <c r="E436" s="14"/>
    </row>
    <row r="437" spans="1:5" x14ac:dyDescent="0.3">
      <c r="A437" s="2"/>
      <c r="B437" s="2"/>
      <c r="C437" s="7"/>
      <c r="D437" s="14"/>
      <c r="E437" s="14"/>
    </row>
    <row r="438" spans="1:5" x14ac:dyDescent="0.3">
      <c r="A438" s="2"/>
      <c r="B438" s="2"/>
      <c r="C438" s="7"/>
      <c r="D438" s="14"/>
      <c r="E438" s="14"/>
    </row>
    <row r="439" spans="1:5" x14ac:dyDescent="0.3">
      <c r="A439" s="2"/>
      <c r="B439" s="2"/>
      <c r="C439" s="7"/>
      <c r="D439" s="14"/>
      <c r="E439" s="14"/>
    </row>
  </sheetData>
  <sheetProtection password="C74A" sheet="1" objects="1" scenarios="1" formatCells="0" formatColumns="0" formatRows="0"/>
  <customSheetViews>
    <customSheetView guid="{B8E02330-2419-4DE6-AD01-7ACC7A5D18DD}" scale="75" topLeftCell="A204">
      <selection activeCell="A2" sqref="A2:H226"/>
      <pageMargins left="0.75" right="0.75" top="1" bottom="1" header="0.5" footer="0.5"/>
      <pageSetup orientation="portrait" r:id="rId1"/>
      <headerFooter alignWithMargins="0"/>
    </customSheetView>
  </customSheetViews>
  <mergeCells count="136">
    <mergeCell ref="A10:A16"/>
    <mergeCell ref="A44:A49"/>
    <mergeCell ref="B34:B38"/>
    <mergeCell ref="B39:B43"/>
    <mergeCell ref="B3:B9"/>
    <mergeCell ref="H99:H103"/>
    <mergeCell ref="H160:H165"/>
    <mergeCell ref="H229:H233"/>
    <mergeCell ref="H226:H227"/>
    <mergeCell ref="H224:H225"/>
    <mergeCell ref="B10:B16"/>
    <mergeCell ref="B17:B20"/>
    <mergeCell ref="A50:A51"/>
    <mergeCell ref="A177:A182"/>
    <mergeCell ref="A197:A203"/>
    <mergeCell ref="A190:A196"/>
    <mergeCell ref="B226:B227"/>
    <mergeCell ref="A218:A222"/>
    <mergeCell ref="H56:H63"/>
    <mergeCell ref="A104:A110"/>
    <mergeCell ref="A139:A145"/>
    <mergeCell ref="H71:H75"/>
    <mergeCell ref="B146:B152"/>
    <mergeCell ref="B99:B103"/>
    <mergeCell ref="E1:H1"/>
    <mergeCell ref="C257:E257"/>
    <mergeCell ref="C258:E258"/>
    <mergeCell ref="A1:B1"/>
    <mergeCell ref="H28:H33"/>
    <mergeCell ref="A34:A38"/>
    <mergeCell ref="A39:A43"/>
    <mergeCell ref="H52:H55"/>
    <mergeCell ref="H34:H38"/>
    <mergeCell ref="H39:H43"/>
    <mergeCell ref="H17:H20"/>
    <mergeCell ref="A17:A20"/>
    <mergeCell ref="H50:H51"/>
    <mergeCell ref="H3:H9"/>
    <mergeCell ref="H44:H49"/>
    <mergeCell ref="A21:A27"/>
    <mergeCell ref="H10:H16"/>
    <mergeCell ref="H21:H27"/>
    <mergeCell ref="A3:A9"/>
    <mergeCell ref="A166:A171"/>
    <mergeCell ref="A160:A165"/>
    <mergeCell ref="A153:A158"/>
    <mergeCell ref="H76:H81"/>
    <mergeCell ref="H93:H98"/>
    <mergeCell ref="D254:F254"/>
    <mergeCell ref="H177:H182"/>
    <mergeCell ref="H111:H115"/>
    <mergeCell ref="H172:H176"/>
    <mergeCell ref="H241:H245"/>
    <mergeCell ref="H82:H85"/>
    <mergeCell ref="D253:F253"/>
    <mergeCell ref="D251:F251"/>
    <mergeCell ref="H246:H249"/>
    <mergeCell ref="H234:H240"/>
    <mergeCell ref="H153:H158"/>
    <mergeCell ref="H123:H132"/>
    <mergeCell ref="H146:H152"/>
    <mergeCell ref="H104:H110"/>
    <mergeCell ref="H116:H122"/>
    <mergeCell ref="H133:H137"/>
    <mergeCell ref="H204:H210"/>
    <mergeCell ref="H190:H196"/>
    <mergeCell ref="H218:H222"/>
    <mergeCell ref="H211:H217"/>
    <mergeCell ref="H197:H203"/>
    <mergeCell ref="A234:A240"/>
    <mergeCell ref="A183:A188"/>
    <mergeCell ref="H86:H92"/>
    <mergeCell ref="H139:H145"/>
    <mergeCell ref="A56:A63"/>
    <mergeCell ref="H183:H188"/>
    <mergeCell ref="H166:H171"/>
    <mergeCell ref="A172:A176"/>
    <mergeCell ref="A133:A137"/>
    <mergeCell ref="H65:H70"/>
    <mergeCell ref="A111:A115"/>
    <mergeCell ref="A146:A152"/>
    <mergeCell ref="A65:A70"/>
    <mergeCell ref="A76:A81"/>
    <mergeCell ref="B111:B115"/>
    <mergeCell ref="B104:B110"/>
    <mergeCell ref="A116:A122"/>
    <mergeCell ref="A86:A92"/>
    <mergeCell ref="A82:A85"/>
    <mergeCell ref="B21:B27"/>
    <mergeCell ref="B28:B33"/>
    <mergeCell ref="D256:F256"/>
    <mergeCell ref="D252:F252"/>
    <mergeCell ref="D255:F255"/>
    <mergeCell ref="B172:B176"/>
    <mergeCell ref="B166:B171"/>
    <mergeCell ref="B123:B132"/>
    <mergeCell ref="B133:B137"/>
    <mergeCell ref="B160:B165"/>
    <mergeCell ref="B76:B81"/>
    <mergeCell ref="B139:B145"/>
    <mergeCell ref="B82:B85"/>
    <mergeCell ref="B86:B92"/>
    <mergeCell ref="B153:B158"/>
    <mergeCell ref="B65:B70"/>
    <mergeCell ref="B229:B233"/>
    <mergeCell ref="B190:B196"/>
    <mergeCell ref="B234:B240"/>
    <mergeCell ref="B246:B249"/>
    <mergeCell ref="B211:B217"/>
    <mergeCell ref="B204:B210"/>
    <mergeCell ref="B197:B203"/>
    <mergeCell ref="B241:B245"/>
    <mergeCell ref="A28:A33"/>
    <mergeCell ref="C251:C256"/>
    <mergeCell ref="B218:B222"/>
    <mergeCell ref="A93:A98"/>
    <mergeCell ref="A229:A233"/>
    <mergeCell ref="B93:B98"/>
    <mergeCell ref="B177:B182"/>
    <mergeCell ref="B224:B225"/>
    <mergeCell ref="B44:B49"/>
    <mergeCell ref="B183:B188"/>
    <mergeCell ref="A52:A55"/>
    <mergeCell ref="A71:A75"/>
    <mergeCell ref="A123:A132"/>
    <mergeCell ref="B50:B51"/>
    <mergeCell ref="B52:B55"/>
    <mergeCell ref="B56:B63"/>
    <mergeCell ref="B71:B75"/>
    <mergeCell ref="B116:B122"/>
    <mergeCell ref="A246:A249"/>
    <mergeCell ref="A224:A225"/>
    <mergeCell ref="A211:A217"/>
    <mergeCell ref="A226:A227"/>
    <mergeCell ref="A204:A210"/>
    <mergeCell ref="A241:A245"/>
  </mergeCells>
  <phoneticPr fontId="3" type="noConversion"/>
  <pageMargins left="0.75" right="0.75" top="1" bottom="1" header="0.5" footer="0.5"/>
  <pageSetup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M284"/>
  <sheetViews>
    <sheetView zoomScaleNormal="100" workbookViewId="0">
      <selection activeCell="C262" sqref="C262:C268"/>
    </sheetView>
  </sheetViews>
  <sheetFormatPr defaultColWidth="9.33203125" defaultRowHeight="13.8" x14ac:dyDescent="0.3"/>
  <cols>
    <col min="1" max="1" width="5.77734375" style="55" customWidth="1"/>
    <col min="2" max="2" width="18.77734375" style="55" customWidth="1"/>
    <col min="3" max="3" width="75.77734375" style="33" customWidth="1"/>
    <col min="4" max="4" width="8.44140625" style="64" customWidth="1"/>
    <col min="5" max="6" width="8.6640625" style="64" customWidth="1"/>
    <col min="7" max="7" width="13.109375" style="56" customWidth="1"/>
    <col min="8" max="8" width="75.77734375" style="72" customWidth="1"/>
    <col min="9" max="9" width="14.6640625" style="55" customWidth="1"/>
    <col min="10" max="16384" width="9.33203125" style="37"/>
  </cols>
  <sheetData>
    <row r="1" spans="1:9" s="101" customFormat="1" ht="64.5" customHeight="1" thickBot="1" x14ac:dyDescent="0.3">
      <c r="A1" s="1826" t="s">
        <v>586</v>
      </c>
      <c r="B1" s="1827"/>
      <c r="C1" s="151" t="s">
        <v>585</v>
      </c>
      <c r="D1" s="1165" t="s">
        <v>1187</v>
      </c>
      <c r="E1" s="2049"/>
      <c r="F1" s="2050"/>
      <c r="G1" s="2050"/>
      <c r="H1" s="2050"/>
      <c r="I1" s="21"/>
    </row>
    <row r="2" spans="1:9" s="361" customFormat="1" ht="47.25" customHeight="1" thickBot="1" x14ac:dyDescent="0.3">
      <c r="A2" s="946" t="s">
        <v>126</v>
      </c>
      <c r="B2" s="786" t="s">
        <v>1458</v>
      </c>
      <c r="C2" s="831" t="s">
        <v>1271</v>
      </c>
      <c r="D2" s="1166" t="s">
        <v>115</v>
      </c>
      <c r="E2" s="789" t="s">
        <v>771</v>
      </c>
      <c r="F2" s="787" t="s">
        <v>1462</v>
      </c>
      <c r="G2" s="790" t="s">
        <v>1273</v>
      </c>
      <c r="H2" s="786" t="s">
        <v>772</v>
      </c>
    </row>
    <row r="3" spans="1:9" s="36" customFormat="1" ht="21" customHeight="1" thickBot="1" x14ac:dyDescent="0.35">
      <c r="A3" s="2054" t="str">
        <f>OF!A11</f>
        <v>OF2</v>
      </c>
      <c r="B3" s="2000" t="str">
        <f>OF!B11</f>
        <v>Distance to Tidal Waters (DistTidal)</v>
      </c>
      <c r="C3" s="1137" t="str">
        <f>OF!C11</f>
        <v>The distance from the AA edge to the closest body of tidal water is:</v>
      </c>
      <c r="D3" s="65"/>
      <c r="E3" s="46"/>
      <c r="F3" s="46"/>
      <c r="G3" s="947">
        <f>MAX(F4:F6)/MAX(E4:E6)</f>
        <v>0</v>
      </c>
      <c r="H3" s="1521" t="s">
        <v>695</v>
      </c>
      <c r="I3" s="33"/>
    </row>
    <row r="4" spans="1:9" s="36" customFormat="1" ht="16.2" customHeight="1" x14ac:dyDescent="0.3">
      <c r="A4" s="2055"/>
      <c r="B4" s="2000"/>
      <c r="C4" s="1111" t="str">
        <f>OF!C12</f>
        <v>&lt;1 mile.</v>
      </c>
      <c r="D4" s="47">
        <f>OF!D12</f>
        <v>0</v>
      </c>
      <c r="E4" s="49">
        <v>2</v>
      </c>
      <c r="F4" s="45">
        <f>D4*E4</f>
        <v>0</v>
      </c>
      <c r="G4" s="1167" t="s">
        <v>441</v>
      </c>
      <c r="H4" s="1521"/>
      <c r="I4" s="33"/>
    </row>
    <row r="5" spans="1:9" s="36" customFormat="1" ht="16.2" customHeight="1" x14ac:dyDescent="0.3">
      <c r="A5" s="2055"/>
      <c r="B5" s="2000"/>
      <c r="C5" s="453" t="str">
        <f>OF!C13</f>
        <v>1-5 miles.</v>
      </c>
      <c r="D5" s="47">
        <f>OF!D13</f>
        <v>0</v>
      </c>
      <c r="E5" s="49">
        <v>1</v>
      </c>
      <c r="F5" s="45">
        <f>D5*E5</f>
        <v>0</v>
      </c>
      <c r="G5" s="59"/>
      <c r="H5" s="1521"/>
      <c r="I5" s="33"/>
    </row>
    <row r="6" spans="1:9" s="36" customFormat="1" ht="16.2" customHeight="1" thickBot="1" x14ac:dyDescent="0.35">
      <c r="A6" s="2056"/>
      <c r="B6" s="2000"/>
      <c r="C6" s="453" t="str">
        <f>OF!C14</f>
        <v>&gt;5 miles.</v>
      </c>
      <c r="D6" s="80">
        <f>OF!D14</f>
        <v>0</v>
      </c>
      <c r="E6" s="67">
        <v>0</v>
      </c>
      <c r="F6" s="54">
        <f>D6*E6</f>
        <v>0</v>
      </c>
      <c r="G6" s="58"/>
      <c r="H6" s="1521"/>
      <c r="I6" s="33"/>
    </row>
    <row r="7" spans="1:9" ht="30" customHeight="1" thickBot="1" x14ac:dyDescent="0.35">
      <c r="A7" s="2025" t="str">
        <f>OF!A15</f>
        <v>OF3</v>
      </c>
      <c r="B7" s="2002" t="str">
        <f>OF!B15</f>
        <v>Distance to Ponded Water (DistPond)</v>
      </c>
      <c r="C7" s="1110" t="str">
        <f>OF!C15</f>
        <v>The distance from the AA edge to the closest (but separate) body of nontidal fresh water (wetland, pond, or lake) that  is ponded all or most of the year is:</v>
      </c>
      <c r="D7" s="549"/>
      <c r="E7" s="210"/>
      <c r="F7" s="241"/>
      <c r="G7" s="948">
        <f>MAX(F8:F13)/MAX(E8:E13)</f>
        <v>0</v>
      </c>
      <c r="H7" s="1522" t="s">
        <v>693</v>
      </c>
      <c r="I7" s="3"/>
    </row>
    <row r="8" spans="1:9" ht="16.2" customHeight="1" x14ac:dyDescent="0.3">
      <c r="A8" s="2026"/>
      <c r="B8" s="2000"/>
      <c r="C8" s="1111" t="str">
        <f>OF!C16</f>
        <v>&lt;100 ft.</v>
      </c>
      <c r="D8" s="47">
        <f>OF!D16</f>
        <v>0</v>
      </c>
      <c r="E8" s="49">
        <v>10</v>
      </c>
      <c r="F8" s="45">
        <f t="shared" ref="F8:F35" si="0">D8*E8</f>
        <v>0</v>
      </c>
      <c r="G8" s="956"/>
      <c r="H8" s="1521"/>
    </row>
    <row r="9" spans="1:9" ht="16.2" customHeight="1" x14ac:dyDescent="0.3">
      <c r="A9" s="2026"/>
      <c r="B9" s="2000"/>
      <c r="C9" s="453" t="str">
        <f>OF!C17</f>
        <v>100 to &lt;300 ft.</v>
      </c>
      <c r="D9" s="47">
        <f>OF!D17</f>
        <v>0</v>
      </c>
      <c r="E9" s="49">
        <v>8</v>
      </c>
      <c r="F9" s="45">
        <f t="shared" si="0"/>
        <v>0</v>
      </c>
      <c r="G9" s="957"/>
      <c r="H9" s="1521"/>
    </row>
    <row r="10" spans="1:9" ht="16.2" customHeight="1" x14ac:dyDescent="0.3">
      <c r="A10" s="2026"/>
      <c r="B10" s="2000"/>
      <c r="C10" s="453" t="str">
        <f>OF!C18</f>
        <v>300 to &lt;1000 ft.</v>
      </c>
      <c r="D10" s="47">
        <f>OF!D18</f>
        <v>0</v>
      </c>
      <c r="E10" s="49">
        <v>7</v>
      </c>
      <c r="F10" s="45">
        <f t="shared" si="0"/>
        <v>0</v>
      </c>
      <c r="G10" s="957"/>
      <c r="H10" s="1521"/>
    </row>
    <row r="11" spans="1:9" ht="16.2" customHeight="1" x14ac:dyDescent="0.3">
      <c r="A11" s="2026"/>
      <c r="B11" s="2000"/>
      <c r="C11" s="453" t="str">
        <f>OF!C19</f>
        <v>1000 ft. to &lt; 0.5 mile.</v>
      </c>
      <c r="D11" s="47">
        <f>OF!D19</f>
        <v>0</v>
      </c>
      <c r="E11" s="49">
        <v>4</v>
      </c>
      <c r="F11" s="45">
        <f t="shared" si="0"/>
        <v>0</v>
      </c>
      <c r="G11" s="957"/>
      <c r="H11" s="1521"/>
    </row>
    <row r="12" spans="1:9" ht="16.2" customHeight="1" x14ac:dyDescent="0.3">
      <c r="A12" s="2026"/>
      <c r="B12" s="2000"/>
      <c r="C12" s="453" t="str">
        <f>OF!C20</f>
        <v>0.5 mile to 2 miles.</v>
      </c>
      <c r="D12" s="47">
        <f>OF!D20</f>
        <v>0</v>
      </c>
      <c r="E12" s="49">
        <v>3</v>
      </c>
      <c r="F12" s="45">
        <f t="shared" si="0"/>
        <v>0</v>
      </c>
      <c r="G12" s="957"/>
      <c r="H12" s="1521"/>
    </row>
    <row r="13" spans="1:9" ht="16.2" customHeight="1" thickBot="1" x14ac:dyDescent="0.35">
      <c r="A13" s="2027"/>
      <c r="B13" s="2003"/>
      <c r="C13" s="451" t="str">
        <f>OF!C21</f>
        <v>&gt;2 miles.</v>
      </c>
      <c r="D13" s="80">
        <f>OF!D21</f>
        <v>0</v>
      </c>
      <c r="E13" s="245">
        <v>1</v>
      </c>
      <c r="F13" s="193">
        <f t="shared" si="0"/>
        <v>0</v>
      </c>
      <c r="G13" s="958"/>
      <c r="H13" s="1523"/>
    </row>
    <row r="14" spans="1:9" ht="30" customHeight="1" thickBot="1" x14ac:dyDescent="0.35">
      <c r="A14" s="2026" t="str">
        <f>OF!A22</f>
        <v>OF4</v>
      </c>
      <c r="B14" s="2000" t="str">
        <f>OF!B22</f>
        <v>Distance to Lake (DistLake)</v>
      </c>
      <c r="C14" s="1112" t="str">
        <f>OF!C22</f>
        <v>The distance from the AA edge to the closest (but separate) body of nontidal fresh water that is ponded during most of the year and is larger than 20 acres (about 1000 ft on a side) is:</v>
      </c>
      <c r="D14" s="549"/>
      <c r="E14" s="65"/>
      <c r="F14" s="46"/>
      <c r="G14" s="947">
        <f>MAX(F15:F17)/MAX(E15:E17)</f>
        <v>0</v>
      </c>
      <c r="H14" s="1521" t="s">
        <v>694</v>
      </c>
    </row>
    <row r="15" spans="1:9" ht="16.2" customHeight="1" x14ac:dyDescent="0.3">
      <c r="A15" s="2026"/>
      <c r="B15" s="2000"/>
      <c r="C15" s="893" t="str">
        <f>OF!C23</f>
        <v>&lt;1 mile.</v>
      </c>
      <c r="D15" s="47">
        <f>OF!D23</f>
        <v>0</v>
      </c>
      <c r="E15" s="49">
        <v>3</v>
      </c>
      <c r="F15" s="54">
        <f t="shared" si="0"/>
        <v>0</v>
      </c>
      <c r="G15" s="957"/>
      <c r="H15" s="1521"/>
    </row>
    <row r="16" spans="1:9" ht="16.2" customHeight="1" x14ac:dyDescent="0.3">
      <c r="A16" s="2026"/>
      <c r="B16" s="2000"/>
      <c r="C16" s="894" t="str">
        <f>OF!C24</f>
        <v>1-5 miles.</v>
      </c>
      <c r="D16" s="47">
        <f>OF!D24</f>
        <v>0</v>
      </c>
      <c r="E16" s="49">
        <v>2</v>
      </c>
      <c r="F16" s="54">
        <f t="shared" si="0"/>
        <v>0</v>
      </c>
      <c r="G16" s="957"/>
      <c r="H16" s="1521"/>
    </row>
    <row r="17" spans="1:9" ht="16.2" customHeight="1" thickBot="1" x14ac:dyDescent="0.35">
      <c r="A17" s="2026"/>
      <c r="B17" s="2000"/>
      <c r="C17" s="1039" t="str">
        <f>OF!C25</f>
        <v>&gt;5 miles.</v>
      </c>
      <c r="D17" s="80">
        <f>OF!D25</f>
        <v>0</v>
      </c>
      <c r="E17" s="67">
        <v>0</v>
      </c>
      <c r="F17" s="54">
        <f t="shared" si="0"/>
        <v>0</v>
      </c>
      <c r="G17" s="959"/>
      <c r="H17" s="1521"/>
    </row>
    <row r="18" spans="1:9" s="94" customFormat="1" ht="30" customHeight="1" thickBot="1" x14ac:dyDescent="0.35">
      <c r="A18" s="1989" t="str">
        <f>OF!A26</f>
        <v>OF5</v>
      </c>
      <c r="B18" s="1599" t="str">
        <f>OF!B26</f>
        <v>Distance to Herbaceous Open Land (DistOpenL)</v>
      </c>
      <c r="C18" s="75" t="str">
        <f>OF!C26</f>
        <v>The distance from the AA edge to the closest patch of herbaceous openland larger than 10 acres and in flat terrain is:</v>
      </c>
      <c r="D18" s="549"/>
      <c r="E18" s="1007"/>
      <c r="F18" s="955"/>
      <c r="G18" s="948">
        <f>MAX(F19:F24)/MAX(E19:E24)</f>
        <v>0</v>
      </c>
      <c r="H18" s="1522" t="s">
        <v>692</v>
      </c>
      <c r="I18" s="3"/>
    </row>
    <row r="19" spans="1:9" s="94" customFormat="1" ht="16.2" customHeight="1" x14ac:dyDescent="0.3">
      <c r="A19" s="1990"/>
      <c r="B19" s="1582"/>
      <c r="C19" s="215" t="str">
        <f>OF!C27</f>
        <v>&lt;100 ft.</v>
      </c>
      <c r="D19" s="47">
        <f>OF!D27</f>
        <v>0</v>
      </c>
      <c r="E19" s="952">
        <v>7</v>
      </c>
      <c r="F19" s="54">
        <f t="shared" si="0"/>
        <v>0</v>
      </c>
      <c r="G19" s="1029"/>
      <c r="H19" s="1521"/>
      <c r="I19" s="3"/>
    </row>
    <row r="20" spans="1:9" s="94" customFormat="1" ht="16.2" customHeight="1" x14ac:dyDescent="0.3">
      <c r="A20" s="1990"/>
      <c r="B20" s="1582"/>
      <c r="C20" s="215" t="str">
        <f>OF!C28</f>
        <v>100 to &lt;300 ft.</v>
      </c>
      <c r="D20" s="47">
        <f>OF!D28</f>
        <v>0</v>
      </c>
      <c r="E20" s="952">
        <v>6</v>
      </c>
      <c r="F20" s="54">
        <f t="shared" si="0"/>
        <v>0</v>
      </c>
      <c r="G20" s="1029"/>
      <c r="H20" s="1521"/>
      <c r="I20" s="3"/>
    </row>
    <row r="21" spans="1:9" s="94" customFormat="1" ht="16.2" customHeight="1" x14ac:dyDescent="0.3">
      <c r="A21" s="1990"/>
      <c r="B21" s="1582"/>
      <c r="C21" s="215" t="str">
        <f>OF!C29</f>
        <v>300 to &lt;1000 ft.</v>
      </c>
      <c r="D21" s="47">
        <f>OF!D29</f>
        <v>0</v>
      </c>
      <c r="E21" s="952">
        <v>4</v>
      </c>
      <c r="F21" s="54">
        <f t="shared" si="0"/>
        <v>0</v>
      </c>
      <c r="G21" s="1029"/>
      <c r="H21" s="1521"/>
      <c r="I21" s="3"/>
    </row>
    <row r="22" spans="1:9" s="94" customFormat="1" ht="16.2" customHeight="1" x14ac:dyDescent="0.3">
      <c r="A22" s="1990"/>
      <c r="B22" s="1582"/>
      <c r="C22" s="215" t="str">
        <f>OF!C30</f>
        <v>1000 ft. to &lt; 0.5 mile.</v>
      </c>
      <c r="D22" s="47">
        <f>OF!D30</f>
        <v>0</v>
      </c>
      <c r="E22" s="952">
        <v>3</v>
      </c>
      <c r="F22" s="54">
        <f t="shared" si="0"/>
        <v>0</v>
      </c>
      <c r="G22" s="1029"/>
      <c r="H22" s="1521"/>
      <c r="I22" s="3"/>
    </row>
    <row r="23" spans="1:9" s="94" customFormat="1" ht="16.2" customHeight="1" x14ac:dyDescent="0.3">
      <c r="A23" s="1990"/>
      <c r="B23" s="1582"/>
      <c r="C23" s="215" t="str">
        <f>OF!C31</f>
        <v>0.5 mile to  2 miles.</v>
      </c>
      <c r="D23" s="47">
        <f>OF!D31</f>
        <v>0</v>
      </c>
      <c r="E23" s="952">
        <v>2</v>
      </c>
      <c r="F23" s="54">
        <f t="shared" si="0"/>
        <v>0</v>
      </c>
      <c r="G23" s="1029"/>
      <c r="H23" s="1521"/>
      <c r="I23" s="3"/>
    </row>
    <row r="24" spans="1:9" s="94" customFormat="1" ht="16.2" customHeight="1" thickBot="1" x14ac:dyDescent="0.35">
      <c r="A24" s="1991"/>
      <c r="B24" s="1600"/>
      <c r="C24" s="465" t="str">
        <f>OF!C32</f>
        <v>&gt;2 miles.</v>
      </c>
      <c r="D24" s="80">
        <f>OF!D32</f>
        <v>0</v>
      </c>
      <c r="E24" s="1008">
        <v>0</v>
      </c>
      <c r="F24" s="193">
        <f t="shared" si="0"/>
        <v>0</v>
      </c>
      <c r="G24" s="1030"/>
      <c r="H24" s="1523"/>
      <c r="I24" s="3"/>
    </row>
    <row r="25" spans="1:9" s="94" customFormat="1" ht="21" customHeight="1" thickBot="1" x14ac:dyDescent="0.35">
      <c r="A25" s="1990" t="str">
        <f>OF!A65</f>
        <v>OF11</v>
      </c>
      <c r="B25" s="1582" t="str">
        <f>OF!B65</f>
        <v>Herbaceous Open Land Percentage (OpenLpct)</v>
      </c>
      <c r="C25" s="244" t="str">
        <f>OF!C65</f>
        <v>Within a 2-mile radius of the AA center, the amount of herbaceous openland in flat terrain is:</v>
      </c>
      <c r="D25" s="549"/>
      <c r="E25" s="1009"/>
      <c r="F25" s="963"/>
      <c r="G25" s="947">
        <f>MAX(F26:F30)/MAX(E26:E30)</f>
        <v>0</v>
      </c>
      <c r="H25" s="1521" t="s">
        <v>1401</v>
      </c>
      <c r="I25" s="3"/>
    </row>
    <row r="26" spans="1:9" s="94" customFormat="1" ht="16.2" customHeight="1" x14ac:dyDescent="0.3">
      <c r="A26" s="1990"/>
      <c r="B26" s="1582"/>
      <c r="C26" s="215" t="str">
        <f>OF!C66</f>
        <v>&lt;5% of the land.</v>
      </c>
      <c r="D26" s="47">
        <f>OF!D66</f>
        <v>0</v>
      </c>
      <c r="E26" s="952">
        <v>0</v>
      </c>
      <c r="F26" s="54">
        <f t="shared" si="0"/>
        <v>0</v>
      </c>
      <c r="G26" s="1029"/>
      <c r="H26" s="1521"/>
      <c r="I26" s="3"/>
    </row>
    <row r="27" spans="1:9" s="94" customFormat="1" ht="16.2" customHeight="1" x14ac:dyDescent="0.3">
      <c r="A27" s="1990"/>
      <c r="B27" s="1582"/>
      <c r="C27" s="215" t="str">
        <f>OF!C67</f>
        <v>5 to &lt;20%.</v>
      </c>
      <c r="D27" s="47">
        <f>OF!D67</f>
        <v>0</v>
      </c>
      <c r="E27" s="952">
        <v>1</v>
      </c>
      <c r="F27" s="54">
        <f t="shared" si="0"/>
        <v>0</v>
      </c>
      <c r="G27" s="1029"/>
      <c r="H27" s="1521"/>
      <c r="I27" s="3"/>
    </row>
    <row r="28" spans="1:9" s="94" customFormat="1" ht="16.2" customHeight="1" x14ac:dyDescent="0.3">
      <c r="A28" s="1990"/>
      <c r="B28" s="1582"/>
      <c r="C28" s="215" t="str">
        <f>OF!C68</f>
        <v>20 to &lt;50%.</v>
      </c>
      <c r="D28" s="47">
        <f>OF!D68</f>
        <v>0</v>
      </c>
      <c r="E28" s="952">
        <v>2</v>
      </c>
      <c r="F28" s="54">
        <f t="shared" si="0"/>
        <v>0</v>
      </c>
      <c r="G28" s="1029"/>
      <c r="H28" s="1521"/>
      <c r="I28" s="3"/>
    </row>
    <row r="29" spans="1:9" s="94" customFormat="1" ht="16.2" customHeight="1" x14ac:dyDescent="0.3">
      <c r="A29" s="1990"/>
      <c r="B29" s="1582"/>
      <c r="C29" s="215" t="str">
        <f>OF!C69</f>
        <v>50 to 80%.</v>
      </c>
      <c r="D29" s="47">
        <f>OF!D69</f>
        <v>0</v>
      </c>
      <c r="E29" s="952">
        <v>4</v>
      </c>
      <c r="F29" s="54">
        <f t="shared" si="0"/>
        <v>0</v>
      </c>
      <c r="G29" s="1029"/>
      <c r="H29" s="1521"/>
      <c r="I29" s="3"/>
    </row>
    <row r="30" spans="1:9" s="94" customFormat="1" ht="16.2" customHeight="1" thickBot="1" x14ac:dyDescent="0.35">
      <c r="A30" s="1990"/>
      <c r="B30" s="1582"/>
      <c r="C30" s="2" t="str">
        <f>OF!C70</f>
        <v>&gt;80%.</v>
      </c>
      <c r="D30" s="80">
        <f>OF!D70</f>
        <v>0</v>
      </c>
      <c r="E30" s="1010">
        <v>6</v>
      </c>
      <c r="F30" s="54">
        <f t="shared" si="0"/>
        <v>0</v>
      </c>
      <c r="G30" s="1114"/>
      <c r="H30" s="1521"/>
      <c r="I30" s="3"/>
    </row>
    <row r="31" spans="1:9" s="94" customFormat="1" ht="60" customHeight="1" thickBot="1" x14ac:dyDescent="0.35">
      <c r="A31" s="1989" t="str">
        <f>OF!A81</f>
        <v>OF14</v>
      </c>
      <c r="B31" s="1599" t="str">
        <f>OF!B81</f>
        <v>Wetland Number &amp; Diversity Uniqueness (HUCbest)</v>
      </c>
      <c r="C31" s="836" t="str">
        <f>OF!C81</f>
        <v>According to the ORWAP Report, this AA is located in one of the HUCs that are listed as having a large diversity, area, or number of wetlands relative to the area of the HUC.   Select All of the following that are true:</v>
      </c>
      <c r="D31" s="549"/>
      <c r="E31" s="1007"/>
      <c r="F31" s="241"/>
      <c r="G31" s="948">
        <f>IF((D36=1),"",MAX(F32:F35)/MAX(E32:E35))</f>
        <v>0</v>
      </c>
      <c r="H31" s="1522" t="s">
        <v>696</v>
      </c>
      <c r="I31" s="3"/>
    </row>
    <row r="32" spans="1:9" s="94" customFormat="1" ht="16.2" customHeight="1" x14ac:dyDescent="0.3">
      <c r="A32" s="1990"/>
      <c r="B32" s="1582"/>
      <c r="C32" s="449" t="str">
        <f>OF!C82</f>
        <v xml:space="preserve">Yes, for the HUC8 watershed               
</v>
      </c>
      <c r="D32" s="47">
        <f>OF!D82</f>
        <v>0</v>
      </c>
      <c r="E32" s="952">
        <v>3</v>
      </c>
      <c r="F32" s="54">
        <f t="shared" si="0"/>
        <v>0</v>
      </c>
      <c r="G32" s="963"/>
      <c r="H32" s="1521"/>
      <c r="I32" s="3"/>
    </row>
    <row r="33" spans="1:9" s="94" customFormat="1" ht="16.2" customHeight="1" x14ac:dyDescent="0.3">
      <c r="A33" s="1990"/>
      <c r="B33" s="1582"/>
      <c r="C33" s="450" t="str">
        <f>OF!C83</f>
        <v xml:space="preserve">Yes, for the HUC10 watershed </v>
      </c>
      <c r="D33" s="47">
        <f>OF!D83</f>
        <v>0</v>
      </c>
      <c r="E33" s="952">
        <v>2</v>
      </c>
      <c r="F33" s="54">
        <f t="shared" si="0"/>
        <v>0</v>
      </c>
      <c r="G33" s="1029"/>
      <c r="H33" s="1521"/>
      <c r="I33" s="3"/>
    </row>
    <row r="34" spans="1:9" s="94" customFormat="1" ht="16.2" customHeight="1" x14ac:dyDescent="0.3">
      <c r="A34" s="1990"/>
      <c r="B34" s="1582"/>
      <c r="C34" s="450" t="str">
        <f>OF!C84</f>
        <v xml:space="preserve">Yes, for the HUC12 watershed </v>
      </c>
      <c r="D34" s="47">
        <f>OF!D84</f>
        <v>0</v>
      </c>
      <c r="E34" s="952">
        <v>1</v>
      </c>
      <c r="F34" s="54">
        <f t="shared" si="0"/>
        <v>0</v>
      </c>
      <c r="G34" s="1029"/>
      <c r="H34" s="1521"/>
      <c r="I34" s="3"/>
    </row>
    <row r="35" spans="1:9" s="94" customFormat="1" ht="16.2" customHeight="1" x14ac:dyDescent="0.3">
      <c r="A35" s="1990"/>
      <c r="B35" s="1582"/>
      <c r="C35" s="450" t="str">
        <f>OF!C85</f>
        <v>None of above.</v>
      </c>
      <c r="D35" s="47">
        <f>OF!D85</f>
        <v>0</v>
      </c>
      <c r="E35" s="952">
        <v>0</v>
      </c>
      <c r="F35" s="54">
        <f t="shared" si="0"/>
        <v>0</v>
      </c>
      <c r="G35" s="1029"/>
      <c r="H35" s="1521"/>
      <c r="I35" s="3"/>
    </row>
    <row r="36" spans="1:9" s="94" customFormat="1" ht="16.2" customHeight="1" thickBot="1" x14ac:dyDescent="0.35">
      <c r="A36" s="1991"/>
      <c r="B36" s="1600"/>
      <c r="C36" s="443" t="str">
        <f>OF!C86</f>
        <v>Data are inadequate (NWI mapping not completed in HUC).</v>
      </c>
      <c r="D36" s="80">
        <f>OF!D86</f>
        <v>0</v>
      </c>
      <c r="E36" s="1008"/>
      <c r="F36" s="193"/>
      <c r="G36" s="1030"/>
      <c r="H36" s="1523"/>
      <c r="I36" s="3"/>
    </row>
    <row r="37" spans="1:9" ht="75" customHeight="1" thickBot="1" x14ac:dyDescent="0.35">
      <c r="A37" s="2026" t="str">
        <f>OF!A152</f>
        <v>OF28</v>
      </c>
      <c r="B37" s="2000" t="str">
        <f>OF!B152</f>
        <v>Input Water - Recognized Quality Issues (WQin)</v>
      </c>
      <c r="C37" s="1119"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37" s="210"/>
      <c r="E37" s="65"/>
      <c r="F37" s="60"/>
      <c r="G37" s="947">
        <f>IF((OF!D159=1),"", IF((D38=0),1,0))</f>
        <v>1</v>
      </c>
      <c r="H37" s="1521" t="s">
        <v>1599</v>
      </c>
      <c r="I37" s="3"/>
    </row>
    <row r="38" spans="1:9" ht="16.2" customHeight="1" thickBot="1" x14ac:dyDescent="0.35">
      <c r="A38" s="2026"/>
      <c r="B38" s="2000"/>
      <c r="C38" s="1120" t="str">
        <f>OF!C156</f>
        <v>Petrochemicals, heavy metals (iron, manganese, lead, zinc, etc.), other toxins.</v>
      </c>
      <c r="D38" s="80">
        <f>OF!D156</f>
        <v>0</v>
      </c>
      <c r="E38" s="67"/>
      <c r="F38" s="54"/>
      <c r="G38" s="994"/>
      <c r="H38" s="1521"/>
    </row>
    <row r="39" spans="1:9" ht="21" customHeight="1" thickBot="1" x14ac:dyDescent="0.35">
      <c r="A39" s="2004" t="str">
        <f>OF!A159</f>
        <v>OF29</v>
      </c>
      <c r="B39" s="1688" t="str">
        <f>OF!B159</f>
        <v>Duration of Connection Beween Problem Area &amp; the AA (ConnecUp)</v>
      </c>
      <c r="C39" s="931" t="str">
        <f>OF!C159</f>
        <v>The upstream problem area mentioned above (OF28) has a surface water connection to the AA:</v>
      </c>
      <c r="D39" s="549"/>
      <c r="E39" s="1007"/>
      <c r="F39" s="1121"/>
      <c r="G39" s="948" t="str">
        <f>IF((D38=1),MAX(F40:F42)/MAX(E40:E42),"")</f>
        <v/>
      </c>
      <c r="H39" s="1547" t="s">
        <v>394</v>
      </c>
      <c r="I39" s="3"/>
    </row>
    <row r="40" spans="1:9" ht="16.2" customHeight="1" x14ac:dyDescent="0.3">
      <c r="A40" s="2005"/>
      <c r="B40" s="1689"/>
      <c r="C40" s="1120" t="str">
        <f>OF!C160</f>
        <v>For 9 or more continuous months annually.</v>
      </c>
      <c r="D40" s="47">
        <f>OF!D160</f>
        <v>0</v>
      </c>
      <c r="E40" s="952">
        <v>0</v>
      </c>
      <c r="F40" s="1122">
        <f>D40*E40</f>
        <v>0</v>
      </c>
      <c r="G40" s="792"/>
      <c r="H40" s="1548"/>
    </row>
    <row r="41" spans="1:9" ht="16.2" customHeight="1" x14ac:dyDescent="0.3">
      <c r="A41" s="2005"/>
      <c r="B41" s="1689"/>
      <c r="C41" s="1039" t="str">
        <f>OF!C161</f>
        <v>Intermittently (at least once annually, but for less than 9 months continually).</v>
      </c>
      <c r="D41" s="47">
        <f>OF!D161</f>
        <v>0</v>
      </c>
      <c r="E41" s="952">
        <v>1</v>
      </c>
      <c r="F41" s="1122">
        <f>D41*E41</f>
        <v>0</v>
      </c>
      <c r="G41" s="792"/>
      <c r="H41" s="1548"/>
    </row>
    <row r="42" spans="1:9" ht="16.2" customHeight="1" thickBot="1" x14ac:dyDescent="0.35">
      <c r="A42" s="2005"/>
      <c r="B42" s="1689"/>
      <c r="C42" s="1039" t="str">
        <f>OF!C162</f>
        <v>Never (or less than annually).</v>
      </c>
      <c r="D42" s="80">
        <f>OF!D162</f>
        <v>0</v>
      </c>
      <c r="E42" s="1010">
        <v>3</v>
      </c>
      <c r="F42" s="1140">
        <f>D42*E42</f>
        <v>0</v>
      </c>
      <c r="G42" s="1168"/>
      <c r="H42" s="1818"/>
    </row>
    <row r="43" spans="1:9" ht="45" customHeight="1" thickBot="1" x14ac:dyDescent="0.35">
      <c r="A43" s="1125" t="str">
        <f>F!A5</f>
        <v>F2</v>
      </c>
      <c r="B43" s="1126" t="str">
        <f>F!B5</f>
        <v>Ponded Condition (Lentic)</v>
      </c>
      <c r="C43" s="1127" t="str">
        <f>F!C5</f>
        <v xml:space="preserve">At least once every 2 years, some part of the AA contains a cumulative total of &gt;900 sq.ft. of surface water that is ponded. The water persists for &gt;6 days and may be hidden beneath emergent vegetation or scattered in small pools. Enter 1, if true.  </v>
      </c>
      <c r="D43" s="1144">
        <f>F!D5</f>
        <v>0</v>
      </c>
      <c r="E43" s="1128"/>
      <c r="F43" s="1121"/>
      <c r="G43" s="996">
        <f>D43</f>
        <v>0</v>
      </c>
      <c r="H43" s="838" t="s">
        <v>697</v>
      </c>
    </row>
    <row r="44" spans="1:9" ht="30" customHeight="1" thickBot="1" x14ac:dyDescent="0.35">
      <c r="A44" s="2031" t="str">
        <f>F!A7</f>
        <v>F3</v>
      </c>
      <c r="B44" s="2015" t="str">
        <f>F!B7</f>
        <v>Water Regime (Hydropd)</v>
      </c>
      <c r="C44" s="1110" t="str">
        <f>F!C7</f>
        <v>The water regime (hydroperiod) of the most permanent (usually deepest) part of the AA is:  Select only ONE. 
[To meet any of the definitions other than Ephemeral, there must be &gt;100 sq ft of surface water for the duration described, otherwise mark the type listed above it.]</v>
      </c>
      <c r="D44" s="549"/>
      <c r="E44" s="1007"/>
      <c r="F44" s="955"/>
      <c r="G44" s="815">
        <f>MAX(F45:F49)/MAX(E45:E49)</f>
        <v>0</v>
      </c>
      <c r="H44" s="1522" t="s">
        <v>1742</v>
      </c>
    </row>
    <row r="45" spans="1:9" ht="42.6" customHeight="1" x14ac:dyDescent="0.3">
      <c r="A45" s="2032"/>
      <c r="B45" s="1947"/>
      <c r="C45" s="1132" t="str">
        <f>F!C8</f>
        <v>Ephemeral.  Surface water in the wettest part of the AA is present for fewer than 7 consecutive days during an average growing season.  Includes some of the areas mapped as Saturated Nontidal in the ORWAP Map Viewer (which is not comprehensive).  Enter 1 and SKIP to F25.</v>
      </c>
      <c r="D45" s="47">
        <f>F!D8</f>
        <v>0</v>
      </c>
      <c r="E45" s="952">
        <v>0</v>
      </c>
      <c r="F45" s="1122">
        <f>D45*E45</f>
        <v>0</v>
      </c>
      <c r="G45" s="1029"/>
      <c r="H45" s="1521"/>
    </row>
    <row r="46" spans="1:9" ht="66.75" customHeight="1" x14ac:dyDescent="0.3">
      <c r="A46" s="2032"/>
      <c r="B46" s="1947"/>
      <c r="C46" s="1133" t="str">
        <f>F!C9</f>
        <v xml:space="preserve">Temporary.  Surface water present for 1-4 weeks consecutively during an average growing season, OR if persists for longer, it is almost entirely in scattered pools, each smaller than 1 sq.m.  Dries up completely during part of most average years.  Includes some of the areas mapped as Saturated Nontidal in the ORWAP Map Viewer (which is not comprehensive). Enter 1 and SKIP to F25. </v>
      </c>
      <c r="D46" s="47">
        <f>F!D9</f>
        <v>0</v>
      </c>
      <c r="E46" s="952">
        <v>1</v>
      </c>
      <c r="F46" s="1122">
        <f>D46*E46</f>
        <v>0</v>
      </c>
      <c r="G46" s="1029"/>
      <c r="H46" s="1521"/>
    </row>
    <row r="47" spans="1:9" ht="57" customHeight="1" x14ac:dyDescent="0.3">
      <c r="A47" s="2032"/>
      <c r="B47" s="1947"/>
      <c r="C47" s="1133" t="str">
        <f>F!C10</f>
        <v>Seasonal.  Surface water present for 5-17 weeks (1-4 months) consecutively during an average growing season, but dries up completely during part of most average years.  Includes some of the areas mapped as Seasonal Nontidal in the ORWAP Map Viewer (which is not comprehensive). Enter 1 and SKIP to F5.</v>
      </c>
      <c r="D47" s="47">
        <f>F!D10</f>
        <v>0</v>
      </c>
      <c r="E47" s="952">
        <v>3</v>
      </c>
      <c r="F47" s="1122">
        <f>D47*E47</f>
        <v>0</v>
      </c>
      <c r="G47" s="1029"/>
      <c r="H47" s="1521"/>
    </row>
    <row r="48" spans="1:9" ht="57" customHeight="1" x14ac:dyDescent="0.3">
      <c r="A48" s="2032"/>
      <c r="B48" s="1947"/>
      <c r="C48" s="1133" t="str">
        <f>F!C11</f>
        <v>Semi-Persistent.  Surface water present for more than 17 weeks (4 months) consecutively during an average growing season, but dries up completely during part of most average years.  Includes some of the areas mapped as Seasonal Nontidal in the ORWAP Map Viewer (which is not comprehensive). Enter 1 and SKIP to F5.</v>
      </c>
      <c r="D48" s="47">
        <f>F!D11</f>
        <v>0</v>
      </c>
      <c r="E48" s="952">
        <v>3</v>
      </c>
      <c r="F48" s="1122">
        <f>D48*E48</f>
        <v>0</v>
      </c>
      <c r="G48" s="1029"/>
      <c r="H48" s="1521"/>
    </row>
    <row r="49" spans="1:9" ht="42" customHeight="1" thickBot="1" x14ac:dyDescent="0.35">
      <c r="A49" s="2033"/>
      <c r="B49" s="2016"/>
      <c r="C49" s="1134" t="str">
        <f>F!C12</f>
        <v>Permanent.  Does not dry up completely during most average years. Includes some of the areas mapped as Persistent Nontidal in the ORWAP Map Viewer (which is not comprehensive).  Enter 1 and continue.</v>
      </c>
      <c r="D49" s="80">
        <f>F!D12</f>
        <v>0</v>
      </c>
      <c r="E49" s="1008">
        <v>3</v>
      </c>
      <c r="F49" s="1124">
        <f>D49*E49</f>
        <v>0</v>
      </c>
      <c r="G49" s="1030"/>
      <c r="H49" s="1523"/>
    </row>
    <row r="50" spans="1:9" s="36" customFormat="1" ht="45" customHeight="1" thickBot="1" x14ac:dyDescent="0.35">
      <c r="A50" s="2001" t="str">
        <f>F!A13</f>
        <v>F4</v>
      </c>
      <c r="B50" s="2000" t="str">
        <f>F!B13</f>
        <v>Flooded Persistently - % of AA (PermW)</v>
      </c>
      <c r="C50" s="1130" t="str">
        <f>F!C13</f>
        <v xml:space="preserve">Identify the parts of the AA that still contain surface water even during the driest times of a normal year . At that time, the percentage of the AA that still contains surface water is: </v>
      </c>
      <c r="D50" s="549"/>
      <c r="E50" s="65"/>
      <c r="F50" s="60"/>
      <c r="G50" s="954" t="str">
        <f>IF((NeverWater+TempWet&gt;0),"",IF((TempWet=1),"",IF((PermType=0),"", MAX(F51:F54)/MAX(E51:E54))))</f>
        <v/>
      </c>
      <c r="H50" s="1521" t="s">
        <v>1630</v>
      </c>
      <c r="I50" s="2"/>
    </row>
    <row r="51" spans="1:9" ht="16.2" customHeight="1" x14ac:dyDescent="0.3">
      <c r="A51" s="2001"/>
      <c r="B51" s="2000"/>
      <c r="C51" s="6" t="str">
        <f>F!C14</f>
        <v>1 to &lt;25% of the AA.</v>
      </c>
      <c r="D51" s="47">
        <f>F!D14</f>
        <v>0</v>
      </c>
      <c r="E51" s="49">
        <v>1</v>
      </c>
      <c r="F51" s="45">
        <f>D51*E51</f>
        <v>0</v>
      </c>
      <c r="G51" s="956"/>
      <c r="H51" s="1521"/>
    </row>
    <row r="52" spans="1:9" ht="16.2" customHeight="1" x14ac:dyDescent="0.3">
      <c r="A52" s="2001"/>
      <c r="B52" s="2000"/>
      <c r="C52" s="1131" t="str">
        <f>F!C15</f>
        <v>25 to &lt;50% of the AA.</v>
      </c>
      <c r="D52" s="47">
        <f>F!D15</f>
        <v>0</v>
      </c>
      <c r="E52" s="49">
        <v>2</v>
      </c>
      <c r="F52" s="45">
        <f>D52*E52</f>
        <v>0</v>
      </c>
      <c r="G52" s="957"/>
      <c r="H52" s="1521"/>
    </row>
    <row r="53" spans="1:9" ht="16.2" customHeight="1" x14ac:dyDescent="0.3">
      <c r="A53" s="2001"/>
      <c r="B53" s="2000"/>
      <c r="C53" s="1131" t="str">
        <f>F!C16</f>
        <v>50 to 95% of the AA.</v>
      </c>
      <c r="D53" s="47">
        <f>F!D16</f>
        <v>0</v>
      </c>
      <c r="E53" s="49">
        <v>3</v>
      </c>
      <c r="F53" s="45">
        <f>D53*E53</f>
        <v>0</v>
      </c>
      <c r="G53" s="957"/>
      <c r="H53" s="1521"/>
    </row>
    <row r="54" spans="1:9" ht="16.2" customHeight="1" thickBot="1" x14ac:dyDescent="0.35">
      <c r="A54" s="2012"/>
      <c r="B54" s="2003"/>
      <c r="C54" s="1134" t="str">
        <f>F!C17</f>
        <v>&gt;95% of the AA.</v>
      </c>
      <c r="D54" s="242">
        <f>F!D17</f>
        <v>0</v>
      </c>
      <c r="E54" s="245">
        <v>4</v>
      </c>
      <c r="F54" s="193">
        <f>D54*E54</f>
        <v>0</v>
      </c>
      <c r="G54" s="958"/>
      <c r="H54" s="1523"/>
    </row>
    <row r="55" spans="1:9" ht="30" customHeight="1" thickBot="1" x14ac:dyDescent="0.35">
      <c r="A55" s="2001" t="str">
        <f>F!A18</f>
        <v>F5</v>
      </c>
      <c r="B55" s="2000" t="str">
        <f>F!B18</f>
        <v>Depth Class (Predominant)  (DepthDom)</v>
      </c>
      <c r="C55" s="1137" t="str">
        <f>F!C18</f>
        <v>When water is present in the AA, the depth most of the time in most of inundated area is: 
[Note: NOT necessarily the maximum spatial or annual depth]</v>
      </c>
      <c r="D55" s="65"/>
      <c r="E55" s="65"/>
      <c r="F55" s="963"/>
      <c r="G55" s="954">
        <f>IF((NeverWater+TempWet&gt;0),"",MAX(F56:F60)/MAX(E56:E60))</f>
        <v>0</v>
      </c>
      <c r="H55" s="1521" t="s">
        <v>1631</v>
      </c>
      <c r="I55" s="3"/>
    </row>
    <row r="56" spans="1:9" ht="16.2" customHeight="1" x14ac:dyDescent="0.3">
      <c r="A56" s="1865"/>
      <c r="B56" s="1582"/>
      <c r="C56" s="1132" t="str">
        <f>F!C19</f>
        <v>&gt;0 to &lt;0.5 ft.</v>
      </c>
      <c r="D56" s="47">
        <f>F!D19</f>
        <v>0</v>
      </c>
      <c r="E56" s="49">
        <v>3</v>
      </c>
      <c r="F56" s="45">
        <f>D56*E56</f>
        <v>0</v>
      </c>
      <c r="G56" s="956"/>
      <c r="H56" s="1521"/>
    </row>
    <row r="57" spans="1:9" ht="16.2" customHeight="1" x14ac:dyDescent="0.3">
      <c r="A57" s="1865"/>
      <c r="B57" s="1582"/>
      <c r="C57" s="1133" t="str">
        <f>F!C20</f>
        <v>0.5 to &lt; 1 ft deep.</v>
      </c>
      <c r="D57" s="47">
        <f>F!D20</f>
        <v>0</v>
      </c>
      <c r="E57" s="49">
        <v>4</v>
      </c>
      <c r="F57" s="45">
        <f>D57*E57</f>
        <v>0</v>
      </c>
      <c r="G57" s="957"/>
      <c r="H57" s="1521"/>
    </row>
    <row r="58" spans="1:9" ht="16.2" customHeight="1" x14ac:dyDescent="0.3">
      <c r="A58" s="1865"/>
      <c r="B58" s="1582"/>
      <c r="C58" s="1133" t="str">
        <f>F!C21</f>
        <v>1 to &lt;3 ft deep.</v>
      </c>
      <c r="D58" s="47">
        <f>F!D21</f>
        <v>0</v>
      </c>
      <c r="E58" s="49">
        <v>7</v>
      </c>
      <c r="F58" s="45">
        <f>D58*E58</f>
        <v>0</v>
      </c>
      <c r="G58" s="957"/>
      <c r="H58" s="1521"/>
    </row>
    <row r="59" spans="1:9" ht="16.2" customHeight="1" x14ac:dyDescent="0.3">
      <c r="A59" s="1865"/>
      <c r="B59" s="1582"/>
      <c r="C59" s="1133" t="str">
        <f>F!C22</f>
        <v>3 to 6 ft deep.</v>
      </c>
      <c r="D59" s="47">
        <f>F!D22</f>
        <v>0</v>
      </c>
      <c r="E59" s="49">
        <v>5</v>
      </c>
      <c r="F59" s="45">
        <f>D59*E59</f>
        <v>0</v>
      </c>
      <c r="G59" s="957"/>
      <c r="H59" s="1521"/>
    </row>
    <row r="60" spans="1:9" ht="16.2" customHeight="1" thickBot="1" x14ac:dyDescent="0.35">
      <c r="A60" s="1865"/>
      <c r="B60" s="1582"/>
      <c r="C60" s="1131" t="str">
        <f>F!C23</f>
        <v>&gt;6 ft deep.</v>
      </c>
      <c r="D60" s="242">
        <f>F!D23</f>
        <v>0</v>
      </c>
      <c r="E60" s="67">
        <v>1</v>
      </c>
      <c r="F60" s="54">
        <f>D60*E60</f>
        <v>0</v>
      </c>
      <c r="G60" s="959"/>
      <c r="H60" s="1521"/>
    </row>
    <row r="61" spans="1:9" ht="30" customHeight="1" thickBot="1" x14ac:dyDescent="0.35">
      <c r="A61" s="2011" t="str">
        <f>F!A24</f>
        <v>F6</v>
      </c>
      <c r="B61" s="2002" t="str">
        <f>F!B24</f>
        <v>Depth Class Distribution (DepthEven)</v>
      </c>
      <c r="C61" s="1137" t="str">
        <f>F!C24</f>
        <v>Within the area described above, and during most of the time when surface water is present, the water area has: Select only one.</v>
      </c>
      <c r="D61" s="65"/>
      <c r="E61" s="210"/>
      <c r="F61" s="241"/>
      <c r="G61" s="815">
        <f>IF((NeverWater+TempWet&gt;0),"",IF((TempWet=1),"",MAX(F62:F64)/MAX(E62:E64)))</f>
        <v>0</v>
      </c>
      <c r="H61" s="1522" t="s">
        <v>1632</v>
      </c>
      <c r="I61" s="3"/>
    </row>
    <row r="62" spans="1:9" ht="27" customHeight="1" x14ac:dyDescent="0.3">
      <c r="A62" s="1865"/>
      <c r="B62" s="1582"/>
      <c r="C62" s="1132" t="str">
        <f>F!C25</f>
        <v>One depth class covering &gt;90% of the AA’s inundated area (use the classes in the question above).</v>
      </c>
      <c r="D62" s="47">
        <f>F!D25</f>
        <v>0</v>
      </c>
      <c r="E62" s="65">
        <v>1</v>
      </c>
      <c r="F62" s="46">
        <f>D62*E62</f>
        <v>0</v>
      </c>
      <c r="G62" s="956"/>
      <c r="H62" s="1521"/>
    </row>
    <row r="63" spans="1:9" ht="26.25" customHeight="1" x14ac:dyDescent="0.3">
      <c r="A63" s="1865"/>
      <c r="B63" s="1582"/>
      <c r="C63" s="1133" t="str">
        <f>F!C26</f>
        <v>One depth class covering 51-90% of the AA’s inundated area (use the classes in the question above).</v>
      </c>
      <c r="D63" s="47">
        <f>F!D26</f>
        <v>0</v>
      </c>
      <c r="E63" s="49">
        <v>2</v>
      </c>
      <c r="F63" s="45">
        <f>D63*E63</f>
        <v>0</v>
      </c>
      <c r="G63" s="957"/>
      <c r="H63" s="1521"/>
    </row>
    <row r="64" spans="1:9" ht="16.2" customHeight="1" thickBot="1" x14ac:dyDescent="0.35">
      <c r="A64" s="1866"/>
      <c r="B64" s="1600"/>
      <c r="C64" s="1134" t="str">
        <f>F!C27</f>
        <v>Neither of above.  There are 3 or more depth classes and none occupy &gt;50%.</v>
      </c>
      <c r="D64" s="242">
        <f>F!D27</f>
        <v>0</v>
      </c>
      <c r="E64" s="245">
        <v>3</v>
      </c>
      <c r="F64" s="193">
        <f>D64*E64</f>
        <v>0</v>
      </c>
      <c r="G64" s="958"/>
      <c r="H64" s="1523"/>
    </row>
    <row r="65" spans="1:9" ht="45" customHeight="1" thickBot="1" x14ac:dyDescent="0.35">
      <c r="A65" s="2001" t="str">
        <f>F!A28</f>
        <v>F7</v>
      </c>
      <c r="B65" s="2000" t="str">
        <f>F!B28</f>
        <v>Emergent Plants -- Area (EmArea)</v>
      </c>
      <c r="C65" s="1130" t="str">
        <f>F!C28</f>
        <v>Consider just the area that has surface water for &gt;1 week during the growing season.  Herbaceous plants (not moss, not woody) whose foliage extends above a water surface in this area (i.e., emergents) cumulatively occupy an annual maximum of:</v>
      </c>
      <c r="D65" s="549"/>
      <c r="E65" s="65"/>
      <c r="F65" s="46"/>
      <c r="G65" s="954">
        <f>IF((NeverWater+TempWet&gt;0),"",IF((TempWet=1),"",MAX(F66:F71)/MAX(E66:E71)))</f>
        <v>0</v>
      </c>
      <c r="H65" s="1521" t="s">
        <v>1633</v>
      </c>
      <c r="I65" s="3"/>
    </row>
    <row r="66" spans="1:9" ht="24.75" customHeight="1" x14ac:dyDescent="0.3">
      <c r="A66" s="2001"/>
      <c r="B66" s="2000"/>
      <c r="C66" s="1132" t="str">
        <f>F!C29</f>
        <v>&lt;0.01 acre (&lt; 400 sq.ft).  Enter 1 and SKIP TO F10, unless only part of a wetland is being assessed.</v>
      </c>
      <c r="D66" s="47">
        <f>F!D29</f>
        <v>0</v>
      </c>
      <c r="E66" s="49">
        <v>0</v>
      </c>
      <c r="F66" s="45">
        <f t="shared" ref="F66:F71" si="1">D66*E66</f>
        <v>0</v>
      </c>
      <c r="G66" s="957"/>
      <c r="H66" s="1521"/>
    </row>
    <row r="67" spans="1:9" ht="16.2" customHeight="1" x14ac:dyDescent="0.3">
      <c r="A67" s="2001"/>
      <c r="B67" s="2000"/>
      <c r="C67" s="1133" t="str">
        <f>F!C30</f>
        <v>0.01 to&lt; 0.10 acres (3,920 sq. ft).</v>
      </c>
      <c r="D67" s="47">
        <f>F!D30</f>
        <v>0</v>
      </c>
      <c r="E67" s="49">
        <v>1</v>
      </c>
      <c r="F67" s="45">
        <f t="shared" si="1"/>
        <v>0</v>
      </c>
      <c r="G67" s="957"/>
      <c r="H67" s="1521"/>
    </row>
    <row r="68" spans="1:9" ht="16.2" customHeight="1" x14ac:dyDescent="0.3">
      <c r="A68" s="2001"/>
      <c r="B68" s="2000"/>
      <c r="C68" s="1133" t="str">
        <f>F!C31</f>
        <v>0.10 to &lt;0.50 acres (21,340 sq. ft).</v>
      </c>
      <c r="D68" s="47">
        <f>F!D31</f>
        <v>0</v>
      </c>
      <c r="E68" s="49">
        <v>2</v>
      </c>
      <c r="F68" s="45">
        <f t="shared" si="1"/>
        <v>0</v>
      </c>
      <c r="G68" s="957"/>
      <c r="H68" s="1521"/>
    </row>
    <row r="69" spans="1:9" ht="16.2" customHeight="1" x14ac:dyDescent="0.3">
      <c r="A69" s="2001"/>
      <c r="B69" s="2000"/>
      <c r="C69" s="1133" t="str">
        <f>F!C32</f>
        <v>0.50 to &lt;5 acres.</v>
      </c>
      <c r="D69" s="47">
        <f>F!D32</f>
        <v>0</v>
      </c>
      <c r="E69" s="49">
        <v>3</v>
      </c>
      <c r="F69" s="45">
        <f t="shared" si="1"/>
        <v>0</v>
      </c>
      <c r="G69" s="957"/>
      <c r="H69" s="1521"/>
    </row>
    <row r="70" spans="1:9" ht="16.2" customHeight="1" x14ac:dyDescent="0.3">
      <c r="A70" s="2001"/>
      <c r="B70" s="2000"/>
      <c r="C70" s="1133" t="str">
        <f>F!C33</f>
        <v>5 to 50 acres.</v>
      </c>
      <c r="D70" s="47">
        <f>F!D33</f>
        <v>0</v>
      </c>
      <c r="E70" s="49">
        <v>5</v>
      </c>
      <c r="F70" s="45">
        <f t="shared" si="1"/>
        <v>0</v>
      </c>
      <c r="G70" s="957"/>
      <c r="H70" s="1521"/>
    </row>
    <row r="71" spans="1:9" ht="16.2" customHeight="1" thickBot="1" x14ac:dyDescent="0.35">
      <c r="A71" s="2001"/>
      <c r="B71" s="2000"/>
      <c r="C71" s="1131" t="str">
        <f>F!C34</f>
        <v>&gt;50 acres.</v>
      </c>
      <c r="D71" s="242">
        <f>F!D34</f>
        <v>0</v>
      </c>
      <c r="E71" s="67">
        <v>7</v>
      </c>
      <c r="F71" s="54">
        <f t="shared" si="1"/>
        <v>0</v>
      </c>
      <c r="G71" s="959"/>
      <c r="H71" s="1521"/>
    </row>
    <row r="72" spans="1:9" ht="21" customHeight="1" thickBot="1" x14ac:dyDescent="0.35">
      <c r="A72" s="2011" t="str">
        <f>F!A35</f>
        <v>F8</v>
      </c>
      <c r="B72" s="2002" t="str">
        <f>F!B35</f>
        <v>% Emergent Plants (EmPct)</v>
      </c>
      <c r="C72" s="1110" t="str">
        <f>F!C35</f>
        <v>Emergent plants occupy an annual maximum of:</v>
      </c>
      <c r="D72" s="549"/>
      <c r="E72" s="210"/>
      <c r="F72" s="192"/>
      <c r="G72" s="815">
        <f>IF((NeverWater+TempWet&gt;0),"",IF((TempWet=1),"",IF((NoEm=1),"",MAX(F73:F77)/MAX(E73:E77))))</f>
        <v>0</v>
      </c>
      <c r="H72" s="1522" t="s">
        <v>1682</v>
      </c>
      <c r="I72" s="3"/>
    </row>
    <row r="73" spans="1:9" ht="16.2" customHeight="1" x14ac:dyDescent="0.3">
      <c r="A73" s="2001"/>
      <c r="B73" s="2000"/>
      <c r="C73" s="1132" t="str">
        <f>F!C36</f>
        <v>&lt;5% of the parts of the AA that are inundated for &gt;7 days at some time of the year.</v>
      </c>
      <c r="D73" s="47">
        <f>F!D36</f>
        <v>0</v>
      </c>
      <c r="E73" s="49">
        <v>0</v>
      </c>
      <c r="F73" s="45">
        <f>D73*E73</f>
        <v>0</v>
      </c>
      <c r="G73" s="957"/>
      <c r="H73" s="1521"/>
    </row>
    <row r="74" spans="1:9" ht="16.2" customHeight="1" x14ac:dyDescent="0.3">
      <c r="A74" s="2001"/>
      <c r="B74" s="2000"/>
      <c r="C74" s="1133" t="str">
        <f>F!C37</f>
        <v>5 to &lt;30% of the parts of the AA that are inundated for &gt;7 days at some time of the year.</v>
      </c>
      <c r="D74" s="47">
        <f>F!D37</f>
        <v>0</v>
      </c>
      <c r="E74" s="49">
        <v>2</v>
      </c>
      <c r="F74" s="45">
        <f>D74*E74</f>
        <v>0</v>
      </c>
      <c r="G74" s="957"/>
      <c r="H74" s="1521"/>
    </row>
    <row r="75" spans="1:9" ht="16.2" customHeight="1" x14ac:dyDescent="0.3">
      <c r="A75" s="2001"/>
      <c r="B75" s="2000"/>
      <c r="C75" s="1133" t="str">
        <f>F!C38</f>
        <v>30 to &lt;60% of the parts of the AA that are inundated for &gt;7 days at some time of the year.</v>
      </c>
      <c r="D75" s="47">
        <f>F!D38</f>
        <v>0</v>
      </c>
      <c r="E75" s="49">
        <v>5</v>
      </c>
      <c r="F75" s="45">
        <f>D75*E75</f>
        <v>0</v>
      </c>
      <c r="G75" s="957"/>
      <c r="H75" s="1521"/>
    </row>
    <row r="76" spans="1:9" ht="16.2" customHeight="1" x14ac:dyDescent="0.3">
      <c r="A76" s="2001"/>
      <c r="B76" s="2000"/>
      <c r="C76" s="1133" t="str">
        <f>F!C39</f>
        <v>60 to 95% of the parts of the AA that are inundated for &gt;7 days at some time of the year.</v>
      </c>
      <c r="D76" s="47">
        <f>F!D39</f>
        <v>0</v>
      </c>
      <c r="E76" s="49">
        <v>3</v>
      </c>
      <c r="F76" s="45">
        <f>D76*E76</f>
        <v>0</v>
      </c>
      <c r="G76" s="957"/>
      <c r="H76" s="1521"/>
    </row>
    <row r="77" spans="1:9" ht="16.2" customHeight="1" thickBot="1" x14ac:dyDescent="0.35">
      <c r="A77" s="2012"/>
      <c r="B77" s="2003"/>
      <c r="C77" s="1134" t="str">
        <f>F!C40</f>
        <v>&gt;95% of the parts of the AA that are inundated for &gt;7 days at some time of the year.</v>
      </c>
      <c r="D77" s="242">
        <f>F!D40</f>
        <v>0</v>
      </c>
      <c r="E77" s="245">
        <v>1</v>
      </c>
      <c r="F77" s="193">
        <f>D77*E77</f>
        <v>0</v>
      </c>
      <c r="G77" s="958"/>
      <c r="H77" s="1523"/>
    </row>
    <row r="78" spans="1:9" ht="30" customHeight="1" thickBot="1" x14ac:dyDescent="0.35">
      <c r="A78" s="2001" t="str">
        <f>F!A54</f>
        <v>F12</v>
      </c>
      <c r="B78" s="2000" t="str">
        <f>F!B54</f>
        <v>All Ponded Water as Percentage - Wettest (PondWpctWet)</v>
      </c>
      <c r="C78" s="1130" t="str">
        <f>F!C54</f>
        <v>When water levels are highest, during a normal year, the surface water that is ponded continually for &gt;6 days occupies:</v>
      </c>
      <c r="D78" s="549"/>
      <c r="E78" s="65"/>
      <c r="F78" s="60"/>
      <c r="G78" s="954">
        <f>IF((NeverWater+TempWet&gt;0),"",MAX(F79:F84)/MAX(E79:E84))</f>
        <v>0</v>
      </c>
      <c r="H78" s="1521" t="s">
        <v>1636</v>
      </c>
      <c r="I78" s="3"/>
    </row>
    <row r="79" spans="1:9" ht="16.2" customHeight="1" x14ac:dyDescent="0.3">
      <c r="A79" s="2001"/>
      <c r="B79" s="2000"/>
      <c r="C79" s="1132" t="str">
        <f>F!C55</f>
        <v xml:space="preserve">&lt;1% or none of the AA.  Surface water is completely or nearly absent then, or is entirely flowing. 
Enter 1 and SKIP TO F22. </v>
      </c>
      <c r="D79" s="47">
        <f>F!D55</f>
        <v>0</v>
      </c>
      <c r="E79" s="49">
        <v>0</v>
      </c>
      <c r="F79" s="45">
        <f t="shared" ref="F79:F84" si="2">D79*E79</f>
        <v>0</v>
      </c>
      <c r="G79" s="956"/>
      <c r="H79" s="1521"/>
    </row>
    <row r="80" spans="1:9" ht="16.2" customHeight="1" x14ac:dyDescent="0.3">
      <c r="A80" s="2001"/>
      <c r="B80" s="2000"/>
      <c r="C80" s="1132" t="str">
        <f>F!C56</f>
        <v>1-5% of the AA.</v>
      </c>
      <c r="D80" s="47">
        <f>F!D56</f>
        <v>0</v>
      </c>
      <c r="E80" s="49">
        <v>1</v>
      </c>
      <c r="F80" s="45">
        <f t="shared" si="2"/>
        <v>0</v>
      </c>
      <c r="G80" s="957"/>
      <c r="H80" s="1521"/>
    </row>
    <row r="81" spans="1:9" ht="16.2" customHeight="1" x14ac:dyDescent="0.3">
      <c r="A81" s="2001"/>
      <c r="B81" s="2000"/>
      <c r="C81" s="1132" t="str">
        <f>F!C57</f>
        <v>5 to &lt;30% of the AA.</v>
      </c>
      <c r="D81" s="47">
        <f>F!D57</f>
        <v>0</v>
      </c>
      <c r="E81" s="49">
        <v>2</v>
      </c>
      <c r="F81" s="45">
        <f t="shared" si="2"/>
        <v>0</v>
      </c>
      <c r="G81" s="957"/>
      <c r="H81" s="1521"/>
    </row>
    <row r="82" spans="1:9" ht="16.2" customHeight="1" x14ac:dyDescent="0.3">
      <c r="A82" s="2001"/>
      <c r="B82" s="2000"/>
      <c r="C82" s="1132" t="str">
        <f>F!C58</f>
        <v>30 to &lt;70% of the AA.</v>
      </c>
      <c r="D82" s="47">
        <f>F!D58</f>
        <v>0</v>
      </c>
      <c r="E82" s="49">
        <v>3</v>
      </c>
      <c r="F82" s="45">
        <f t="shared" si="2"/>
        <v>0</v>
      </c>
      <c r="G82" s="957"/>
      <c r="H82" s="1521"/>
    </row>
    <row r="83" spans="1:9" ht="16.2" customHeight="1" x14ac:dyDescent="0.3">
      <c r="A83" s="2001"/>
      <c r="B83" s="2000"/>
      <c r="C83" s="1132" t="str">
        <f>F!C59</f>
        <v>70 to 95% of the AA.</v>
      </c>
      <c r="D83" s="47">
        <f>F!D59</f>
        <v>0</v>
      </c>
      <c r="E83" s="49">
        <v>4</v>
      </c>
      <c r="F83" s="45">
        <f t="shared" si="2"/>
        <v>0</v>
      </c>
      <c r="G83" s="957"/>
      <c r="H83" s="1521"/>
    </row>
    <row r="84" spans="1:9" ht="16.2" customHeight="1" thickBot="1" x14ac:dyDescent="0.35">
      <c r="A84" s="2001"/>
      <c r="B84" s="2000"/>
      <c r="C84" s="6" t="str">
        <f>F!C60</f>
        <v>&gt;95% of the AA.</v>
      </c>
      <c r="D84" s="80">
        <f>F!D60</f>
        <v>0</v>
      </c>
      <c r="E84" s="67">
        <v>5</v>
      </c>
      <c r="F84" s="54">
        <f t="shared" si="2"/>
        <v>0</v>
      </c>
      <c r="G84" s="959"/>
      <c r="H84" s="1521"/>
    </row>
    <row r="85" spans="1:9" ht="27.75" customHeight="1" thickBot="1" x14ac:dyDescent="0.35">
      <c r="A85" s="1864" t="str">
        <f>F!A61</f>
        <v>F13</v>
      </c>
      <c r="B85" s="1599" t="str">
        <f>F!B61</f>
        <v>Ponded Open Water Area - Wettest  (OWareaWet)</v>
      </c>
      <c r="C85" s="836" t="str">
        <f>F!C61</f>
        <v>When water levels are highest, during a normal year, the AA's ponded open water occupies a cumulative area of:</v>
      </c>
      <c r="D85" s="549"/>
      <c r="E85" s="1007"/>
      <c r="F85" s="1139"/>
      <c r="G85" s="815">
        <f>IF((NeverWater+TempWet&gt;0),"",IF((NoPond=1),"",MAX(F86:F94)/MAX(E86:E94)))</f>
        <v>0</v>
      </c>
      <c r="H85" s="1522" t="s">
        <v>1635</v>
      </c>
      <c r="I85" s="3"/>
    </row>
    <row r="86" spans="1:9" ht="16.2" customHeight="1" x14ac:dyDescent="0.3">
      <c r="A86" s="1983"/>
      <c r="B86" s="1987"/>
      <c r="C86" s="11" t="str">
        <f>F!C62</f>
        <v>&lt;0.10 acre (&lt; 4356 sq. ft) of the AA and adjacent ponded waters.  Enter 1 and SKIP TO F16.</v>
      </c>
      <c r="D86" s="47">
        <f>F!D62</f>
        <v>0</v>
      </c>
      <c r="E86" s="952">
        <v>1</v>
      </c>
      <c r="F86" s="1122">
        <f t="shared" ref="F86:F99" si="3">D86*E86</f>
        <v>0</v>
      </c>
      <c r="G86" s="1029"/>
      <c r="H86" s="1521"/>
    </row>
    <row r="87" spans="1:9" ht="16.2" customHeight="1" x14ac:dyDescent="0.3">
      <c r="A87" s="1983"/>
      <c r="B87" s="1987"/>
      <c r="C87" s="286" t="str">
        <f>F!C63</f>
        <v>0.10 to &lt;0.50 acres (21,340 sq. ft) of the AA and adjacent ponded waters.</v>
      </c>
      <c r="D87" s="47">
        <f>F!D63</f>
        <v>0</v>
      </c>
      <c r="E87" s="952">
        <v>2</v>
      </c>
      <c r="F87" s="1122">
        <f t="shared" si="3"/>
        <v>0</v>
      </c>
      <c r="G87" s="1029"/>
      <c r="H87" s="1521"/>
    </row>
    <row r="88" spans="1:9" ht="16.2" customHeight="1" x14ac:dyDescent="0.3">
      <c r="A88" s="1983"/>
      <c r="B88" s="1987"/>
      <c r="C88" s="286" t="str">
        <f>F!C64</f>
        <v>0.50 to &lt;1 acres of the AA and adjacent ponded waters.</v>
      </c>
      <c r="D88" s="47">
        <f>F!D64</f>
        <v>0</v>
      </c>
      <c r="E88" s="952">
        <v>4</v>
      </c>
      <c r="F88" s="1122">
        <f t="shared" si="3"/>
        <v>0</v>
      </c>
      <c r="G88" s="1029"/>
      <c r="H88" s="1521"/>
    </row>
    <row r="89" spans="1:9" ht="16.2" customHeight="1" x14ac:dyDescent="0.3">
      <c r="A89" s="1983"/>
      <c r="B89" s="1987"/>
      <c r="C89" s="286" t="str">
        <f>F!C65</f>
        <v>1 to &lt;5 acres of the AA and adjacent ponded waters.</v>
      </c>
      <c r="D89" s="47">
        <f>F!D65</f>
        <v>0</v>
      </c>
      <c r="E89" s="952">
        <v>5</v>
      </c>
      <c r="F89" s="1122">
        <f t="shared" si="3"/>
        <v>0</v>
      </c>
      <c r="G89" s="1029"/>
      <c r="H89" s="1521"/>
    </row>
    <row r="90" spans="1:9" ht="16.2" customHeight="1" x14ac:dyDescent="0.3">
      <c r="A90" s="1983"/>
      <c r="B90" s="1987"/>
      <c r="C90" s="286" t="str">
        <f>F!C66</f>
        <v>5 to &lt;50 acres of the AA and adjacent ponded waters.</v>
      </c>
      <c r="D90" s="47">
        <f>F!D66</f>
        <v>0</v>
      </c>
      <c r="E90" s="952">
        <v>6</v>
      </c>
      <c r="F90" s="1122">
        <f t="shared" si="3"/>
        <v>0</v>
      </c>
      <c r="G90" s="1029"/>
      <c r="H90" s="1521"/>
    </row>
    <row r="91" spans="1:9" ht="16.2" customHeight="1" x14ac:dyDescent="0.3">
      <c r="A91" s="1983"/>
      <c r="B91" s="1987"/>
      <c r="C91" s="286" t="str">
        <f>F!C67</f>
        <v>50 to &lt;640 acres (1 sq. mi) of the AA and adjacent ponded waters.</v>
      </c>
      <c r="D91" s="47">
        <f>F!D67</f>
        <v>0</v>
      </c>
      <c r="E91" s="952">
        <v>7</v>
      </c>
      <c r="F91" s="1122">
        <f t="shared" si="3"/>
        <v>0</v>
      </c>
      <c r="G91" s="1029"/>
      <c r="H91" s="1521"/>
    </row>
    <row r="92" spans="1:9" ht="16.2" customHeight="1" x14ac:dyDescent="0.3">
      <c r="A92" s="1983"/>
      <c r="B92" s="1987"/>
      <c r="C92" s="286" t="str">
        <f>F!C68</f>
        <v>64 to &lt;1000 acres of the AA and adjacent ponded waters.</v>
      </c>
      <c r="D92" s="47">
        <f>F!D68</f>
        <v>0</v>
      </c>
      <c r="E92" s="952">
        <v>8</v>
      </c>
      <c r="F92" s="1122">
        <f t="shared" si="3"/>
        <v>0</v>
      </c>
      <c r="G92" s="1029"/>
      <c r="H92" s="1521"/>
    </row>
    <row r="93" spans="1:9" ht="16.2" customHeight="1" x14ac:dyDescent="0.3">
      <c r="A93" s="1983"/>
      <c r="B93" s="1987"/>
      <c r="C93" s="286" t="str">
        <f>F!C69</f>
        <v>1000 to 2500 acres of the AA and adjacent ponded waters.</v>
      </c>
      <c r="D93" s="47">
        <f>F!D69</f>
        <v>0</v>
      </c>
      <c r="E93" s="952">
        <v>9</v>
      </c>
      <c r="F93" s="1122">
        <f t="shared" si="3"/>
        <v>0</v>
      </c>
      <c r="G93" s="1029"/>
      <c r="H93" s="1521"/>
    </row>
    <row r="94" spans="1:9" ht="16.2" customHeight="1" thickBot="1" x14ac:dyDescent="0.35">
      <c r="A94" s="1984"/>
      <c r="B94" s="1988"/>
      <c r="C94" s="443" t="str">
        <f>F!C70</f>
        <v>&gt;2500 acres (&gt;4 sq.mi) of the AA and adjacent ponded waters.</v>
      </c>
      <c r="D94" s="242">
        <f>F!D70</f>
        <v>0</v>
      </c>
      <c r="E94" s="1008">
        <v>10</v>
      </c>
      <c r="F94" s="1030">
        <f t="shared" si="3"/>
        <v>0</v>
      </c>
      <c r="G94" s="1030"/>
      <c r="H94" s="1523"/>
    </row>
    <row r="95" spans="1:9" ht="30" customHeight="1" thickBot="1" x14ac:dyDescent="0.35">
      <c r="A95" s="1865" t="str">
        <f>F!A71</f>
        <v>F14</v>
      </c>
      <c r="B95" s="1582" t="str">
        <f>F!B71</f>
        <v>Ponded Open Water Distribution - Wettest  (WaterMixWet)</v>
      </c>
      <c r="C95" s="114" t="str">
        <f>F!C71</f>
        <v>When water levels are highest, during a normal year, the distribution (in aerial view) of ponded open water patches larger than 0.01 acre (400 sq. ft) within the AA is:</v>
      </c>
      <c r="D95" s="65"/>
      <c r="E95" s="1009"/>
      <c r="F95" s="963"/>
      <c r="G95" s="954">
        <f>IF((NeverWater+TempWet&gt;0),"",IF((NoPond=1),"",MAX(F96:F99)/MAX(E96:E99)))</f>
        <v>0</v>
      </c>
      <c r="H95" s="1521" t="s">
        <v>1642</v>
      </c>
    </row>
    <row r="96" spans="1:9" ht="57" customHeight="1" x14ac:dyDescent="0.3">
      <c r="A96" s="1865"/>
      <c r="B96" s="1582"/>
      <c r="C96" s="11" t="str">
        <f>F!C72</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96" s="47">
        <f>F!D72</f>
        <v>0</v>
      </c>
      <c r="E96" s="952">
        <v>4</v>
      </c>
      <c r="F96" s="1029">
        <f t="shared" si="3"/>
        <v>0</v>
      </c>
      <c r="G96" s="1029"/>
      <c r="H96" s="1521"/>
    </row>
    <row r="97" spans="1:9" ht="54" customHeight="1" x14ac:dyDescent="0.3">
      <c r="A97" s="1865"/>
      <c r="B97" s="1582"/>
      <c r="C97" s="286" t="str">
        <f>F!C73</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97" s="47">
        <f>F!D73</f>
        <v>0</v>
      </c>
      <c r="E97" s="952">
        <v>3</v>
      </c>
      <c r="F97" s="1029">
        <f t="shared" si="3"/>
        <v>0</v>
      </c>
      <c r="G97" s="1029"/>
      <c r="H97" s="1521"/>
    </row>
    <row r="98" spans="1:9" ht="42" customHeight="1" x14ac:dyDescent="0.3">
      <c r="A98" s="1865"/>
      <c r="B98" s="1582"/>
      <c r="C98" s="286" t="str">
        <f>F!C74</f>
        <v xml:space="preserve">(a) Vegetation OR open water comprise &gt;70% of the AA (and its bordering  waters) AND (b) There are several small patches of open water scattered within vegetation or several small vegetation clump "islands" scattered within open water. </v>
      </c>
      <c r="D98" s="47">
        <f>F!D74</f>
        <v>0</v>
      </c>
      <c r="E98" s="952">
        <v>2</v>
      </c>
      <c r="F98" s="1029">
        <f t="shared" si="3"/>
        <v>0</v>
      </c>
      <c r="G98" s="1029"/>
      <c r="H98" s="1521"/>
    </row>
    <row r="99" spans="1:9" ht="76.5" customHeight="1" thickBot="1" x14ac:dyDescent="0.35">
      <c r="A99" s="1865"/>
      <c r="B99" s="1582"/>
      <c r="C99" s="286" t="str">
        <f>F!C75</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99" s="80">
        <f>F!D75</f>
        <v>0</v>
      </c>
      <c r="E99" s="1010">
        <v>1</v>
      </c>
      <c r="F99" s="1114">
        <f t="shared" si="3"/>
        <v>0</v>
      </c>
      <c r="G99" s="1114"/>
      <c r="H99" s="1521"/>
    </row>
    <row r="100" spans="1:9" ht="57.75" customHeight="1" thickBot="1" x14ac:dyDescent="0.35">
      <c r="A100" s="2011" t="str">
        <f>F!A76</f>
        <v>F15</v>
      </c>
      <c r="B100" s="2002" t="str">
        <f>F!B76</f>
        <v>Width of Vegetated Zone - Wettest  (WidthWet)</v>
      </c>
      <c r="C100" s="1119" t="str">
        <f>F!C76</f>
        <v>When water levels are highest, during a normal year, the width of the vegetated wetland  that separates the largest patch of open water within or bordering the AA from the closest adjacent uplands, is predominantly: 
[Note: This is not asking for the maximum width.]</v>
      </c>
      <c r="D100" s="210"/>
      <c r="E100" s="210"/>
      <c r="F100" s="955"/>
      <c r="G100" s="815">
        <f>IF((NeverWater+TempWet&gt;0),"",IF((NoPond=1),"",MAX(F101:F106)/MAX(E101:E106)))</f>
        <v>0</v>
      </c>
      <c r="H100" s="1522" t="s">
        <v>1703</v>
      </c>
      <c r="I100" s="3"/>
    </row>
    <row r="101" spans="1:9" ht="16.2" customHeight="1" x14ac:dyDescent="0.3">
      <c r="A101" s="1983"/>
      <c r="B101" s="1987"/>
      <c r="C101" s="1120" t="str">
        <f>F!C77</f>
        <v>&lt;5 ft, or no vegetation between upland and open water.</v>
      </c>
      <c r="D101" s="47">
        <f>F!D77</f>
        <v>0</v>
      </c>
      <c r="E101" s="49">
        <v>0</v>
      </c>
      <c r="F101" s="45">
        <f t="shared" ref="F101:F106" si="4">D101*E101</f>
        <v>0</v>
      </c>
      <c r="G101" s="956"/>
      <c r="H101" s="1521"/>
    </row>
    <row r="102" spans="1:9" ht="16.2" customHeight="1" x14ac:dyDescent="0.3">
      <c r="A102" s="1983"/>
      <c r="B102" s="1987"/>
      <c r="C102" s="1039" t="str">
        <f>F!C78</f>
        <v>5 to &lt;30 ft.</v>
      </c>
      <c r="D102" s="47">
        <f>F!D78</f>
        <v>0</v>
      </c>
      <c r="E102" s="49">
        <v>2</v>
      </c>
      <c r="F102" s="45">
        <f t="shared" si="4"/>
        <v>0</v>
      </c>
      <c r="G102" s="957"/>
      <c r="H102" s="1521"/>
    </row>
    <row r="103" spans="1:9" ht="16.2" customHeight="1" x14ac:dyDescent="0.3">
      <c r="A103" s="1983"/>
      <c r="B103" s="1987"/>
      <c r="C103" s="1039" t="str">
        <f>F!C79</f>
        <v>30 to &lt;50 ft.</v>
      </c>
      <c r="D103" s="47">
        <f>F!D79</f>
        <v>0</v>
      </c>
      <c r="E103" s="49">
        <v>3</v>
      </c>
      <c r="F103" s="45">
        <f t="shared" si="4"/>
        <v>0</v>
      </c>
      <c r="G103" s="957"/>
      <c r="H103" s="1521"/>
    </row>
    <row r="104" spans="1:9" ht="16.2" customHeight="1" x14ac:dyDescent="0.3">
      <c r="A104" s="1983"/>
      <c r="B104" s="1987"/>
      <c r="C104" s="1039" t="str">
        <f>F!C80</f>
        <v>50 to &lt;100 ft.</v>
      </c>
      <c r="D104" s="47">
        <f>F!D80</f>
        <v>0</v>
      </c>
      <c r="E104" s="49">
        <v>4</v>
      </c>
      <c r="F104" s="45">
        <f t="shared" si="4"/>
        <v>0</v>
      </c>
      <c r="G104" s="957"/>
      <c r="H104" s="1521"/>
    </row>
    <row r="105" spans="1:9" ht="16.2" customHeight="1" x14ac:dyDescent="0.3">
      <c r="A105" s="1983"/>
      <c r="B105" s="1987"/>
      <c r="C105" s="1039" t="str">
        <f>F!C81</f>
        <v>100 to 300 ft.</v>
      </c>
      <c r="D105" s="47">
        <f>F!D81</f>
        <v>0</v>
      </c>
      <c r="E105" s="49">
        <v>5</v>
      </c>
      <c r="F105" s="45">
        <f t="shared" si="4"/>
        <v>0</v>
      </c>
      <c r="G105" s="957"/>
      <c r="H105" s="1521"/>
    </row>
    <row r="106" spans="1:9" ht="16.2" customHeight="1" thickBot="1" x14ac:dyDescent="0.35">
      <c r="A106" s="1984"/>
      <c r="B106" s="1988"/>
      <c r="C106" s="932" t="str">
        <f>F!C82</f>
        <v>&gt; 300 ft.</v>
      </c>
      <c r="D106" s="80">
        <f>F!D82</f>
        <v>0</v>
      </c>
      <c r="E106" s="245">
        <v>6</v>
      </c>
      <c r="F106" s="193">
        <f t="shared" si="4"/>
        <v>0</v>
      </c>
      <c r="G106" s="958"/>
      <c r="H106" s="1523"/>
    </row>
    <row r="107" spans="1:9" ht="45" customHeight="1" thickBot="1" x14ac:dyDescent="0.35">
      <c r="A107" s="1135" t="str">
        <f>F!A105</f>
        <v>F19</v>
      </c>
      <c r="B107" s="1148" t="str">
        <f>F!B105</f>
        <v>Floating Algae &amp; Duckweed (Algae)</v>
      </c>
      <c r="C107" s="6" t="str">
        <f>F!C105</f>
        <v>At some time of the year, most of the AA's otherwise-unshaded water surface is covered by floating mats of algae, or small (&lt;1 inch) floating plants such as duckweed, Azolla, Wolffia, or Riccia.  Enter 1, if true.</v>
      </c>
      <c r="D107" s="1144">
        <f>F!D105</f>
        <v>0</v>
      </c>
      <c r="E107" s="93"/>
      <c r="F107" s="877"/>
      <c r="G107" s="1149">
        <f>IF((NeverWater+TempWet&gt;0),"",IF((TempWet=1),"",IF((NoPond2=1),"",IF((NoPondOW2=1),"",IF((D107=1),1,0)))))</f>
        <v>0</v>
      </c>
      <c r="H107" s="1148" t="s">
        <v>1704</v>
      </c>
      <c r="I107" s="3"/>
    </row>
    <row r="108" spans="1:9" ht="30" customHeight="1" thickBot="1" x14ac:dyDescent="0.35">
      <c r="A108" s="2011" t="str">
        <f>F!A106</f>
        <v>F20</v>
      </c>
      <c r="B108" s="2002" t="str">
        <f>F!B106</f>
        <v xml:space="preserve">Floating-leaved &amp; Submerged Aquatic Vegetation (SAV)  </v>
      </c>
      <c r="C108" s="1137" t="str">
        <f>F!C106</f>
        <v>SAV (submerged &amp; floating-leaved aquatic vegetation, excluding the species listed above) occupies an annual maximum of:</v>
      </c>
      <c r="D108" s="210"/>
      <c r="E108" s="210"/>
      <c r="F108" s="192"/>
      <c r="G108" s="815">
        <f>IF((NeverWater+TempWet&gt;0),"",IF((TempWet=1),"",IF((NoPond2=1),"",IF((NoPondOW2=1),"",IF((D114=1),"", MAX(F109:F113)/MAX(E109:E113))))))</f>
        <v>0</v>
      </c>
      <c r="H108" s="2015" t="s">
        <v>1705</v>
      </c>
      <c r="I108" s="3"/>
    </row>
    <row r="109" spans="1:9" ht="16.2" customHeight="1" x14ac:dyDescent="0.3">
      <c r="A109" s="2001"/>
      <c r="B109" s="2000"/>
      <c r="C109" s="1132" t="str">
        <f>F!C107</f>
        <v>none, or &lt;5% of the water area.</v>
      </c>
      <c r="D109" s="47">
        <f>F!D107</f>
        <v>0</v>
      </c>
      <c r="E109" s="49">
        <v>0</v>
      </c>
      <c r="F109" s="45">
        <f>D109*E109</f>
        <v>0</v>
      </c>
      <c r="G109" s="1029"/>
      <c r="H109" s="1947"/>
      <c r="I109" s="3"/>
    </row>
    <row r="110" spans="1:9" ht="16.2" customHeight="1" x14ac:dyDescent="0.3">
      <c r="A110" s="2001"/>
      <c r="B110" s="2000"/>
      <c r="C110" s="1133" t="str">
        <f>F!C108</f>
        <v>5 to &lt;25% of the water area.</v>
      </c>
      <c r="D110" s="47">
        <f>F!D108</f>
        <v>0</v>
      </c>
      <c r="E110" s="49">
        <v>2</v>
      </c>
      <c r="F110" s="45">
        <f>D110*E110</f>
        <v>0</v>
      </c>
      <c r="G110" s="1029"/>
      <c r="H110" s="1947"/>
      <c r="I110" s="3"/>
    </row>
    <row r="111" spans="1:9" ht="16.2" customHeight="1" x14ac:dyDescent="0.3">
      <c r="A111" s="2001"/>
      <c r="B111" s="2000"/>
      <c r="C111" s="1133" t="str">
        <f>F!C109</f>
        <v>25 to &lt;50% of the water area.</v>
      </c>
      <c r="D111" s="47">
        <f>F!D109</f>
        <v>0</v>
      </c>
      <c r="E111" s="49">
        <v>3</v>
      </c>
      <c r="F111" s="45">
        <f>D111*E111</f>
        <v>0</v>
      </c>
      <c r="G111" s="1029"/>
      <c r="H111" s="1947"/>
      <c r="I111" s="3"/>
    </row>
    <row r="112" spans="1:9" ht="16.2" customHeight="1" x14ac:dyDescent="0.3">
      <c r="A112" s="2001"/>
      <c r="B112" s="2000"/>
      <c r="C112" s="1133" t="str">
        <f>F!C110</f>
        <v>50 to 95% of the water area.</v>
      </c>
      <c r="D112" s="47">
        <f>F!D110</f>
        <v>0</v>
      </c>
      <c r="E112" s="49">
        <v>4</v>
      </c>
      <c r="F112" s="45">
        <f>D112*E112</f>
        <v>0</v>
      </c>
      <c r="G112" s="1029"/>
      <c r="H112" s="1947"/>
      <c r="I112" s="3"/>
    </row>
    <row r="113" spans="1:9" ht="16.2" customHeight="1" x14ac:dyDescent="0.3">
      <c r="A113" s="2001"/>
      <c r="B113" s="2000"/>
      <c r="C113" s="1133" t="str">
        <f>F!C111</f>
        <v>&gt;95% of the water area.</v>
      </c>
      <c r="D113" s="47">
        <f>F!D111</f>
        <v>0</v>
      </c>
      <c r="E113" s="49">
        <v>3</v>
      </c>
      <c r="F113" s="45">
        <f>D113*E113</f>
        <v>0</v>
      </c>
      <c r="G113" s="1029"/>
      <c r="H113" s="1947"/>
      <c r="I113" s="3"/>
    </row>
    <row r="114" spans="1:9" ht="16.2" customHeight="1" thickBot="1" x14ac:dyDescent="0.35">
      <c r="A114" s="2012"/>
      <c r="B114" s="2003"/>
      <c r="C114" s="1134" t="str">
        <f>F!C112</f>
        <v>many SAV plants present, but impossible to select from the above categories.</v>
      </c>
      <c r="D114" s="242">
        <f>F!D112</f>
        <v>0</v>
      </c>
      <c r="E114" s="245"/>
      <c r="F114" s="193"/>
      <c r="G114" s="1030"/>
      <c r="H114" s="2016"/>
      <c r="I114" s="3"/>
    </row>
    <row r="115" spans="1:9" ht="73.2" customHeight="1" thickBot="1" x14ac:dyDescent="0.35">
      <c r="A115" s="1135" t="str">
        <f>F!A126</f>
        <v>F23</v>
      </c>
      <c r="B115" s="1148" t="str">
        <f>F!B126</f>
        <v>Isolated Island (Island)</v>
      </c>
      <c r="C115" s="1147" t="str">
        <f>F!C126</f>
        <v>During June, the wetland contains (or is part of) an island that is isolated from the shore by water depths &gt;3 ft. The island may be solid, or it may be a floating vegetation mat suitable for nesting waterbirds.  The island must be larger than 400 sq.ft and without inhabited buildings. Enter 1, if true.</v>
      </c>
      <c r="D115" s="1018">
        <f>F!D126</f>
        <v>0</v>
      </c>
      <c r="E115" s="93"/>
      <c r="F115" s="825"/>
      <c r="G115" s="1149" t="str">
        <f>IF((NeverWater+TempWet&gt;0),"",IF((TempWet=1),"",IF((D115=1),1,"")))</f>
        <v/>
      </c>
      <c r="H115" s="710" t="s">
        <v>1643</v>
      </c>
      <c r="I115" s="3"/>
    </row>
    <row r="116" spans="1:9" ht="45" customHeight="1" thickBot="1" x14ac:dyDescent="0.35">
      <c r="A116" s="912" t="str">
        <f>F!A127</f>
        <v>F24</v>
      </c>
      <c r="B116" s="4" t="str">
        <f>F!B127</f>
        <v>Ice-free (IceDura)</v>
      </c>
      <c r="C116" s="226" t="str">
        <f>F!C127</f>
        <v>During most years, most of the AA's surface water (if any) does not freeze, or freezes for fewer than 4 continuous weeks. Enter 1, if true.</v>
      </c>
      <c r="D116" s="1144">
        <f>F!D127</f>
        <v>0</v>
      </c>
      <c r="E116" s="260"/>
      <c r="F116" s="249"/>
      <c r="G116" s="815">
        <f>IF((NeverWater+TempWet&gt;0),"",D116)</f>
        <v>0</v>
      </c>
      <c r="H116" s="114" t="s">
        <v>1644</v>
      </c>
    </row>
    <row r="117" spans="1:9" ht="45" customHeight="1" thickBot="1" x14ac:dyDescent="0.35">
      <c r="A117" s="1821" t="str">
        <f>F!A134</f>
        <v>F26</v>
      </c>
      <c r="B117" s="1524" t="str">
        <f>F!B134</f>
        <v>% Only Saturated or Seasonally Flooded (SeasPct)</v>
      </c>
      <c r="C117" s="75"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117" s="549"/>
      <c r="E117" s="1128"/>
      <c r="F117" s="1169"/>
      <c r="G117" s="1170">
        <f>MAX(F118:F122)/MAX(E118:E122)</f>
        <v>0</v>
      </c>
      <c r="H117" s="1911" t="s">
        <v>827</v>
      </c>
      <c r="I117" s="3"/>
    </row>
    <row r="118" spans="1:9" ht="17.399999999999999" customHeight="1" x14ac:dyDescent="0.3">
      <c r="A118" s="1822"/>
      <c r="B118" s="1511"/>
      <c r="C118" s="1171" t="str">
        <f>F!C135</f>
        <v>&lt;5% of the AA, or none (i.e., all water persists for &gt;4 months).</v>
      </c>
      <c r="D118" s="47">
        <f>F!D135</f>
        <v>0</v>
      </c>
      <c r="E118" s="49">
        <v>3</v>
      </c>
      <c r="F118" s="1122">
        <f>D118*E118</f>
        <v>0</v>
      </c>
      <c r="G118" s="1172"/>
      <c r="H118" s="1912"/>
    </row>
    <row r="119" spans="1:9" ht="16.2" customHeight="1" x14ac:dyDescent="0.3">
      <c r="A119" s="1822"/>
      <c r="B119" s="1511"/>
      <c r="C119" s="784" t="str">
        <f>F!C136</f>
        <v>5 to &lt;25% of the AA.</v>
      </c>
      <c r="D119" s="47">
        <f>F!D136</f>
        <v>0</v>
      </c>
      <c r="E119" s="65">
        <v>5</v>
      </c>
      <c r="F119" s="46">
        <f>D119*E119</f>
        <v>0</v>
      </c>
      <c r="G119" s="1058"/>
      <c r="H119" s="1912"/>
    </row>
    <row r="120" spans="1:9" ht="16.2" customHeight="1" x14ac:dyDescent="0.3">
      <c r="A120" s="1822"/>
      <c r="B120" s="1511"/>
      <c r="C120" s="1173" t="str">
        <f>F!C137</f>
        <v>25 to &lt;50% of the AA.</v>
      </c>
      <c r="D120" s="47">
        <f>F!D137</f>
        <v>0</v>
      </c>
      <c r="E120" s="49">
        <v>4</v>
      </c>
      <c r="F120" s="45">
        <f>D120*E120</f>
        <v>0</v>
      </c>
      <c r="G120" s="1172"/>
      <c r="H120" s="1912"/>
    </row>
    <row r="121" spans="1:9" ht="16.2" customHeight="1" x14ac:dyDescent="0.3">
      <c r="A121" s="1822"/>
      <c r="B121" s="1511"/>
      <c r="C121" s="1173" t="str">
        <f>F!C138</f>
        <v>50 to 75% of the AA.</v>
      </c>
      <c r="D121" s="47">
        <f>F!D138</f>
        <v>0</v>
      </c>
      <c r="E121" s="49">
        <v>2</v>
      </c>
      <c r="F121" s="45">
        <f>D121*E121</f>
        <v>0</v>
      </c>
      <c r="G121" s="1172"/>
      <c r="H121" s="1912"/>
    </row>
    <row r="122" spans="1:9" ht="16.2" customHeight="1" thickBot="1" x14ac:dyDescent="0.35">
      <c r="A122" s="1825"/>
      <c r="B122" s="1525"/>
      <c r="C122" s="1174" t="str">
        <f>F!C139</f>
        <v>&gt;75% of the AA.</v>
      </c>
      <c r="D122" s="242">
        <f>F!D139</f>
        <v>0</v>
      </c>
      <c r="E122" s="245">
        <v>1</v>
      </c>
      <c r="F122" s="193">
        <f>D122*E122</f>
        <v>0</v>
      </c>
      <c r="G122" s="1175"/>
      <c r="H122" s="1913"/>
    </row>
    <row r="123" spans="1:9" ht="33" customHeight="1" thickBot="1" x14ac:dyDescent="0.35">
      <c r="A123" s="1176" t="str">
        <f>F!A145</f>
        <v>F28</v>
      </c>
      <c r="B123" s="219" t="str">
        <f>F!B145</f>
        <v>Fish &amp; Waterborne Pests (FishAcc)</v>
      </c>
      <c r="C123" s="441" t="str">
        <f>F!C148</f>
        <v>Fish (native or stocked) are known to be present in the AA, or can access it during at least one day annually.</v>
      </c>
      <c r="D123" s="1177">
        <f>F!D148</f>
        <v>0</v>
      </c>
      <c r="E123" s="260"/>
      <c r="F123" s="835"/>
      <c r="G123" s="815">
        <f>D123</f>
        <v>0</v>
      </c>
      <c r="H123" s="4" t="s">
        <v>1600</v>
      </c>
      <c r="I123" s="3"/>
    </row>
    <row r="124" spans="1:9" ht="45" customHeight="1" thickBot="1" x14ac:dyDescent="0.35">
      <c r="A124" s="1178" t="str">
        <f>F!A157</f>
        <v>F30</v>
      </c>
      <c r="B124" s="1674" t="str">
        <f>F!B157</f>
        <v>Shorebird Feeding Habitats (Shorebd)</v>
      </c>
      <c r="C124" s="219" t="str">
        <f>F!C157</f>
        <v>The extent of mudflats, very shallow waters, or shortgrass meadows, within the AA, that meet the definition of shorebird habitat  for at least 3 months during the period of late summer through the following May is:</v>
      </c>
      <c r="D124" s="65"/>
      <c r="E124" s="65"/>
      <c r="F124" s="46"/>
      <c r="G124" s="954">
        <f>MAX(F125:F128)/MAX(E125:E128)</f>
        <v>0</v>
      </c>
      <c r="H124" s="1522" t="s">
        <v>227</v>
      </c>
      <c r="I124" s="3"/>
    </row>
    <row r="125" spans="1:9" ht="16.2" customHeight="1" x14ac:dyDescent="0.3">
      <c r="A125" s="1179"/>
      <c r="B125" s="1674"/>
      <c r="C125" s="439" t="str">
        <f>F!C158</f>
        <v>None, or &lt;100 sq. ft.</v>
      </c>
      <c r="D125" s="47">
        <f>F!D158</f>
        <v>0</v>
      </c>
      <c r="E125" s="49">
        <v>0</v>
      </c>
      <c r="F125" s="45">
        <f>D125*E125</f>
        <v>0</v>
      </c>
      <c r="G125" s="998"/>
      <c r="H125" s="1521"/>
      <c r="I125" s="3"/>
    </row>
    <row r="126" spans="1:9" ht="16.2" customHeight="1" x14ac:dyDescent="0.3">
      <c r="A126" s="1179"/>
      <c r="B126" s="1674"/>
      <c r="C126" s="440" t="str">
        <f>F!C159</f>
        <v>100 to &lt;1000 sq. ft.  within AA.</v>
      </c>
      <c r="D126" s="47">
        <f>F!D159</f>
        <v>0</v>
      </c>
      <c r="E126" s="49">
        <v>2</v>
      </c>
      <c r="F126" s="45">
        <f>D126*E126</f>
        <v>0</v>
      </c>
      <c r="G126" s="998"/>
      <c r="H126" s="1521"/>
      <c r="I126" s="3"/>
    </row>
    <row r="127" spans="1:9" ht="16.2" customHeight="1" x14ac:dyDescent="0.3">
      <c r="A127" s="1179"/>
      <c r="B127" s="1674"/>
      <c r="C127" s="440" t="str">
        <f>F!C160</f>
        <v>1000 to 10,000 sq. ft. within AA.</v>
      </c>
      <c r="D127" s="47">
        <f>F!D160</f>
        <v>0</v>
      </c>
      <c r="E127" s="49">
        <v>3</v>
      </c>
      <c r="F127" s="45">
        <f>D127*E127</f>
        <v>0</v>
      </c>
      <c r="G127" s="998"/>
      <c r="H127" s="1521"/>
      <c r="I127" s="3"/>
    </row>
    <row r="128" spans="1:9" ht="16.2" customHeight="1" thickBot="1" x14ac:dyDescent="0.35">
      <c r="A128" s="1180"/>
      <c r="B128" s="1675"/>
      <c r="C128" s="451" t="str">
        <f>F!C161</f>
        <v>&gt;10,000 sq. ft. within AA.</v>
      </c>
      <c r="D128" s="242">
        <f>F!D161</f>
        <v>0</v>
      </c>
      <c r="E128" s="245">
        <v>4</v>
      </c>
      <c r="F128" s="193">
        <f>D128*E128</f>
        <v>0</v>
      </c>
      <c r="G128" s="999"/>
      <c r="H128" s="1523"/>
      <c r="I128" s="3"/>
    </row>
    <row r="129" spans="1:9" ht="21" customHeight="1" thickBot="1" x14ac:dyDescent="0.35">
      <c r="A129" s="2011" t="str">
        <f>F!A183</f>
        <v>F36</v>
      </c>
      <c r="B129" s="2002" t="str">
        <f>F!B183</f>
        <v>Internal Gradient (Gradient)</v>
      </c>
      <c r="C129" s="1115" t="str">
        <f>F!C183</f>
        <v>The gradient from the lowest to highest point of land within the AA (or from outlet to inlet) is:</v>
      </c>
      <c r="D129" s="549"/>
      <c r="E129" s="210"/>
      <c r="F129" s="878"/>
      <c r="G129" s="815">
        <f>MAX(F130:F133)/MAX(E130:E133)</f>
        <v>0</v>
      </c>
      <c r="H129" s="1547" t="s">
        <v>251</v>
      </c>
      <c r="I129" s="3"/>
    </row>
    <row r="130" spans="1:9" ht="16.2" customHeight="1" x14ac:dyDescent="0.3">
      <c r="A130" s="2001"/>
      <c r="B130" s="2000"/>
      <c r="C130" s="1147" t="str">
        <f>F!C184</f>
        <v>&lt;2% (internal flow is absent or barely detectable; basically flat).</v>
      </c>
      <c r="D130" s="47">
        <f>F!D184</f>
        <v>0</v>
      </c>
      <c r="E130" s="49">
        <v>4</v>
      </c>
      <c r="F130" s="844">
        <f>D130*E130</f>
        <v>0</v>
      </c>
      <c r="G130" s="792"/>
      <c r="H130" s="1548"/>
      <c r="I130" s="3"/>
    </row>
    <row r="131" spans="1:9" ht="16.2" customHeight="1" x14ac:dyDescent="0.3">
      <c r="A131" s="2001"/>
      <c r="B131" s="2000"/>
      <c r="C131" s="1145" t="str">
        <f>F!C185</f>
        <v>2 to &lt;6%.</v>
      </c>
      <c r="D131" s="47">
        <f>F!D185</f>
        <v>0</v>
      </c>
      <c r="E131" s="49">
        <v>2</v>
      </c>
      <c r="F131" s="844">
        <f>D131*E131</f>
        <v>0</v>
      </c>
      <c r="G131" s="793"/>
      <c r="H131" s="1548"/>
      <c r="I131" s="3"/>
    </row>
    <row r="132" spans="1:9" ht="16.2" customHeight="1" x14ac:dyDescent="0.3">
      <c r="A132" s="2001"/>
      <c r="B132" s="2000"/>
      <c r="C132" s="1145" t="str">
        <f>F!C186</f>
        <v>6 to 10%.</v>
      </c>
      <c r="D132" s="47">
        <f>F!D186</f>
        <v>0</v>
      </c>
      <c r="E132" s="49">
        <v>1</v>
      </c>
      <c r="F132" s="844">
        <f>D132*E132</f>
        <v>0</v>
      </c>
      <c r="G132" s="793"/>
      <c r="H132" s="1548"/>
      <c r="I132" s="3"/>
    </row>
    <row r="133" spans="1:9" ht="16.2" customHeight="1" thickBot="1" x14ac:dyDescent="0.35">
      <c r="A133" s="2012"/>
      <c r="B133" s="2003"/>
      <c r="C133" s="1118" t="str">
        <f>F!C187</f>
        <v>&gt;10%.</v>
      </c>
      <c r="D133" s="80">
        <f>F!D187</f>
        <v>0</v>
      </c>
      <c r="E133" s="245">
        <v>0</v>
      </c>
      <c r="F133" s="845">
        <f>D133*E133</f>
        <v>0</v>
      </c>
      <c r="G133" s="794"/>
      <c r="H133" s="1549"/>
      <c r="I133" s="3"/>
    </row>
    <row r="134" spans="1:9" ht="30" customHeight="1" thickBot="1" x14ac:dyDescent="0.35">
      <c r="A134" s="2011" t="str">
        <f>F!A193</f>
        <v>F38</v>
      </c>
      <c r="B134" s="2002" t="str">
        <f>F!B193</f>
        <v>Unshaded Herbaceous Vegetation (Extent)  (HerbExpos)</v>
      </c>
      <c r="C134" s="1115" t="str">
        <f>F!C193</f>
        <v>The annual maximum areal cover of herbaceous vegetation (excluding SAV, ferns, and mosses, but including forbs &amp; graminoids) that is not beneath a woody canopy reaches:</v>
      </c>
      <c r="D134" s="549"/>
      <c r="E134" s="210"/>
      <c r="F134" s="1044"/>
      <c r="G134" s="815">
        <f>MAX(F135:F139)/MAX(E135:E139)</f>
        <v>0</v>
      </c>
      <c r="H134" s="1522" t="s">
        <v>1544</v>
      </c>
      <c r="I134" s="3"/>
    </row>
    <row r="135" spans="1:9" ht="16.2" customHeight="1" x14ac:dyDescent="0.3">
      <c r="A135" s="2001"/>
      <c r="B135" s="2000"/>
      <c r="C135" s="893" t="str">
        <f>F!C194</f>
        <v>&lt;5% of the vegetated part of the AA.  Enter 1 and SKIP to F42.</v>
      </c>
      <c r="D135" s="47">
        <f>F!D194</f>
        <v>0</v>
      </c>
      <c r="E135" s="49">
        <v>0</v>
      </c>
      <c r="F135" s="844">
        <f>D135*E135</f>
        <v>0</v>
      </c>
      <c r="G135" s="793"/>
      <c r="H135" s="1521"/>
      <c r="I135" s="3"/>
    </row>
    <row r="136" spans="1:9" ht="16.2" customHeight="1" x14ac:dyDescent="0.3">
      <c r="A136" s="2001"/>
      <c r="B136" s="2000"/>
      <c r="C136" s="894" t="str">
        <f>F!C195</f>
        <v>5 to &lt;25% of the vegetated part of the AA.</v>
      </c>
      <c r="D136" s="47">
        <f>F!D195</f>
        <v>0</v>
      </c>
      <c r="E136" s="49">
        <v>1</v>
      </c>
      <c r="F136" s="844">
        <f>D136*E136</f>
        <v>0</v>
      </c>
      <c r="G136" s="793"/>
      <c r="H136" s="1521"/>
      <c r="I136" s="3"/>
    </row>
    <row r="137" spans="1:9" ht="16.2" customHeight="1" x14ac:dyDescent="0.3">
      <c r="A137" s="2001"/>
      <c r="B137" s="2000"/>
      <c r="C137" s="894" t="str">
        <f>F!C196</f>
        <v>25 to &lt;50% of the vegetated part of the AA.</v>
      </c>
      <c r="D137" s="47">
        <f>F!D196</f>
        <v>0</v>
      </c>
      <c r="E137" s="49">
        <v>2</v>
      </c>
      <c r="F137" s="844">
        <f>D137*E137</f>
        <v>0</v>
      </c>
      <c r="G137" s="793"/>
      <c r="H137" s="1521"/>
      <c r="I137" s="3"/>
    </row>
    <row r="138" spans="1:9" ht="16.2" customHeight="1" x14ac:dyDescent="0.3">
      <c r="A138" s="2001"/>
      <c r="B138" s="2000"/>
      <c r="C138" s="894" t="str">
        <f>F!C197</f>
        <v>50-95% of the vegetated part of the AA.</v>
      </c>
      <c r="D138" s="47">
        <f>F!D197</f>
        <v>0</v>
      </c>
      <c r="E138" s="49">
        <v>3</v>
      </c>
      <c r="F138" s="844">
        <f>D138*E138</f>
        <v>0</v>
      </c>
      <c r="G138" s="793"/>
      <c r="H138" s="1521"/>
      <c r="I138" s="3"/>
    </row>
    <row r="139" spans="1:9" ht="16.2" customHeight="1" thickBot="1" x14ac:dyDescent="0.35">
      <c r="A139" s="2012"/>
      <c r="B139" s="2003"/>
      <c r="C139" s="932" t="str">
        <f>F!C198</f>
        <v>&gt;95% of the vegetated part of the AA.</v>
      </c>
      <c r="D139" s="80">
        <f>F!D198</f>
        <v>0</v>
      </c>
      <c r="E139" s="245">
        <v>4</v>
      </c>
      <c r="F139" s="845">
        <f>D139*E139</f>
        <v>0</v>
      </c>
      <c r="G139" s="794"/>
      <c r="H139" s="1523"/>
      <c r="I139" s="3"/>
    </row>
    <row r="140" spans="1:9" ht="30" customHeight="1" thickBot="1" x14ac:dyDescent="0.35">
      <c r="A140" s="2001" t="str">
        <f>F!A205</f>
        <v>F40</v>
      </c>
      <c r="B140" s="2000" t="str">
        <f>F!B205</f>
        <v>Species Dominance - Herbaceous (HerbDom)</v>
      </c>
      <c r="C140" s="1110" t="str">
        <f>F!C205</f>
        <v>Determine which two native herbaceous (forb, fern, and graminoid) species comprise the greatest portion of the herbaceous cover that is unshaded by a woody canopy.  Then select one:</v>
      </c>
      <c r="D140" s="549"/>
      <c r="E140" s="65"/>
      <c r="F140" s="1152"/>
      <c r="G140" s="954" t="str">
        <f>IF((NoHerb=1),"",IF((D142=1),1,""))</f>
        <v/>
      </c>
      <c r="H140" s="1521" t="s">
        <v>1729</v>
      </c>
      <c r="I140" s="3"/>
    </row>
    <row r="141" spans="1:9" ht="42" customHeight="1" x14ac:dyDescent="0.3">
      <c r="A141" s="2001"/>
      <c r="B141" s="2000"/>
      <c r="C141" s="1132" t="str">
        <f>F!C206</f>
        <v>Those species together comprise more than half of the areal cover of native herbaceous plants at any time during the year, i.e., one dominant species or two co-dominants.  Also mark this if &lt;20% of the vegetated cover is native species.</v>
      </c>
      <c r="D141" s="47">
        <f>F!D206</f>
        <v>0</v>
      </c>
      <c r="E141" s="49">
        <v>0</v>
      </c>
      <c r="F141" s="1029">
        <f>D141*E141</f>
        <v>0</v>
      </c>
      <c r="G141" s="957"/>
      <c r="H141" s="1521"/>
    </row>
    <row r="142" spans="1:9" ht="27" customHeight="1" thickBot="1" x14ac:dyDescent="0.35">
      <c r="A142" s="2001"/>
      <c r="B142" s="2000"/>
      <c r="C142" s="6" t="str">
        <f>F!C207</f>
        <v>Those species together comprise less than half of the areal cover of native herbaceous plants at any time during the year.</v>
      </c>
      <c r="D142" s="242">
        <f>F!D207</f>
        <v>0</v>
      </c>
      <c r="E142" s="67">
        <v>1</v>
      </c>
      <c r="F142" s="1114">
        <f>D142*E142</f>
        <v>0</v>
      </c>
      <c r="G142" s="959"/>
      <c r="H142" s="1521"/>
    </row>
    <row r="143" spans="1:9" ht="21" customHeight="1" thickBot="1" x14ac:dyDescent="0.35">
      <c r="A143" s="2031" t="str">
        <f>F!A208</f>
        <v>F41</v>
      </c>
      <c r="B143" s="2015" t="str">
        <f>F!B208</f>
        <v>Invasive or Non-native - % of Vegetative Cover (Invas)</v>
      </c>
      <c r="C143" s="1115" t="str">
        <f>F!C208</f>
        <v>Vegetative cover (annual maximum) is:</v>
      </c>
      <c r="D143" s="549"/>
      <c r="E143" s="210"/>
      <c r="F143" s="955"/>
      <c r="G143" s="815">
        <f>IF((NoHerb=1),"",MAX(F144:F147)/MAX(E144:E147))</f>
        <v>0</v>
      </c>
      <c r="H143" s="1522" t="s">
        <v>1744</v>
      </c>
    </row>
    <row r="144" spans="1:9" ht="27" customHeight="1" x14ac:dyDescent="0.3">
      <c r="A144" s="2032"/>
      <c r="B144" s="1947"/>
      <c r="C144" s="893" t="str">
        <f>F!C209</f>
        <v>Overwhelmingly (&gt;80% cover) non-native species AND &gt;10% of the herbaceous cover is invasive species.  
(See ORWAP SuppInfo file for species designations).</v>
      </c>
      <c r="D144" s="47">
        <f>F!D209</f>
        <v>0</v>
      </c>
      <c r="E144" s="49">
        <v>0</v>
      </c>
      <c r="F144" s="1029">
        <f>D144*E144</f>
        <v>0</v>
      </c>
      <c r="G144" s="957"/>
      <c r="H144" s="1521"/>
    </row>
    <row r="145" spans="1:9" ht="27" customHeight="1" x14ac:dyDescent="0.3">
      <c r="A145" s="2032"/>
      <c r="B145" s="1947"/>
      <c r="C145" s="894" t="str">
        <f>F!C210</f>
        <v xml:space="preserve">Overwhelmingly (&gt;80% cover) non-native species AND &lt;10% of the herbaceous cover is invasive species; 
OR 50-80% of cover is non-native species regardless of invasiveness. </v>
      </c>
      <c r="D145" s="47">
        <f>F!D208</f>
        <v>0</v>
      </c>
      <c r="E145" s="49">
        <v>1</v>
      </c>
      <c r="F145" s="1029">
        <f>D145*E145</f>
        <v>0</v>
      </c>
      <c r="G145" s="957"/>
      <c r="H145" s="1521"/>
    </row>
    <row r="146" spans="1:9" ht="16.2" customHeight="1" x14ac:dyDescent="0.3">
      <c r="A146" s="2032"/>
      <c r="B146" s="1947"/>
      <c r="C146" s="894" t="str">
        <f>F!C211</f>
        <v>Mostly (50-80%) native species.</v>
      </c>
      <c r="D146" s="47">
        <f>F!D211</f>
        <v>0</v>
      </c>
      <c r="E146" s="49">
        <v>2</v>
      </c>
      <c r="F146" s="1029">
        <f>D146*E146</f>
        <v>0</v>
      </c>
      <c r="G146" s="957"/>
      <c r="H146" s="1521"/>
    </row>
    <row r="147" spans="1:9" ht="16.2" customHeight="1" thickBot="1" x14ac:dyDescent="0.35">
      <c r="A147" s="2033"/>
      <c r="B147" s="2016"/>
      <c r="C147" s="932" t="str">
        <f>F!C212</f>
        <v>Overwhelmingly (&gt;80%) native species.</v>
      </c>
      <c r="D147" s="80">
        <f>F!D212</f>
        <v>0</v>
      </c>
      <c r="E147" s="245">
        <v>3</v>
      </c>
      <c r="F147" s="1030">
        <f>D147*E147</f>
        <v>0</v>
      </c>
      <c r="G147" s="958"/>
      <c r="H147" s="1523"/>
    </row>
    <row r="148" spans="1:9" ht="60" customHeight="1" thickBot="1" x14ac:dyDescent="0.35">
      <c r="A148" s="1146" t="str">
        <f>F!A220</f>
        <v>F44</v>
      </c>
      <c r="B148" s="1137" t="str">
        <f>F!B220</f>
        <v>Moss Wetland (Moss)</v>
      </c>
      <c r="C148" s="1181" t="str">
        <f>F!C220</f>
        <v>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Enter 1, if true.</v>
      </c>
      <c r="D148" s="1144">
        <f>F!D220</f>
        <v>0</v>
      </c>
      <c r="E148" s="260"/>
      <c r="F148" s="249"/>
      <c r="G148" s="815">
        <f>IF((D148=1),0,1)</f>
        <v>1</v>
      </c>
      <c r="H148" s="114" t="s">
        <v>650</v>
      </c>
    </row>
    <row r="149" spans="1:9" ht="30" customHeight="1" thickBot="1" x14ac:dyDescent="0.35">
      <c r="A149" s="2031" t="str">
        <f>F!A260</f>
        <v>F52</v>
      </c>
      <c r="B149" s="1947" t="str">
        <f>F!B260</f>
        <v>Upland Perennial Cover - % of Perimeter (PerimPctPer)</v>
      </c>
      <c r="C149" s="1130" t="str">
        <f>F!C260</f>
        <v xml:space="preserve">The percentage of the AA's edge (perimeter) that is comprised of a band of upland perennial cover wider than 10 ft and taller than 6 inches, during most of the growing season is:  </v>
      </c>
      <c r="D149" s="549"/>
      <c r="E149" s="65"/>
      <c r="F149" s="1152"/>
      <c r="G149" s="954">
        <f>MAX(F150:F155)/MAX(E150:E155)</f>
        <v>0</v>
      </c>
      <c r="H149" s="1521" t="s">
        <v>712</v>
      </c>
    </row>
    <row r="150" spans="1:9" ht="16.2" customHeight="1" x14ac:dyDescent="0.3">
      <c r="A150" s="2032"/>
      <c r="B150" s="1947"/>
      <c r="C150" s="439" t="str">
        <f>F!C261</f>
        <v>&lt;5%.</v>
      </c>
      <c r="D150" s="47">
        <f>F!D261</f>
        <v>0</v>
      </c>
      <c r="E150" s="49">
        <v>0</v>
      </c>
      <c r="F150" s="1114">
        <f t="shared" ref="F150:F155" si="5">D150*E150</f>
        <v>0</v>
      </c>
      <c r="G150" s="957"/>
      <c r="H150" s="1521"/>
    </row>
    <row r="151" spans="1:9" ht="16.2" customHeight="1" x14ac:dyDescent="0.3">
      <c r="A151" s="2032"/>
      <c r="B151" s="1947"/>
      <c r="C151" s="440" t="str">
        <f>F!C262</f>
        <v>5 to &lt;25%.</v>
      </c>
      <c r="D151" s="47">
        <f>F!D262</f>
        <v>0</v>
      </c>
      <c r="E151" s="49">
        <v>2</v>
      </c>
      <c r="F151" s="1114">
        <f t="shared" si="5"/>
        <v>0</v>
      </c>
      <c r="G151" s="957"/>
      <c r="H151" s="1521"/>
    </row>
    <row r="152" spans="1:9" ht="16.2" customHeight="1" x14ac:dyDescent="0.3">
      <c r="A152" s="2032"/>
      <c r="B152" s="1947"/>
      <c r="C152" s="440" t="str">
        <f>F!C263</f>
        <v>25 to &lt;50%.</v>
      </c>
      <c r="D152" s="47">
        <f>F!D263</f>
        <v>0</v>
      </c>
      <c r="E152" s="49">
        <v>3</v>
      </c>
      <c r="F152" s="1114">
        <f t="shared" si="5"/>
        <v>0</v>
      </c>
      <c r="G152" s="957"/>
      <c r="H152" s="1521"/>
    </row>
    <row r="153" spans="1:9" ht="16.2" customHeight="1" x14ac:dyDescent="0.3">
      <c r="A153" s="2032"/>
      <c r="B153" s="1947"/>
      <c r="C153" s="440" t="str">
        <f>F!C264</f>
        <v>50 to &lt;75%.</v>
      </c>
      <c r="D153" s="47">
        <f>F!D264</f>
        <v>0</v>
      </c>
      <c r="E153" s="49">
        <v>4</v>
      </c>
      <c r="F153" s="1114">
        <f t="shared" si="5"/>
        <v>0</v>
      </c>
      <c r="G153" s="957"/>
      <c r="H153" s="1521"/>
    </row>
    <row r="154" spans="1:9" ht="16.2" customHeight="1" x14ac:dyDescent="0.3">
      <c r="A154" s="2032"/>
      <c r="B154" s="1947"/>
      <c r="C154" s="440" t="str">
        <f>F!C265</f>
        <v>75 to 95%.</v>
      </c>
      <c r="D154" s="47">
        <f>F!D265</f>
        <v>0</v>
      </c>
      <c r="E154" s="49">
        <v>5</v>
      </c>
      <c r="F154" s="1114">
        <f t="shared" si="5"/>
        <v>0</v>
      </c>
      <c r="G154" s="957"/>
      <c r="H154" s="1521"/>
    </row>
    <row r="155" spans="1:9" ht="16.2" customHeight="1" thickBot="1" x14ac:dyDescent="0.35">
      <c r="A155" s="2033"/>
      <c r="B155" s="1947"/>
      <c r="C155" s="453" t="str">
        <f>F!C266</f>
        <v>&gt;95%.</v>
      </c>
      <c r="D155" s="80">
        <f>F!D266</f>
        <v>0</v>
      </c>
      <c r="E155" s="67">
        <v>6</v>
      </c>
      <c r="F155" s="1140">
        <f t="shared" si="5"/>
        <v>0</v>
      </c>
      <c r="G155" s="959"/>
      <c r="H155" s="1521"/>
    </row>
    <row r="156" spans="1:9" ht="30" customHeight="1" thickBot="1" x14ac:dyDescent="0.35">
      <c r="A156" s="2011" t="str">
        <f>F!A274</f>
        <v>F54</v>
      </c>
      <c r="B156" s="2002" t="str">
        <f>F!B274</f>
        <v>Upland Trees as % of All Perennial Cover (UpTreePctPer)</v>
      </c>
      <c r="C156" s="1115" t="str">
        <f>F!C274</f>
        <v>Within 100 f.t landward from the AA's edge (perimeter), the percentage of the upland perennial cover that is woody plants taller than 20 ft is:</v>
      </c>
      <c r="D156" s="549"/>
      <c r="E156" s="210"/>
      <c r="F156" s="192"/>
      <c r="G156" s="815">
        <f>IF((HistOpenland=1),"",MAX(F157:F162)/MAX(E157:E162))</f>
        <v>0</v>
      </c>
      <c r="H156" s="1522" t="s">
        <v>228</v>
      </c>
      <c r="I156" s="3"/>
    </row>
    <row r="157" spans="1:9" ht="16.2" customHeight="1" x14ac:dyDescent="0.3">
      <c r="A157" s="2001"/>
      <c r="B157" s="2000"/>
      <c r="C157" s="1116" t="str">
        <f>F!C275</f>
        <v>&lt;5%, or there is no upland perennial cover along the upland edge.</v>
      </c>
      <c r="D157" s="47">
        <f>F!D275</f>
        <v>0</v>
      </c>
      <c r="E157" s="49">
        <v>5</v>
      </c>
      <c r="F157" s="45">
        <f t="shared" ref="F157:F162" si="6">D157*E157</f>
        <v>0</v>
      </c>
      <c r="G157" s="957"/>
      <c r="H157" s="1521"/>
    </row>
    <row r="158" spans="1:9" ht="16.2" customHeight="1" x14ac:dyDescent="0.3">
      <c r="A158" s="2001"/>
      <c r="B158" s="2000"/>
      <c r="C158" s="1117" t="str">
        <f>F!C276</f>
        <v>5 to &lt;25% of perennial cover.</v>
      </c>
      <c r="D158" s="47">
        <f>F!D276</f>
        <v>0</v>
      </c>
      <c r="E158" s="49">
        <v>4</v>
      </c>
      <c r="F158" s="45">
        <f t="shared" si="6"/>
        <v>0</v>
      </c>
      <c r="G158" s="957"/>
      <c r="H158" s="1521"/>
    </row>
    <row r="159" spans="1:9" ht="16.2" customHeight="1" x14ac:dyDescent="0.3">
      <c r="A159" s="2001"/>
      <c r="B159" s="2000"/>
      <c r="C159" s="1117" t="str">
        <f>F!C277</f>
        <v>25 to &lt;50% of perennial cover.</v>
      </c>
      <c r="D159" s="47">
        <f>F!D277</f>
        <v>0</v>
      </c>
      <c r="E159" s="49">
        <v>3</v>
      </c>
      <c r="F159" s="45">
        <f t="shared" si="6"/>
        <v>0</v>
      </c>
      <c r="G159" s="957"/>
      <c r="H159" s="1521"/>
    </row>
    <row r="160" spans="1:9" ht="16.2" customHeight="1" x14ac:dyDescent="0.3">
      <c r="A160" s="2001"/>
      <c r="B160" s="2000"/>
      <c r="C160" s="1117" t="str">
        <f>F!C278</f>
        <v>50 to &lt;75% of perennial cover.</v>
      </c>
      <c r="D160" s="47">
        <f>F!D278</f>
        <v>0</v>
      </c>
      <c r="E160" s="49">
        <v>2</v>
      </c>
      <c r="F160" s="45">
        <f t="shared" si="6"/>
        <v>0</v>
      </c>
      <c r="G160" s="957"/>
      <c r="H160" s="1521"/>
    </row>
    <row r="161" spans="1:9" ht="16.2" customHeight="1" x14ac:dyDescent="0.3">
      <c r="A161" s="2001"/>
      <c r="B161" s="2000"/>
      <c r="C161" s="1117" t="str">
        <f>F!C279</f>
        <v>75 to 95% of perennial cover.</v>
      </c>
      <c r="D161" s="47">
        <f>F!D279</f>
        <v>0</v>
      </c>
      <c r="E161" s="49">
        <v>1</v>
      </c>
      <c r="F161" s="45">
        <f t="shared" si="6"/>
        <v>0</v>
      </c>
      <c r="G161" s="957"/>
      <c r="H161" s="1521"/>
    </row>
    <row r="162" spans="1:9" ht="16.2" customHeight="1" thickBot="1" x14ac:dyDescent="0.35">
      <c r="A162" s="2012"/>
      <c r="B162" s="2003"/>
      <c r="C162" s="1118" t="str">
        <f>F!C280</f>
        <v>&gt;95% of perennial cover.</v>
      </c>
      <c r="D162" s="80">
        <f>F!D280</f>
        <v>0</v>
      </c>
      <c r="E162" s="245">
        <v>0</v>
      </c>
      <c r="F162" s="193">
        <f t="shared" si="6"/>
        <v>0</v>
      </c>
      <c r="G162" s="958"/>
      <c r="H162" s="1523"/>
    </row>
    <row r="163" spans="1:9" ht="60" customHeight="1" thickBot="1" x14ac:dyDescent="0.35">
      <c r="A163" s="2001" t="str">
        <f>F!A328</f>
        <v>F68</v>
      </c>
      <c r="B163" s="2000" t="str">
        <f>F!B328</f>
        <v>Core Area 1 (VisitNo)</v>
      </c>
      <c r="C163" s="1130"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163" s="549"/>
      <c r="E163" s="1009"/>
      <c r="F163" s="963"/>
      <c r="G163" s="954">
        <f>MAX(F164:F169)/MAX(E164:E169)</f>
        <v>0</v>
      </c>
      <c r="H163" s="1521" t="s">
        <v>429</v>
      </c>
      <c r="I163" s="3"/>
    </row>
    <row r="164" spans="1:9" ht="16.2" customHeight="1" x14ac:dyDescent="0.3">
      <c r="A164" s="2001"/>
      <c r="B164" s="2000"/>
      <c r="C164" s="439" t="str">
        <f>F!C329</f>
        <v>&lt;5% and no inhabited building is within 300 ft of the AA.</v>
      </c>
      <c r="D164" s="47">
        <f>F!D329</f>
        <v>0</v>
      </c>
      <c r="E164" s="1045">
        <v>1</v>
      </c>
      <c r="F164" s="45">
        <f t="shared" ref="F164:F169" si="7">D164*E164</f>
        <v>0</v>
      </c>
      <c r="G164" s="956"/>
      <c r="H164" s="1521"/>
    </row>
    <row r="165" spans="1:9" ht="16.2" customHeight="1" x14ac:dyDescent="0.3">
      <c r="A165" s="2001"/>
      <c r="B165" s="2000"/>
      <c r="C165" s="440" t="str">
        <f>F!C330</f>
        <v>&lt;5% and inhabited building is within 300 ft of the AA.</v>
      </c>
      <c r="D165" s="47">
        <f>F!D330</f>
        <v>0</v>
      </c>
      <c r="E165" s="1045">
        <v>0</v>
      </c>
      <c r="F165" s="45">
        <f t="shared" si="7"/>
        <v>0</v>
      </c>
      <c r="G165" s="957"/>
      <c r="H165" s="1521"/>
    </row>
    <row r="166" spans="1:9" ht="16.2" customHeight="1" x14ac:dyDescent="0.3">
      <c r="A166" s="2001"/>
      <c r="B166" s="2000"/>
      <c r="C166" s="440" t="str">
        <f>F!C331</f>
        <v>5 to &lt;50% and no inhabited building is within 300 ft of the AA.</v>
      </c>
      <c r="D166" s="47">
        <f>F!D331</f>
        <v>0</v>
      </c>
      <c r="E166" s="1045">
        <v>3</v>
      </c>
      <c r="F166" s="45">
        <f t="shared" si="7"/>
        <v>0</v>
      </c>
      <c r="G166" s="957"/>
      <c r="H166" s="1521"/>
    </row>
    <row r="167" spans="1:9" ht="16.2" customHeight="1" x14ac:dyDescent="0.3">
      <c r="A167" s="2001"/>
      <c r="B167" s="2000"/>
      <c r="C167" s="440" t="str">
        <f>F!C332</f>
        <v>5 to &lt;50% and inhabited building is within 300 ft of the AA.</v>
      </c>
      <c r="D167" s="47">
        <f>F!D332</f>
        <v>0</v>
      </c>
      <c r="E167" s="1045">
        <v>2</v>
      </c>
      <c r="F167" s="45">
        <f t="shared" si="7"/>
        <v>0</v>
      </c>
      <c r="G167" s="959"/>
      <c r="H167" s="1521"/>
    </row>
    <row r="168" spans="1:9" ht="16.2" customHeight="1" x14ac:dyDescent="0.3">
      <c r="A168" s="2001"/>
      <c r="B168" s="2000"/>
      <c r="C168" s="440" t="str">
        <f>F!C333</f>
        <v>50 to 95% with or without inhabited building nearby.</v>
      </c>
      <c r="D168" s="47">
        <f>F!D333</f>
        <v>0</v>
      </c>
      <c r="E168" s="1045">
        <v>4</v>
      </c>
      <c r="F168" s="45">
        <f t="shared" si="7"/>
        <v>0</v>
      </c>
      <c r="G168" s="959"/>
      <c r="H168" s="1521"/>
    </row>
    <row r="169" spans="1:9" ht="16.2" customHeight="1" thickBot="1" x14ac:dyDescent="0.35">
      <c r="A169" s="2001"/>
      <c r="B169" s="2000"/>
      <c r="C169" s="453" t="str">
        <f>F!C334</f>
        <v>&gt;95% of the AA with or without inhabited building nearby.</v>
      </c>
      <c r="D169" s="242">
        <f>F!D334</f>
        <v>0</v>
      </c>
      <c r="E169" s="1048">
        <v>5</v>
      </c>
      <c r="F169" s="54">
        <f t="shared" si="7"/>
        <v>0</v>
      </c>
      <c r="G169" s="959"/>
      <c r="H169" s="1521"/>
    </row>
    <row r="170" spans="1:9" ht="30.6" customHeight="1" thickBot="1" x14ac:dyDescent="0.35">
      <c r="A170" s="2011" t="str">
        <f>F!A335</f>
        <v>F69</v>
      </c>
      <c r="B170" s="2002" t="str">
        <f>F!B335</f>
        <v>Core Area 2 (VisitOften)</v>
      </c>
      <c r="C170" s="1110" t="str">
        <f>F!C335</f>
        <v>The part of the AA visited by humans almost daily for several weeks during an average growing season probably comprises:  [The Note in the preceding question applies here as well].</v>
      </c>
      <c r="D170" s="549"/>
      <c r="E170" s="1053"/>
      <c r="F170" s="955"/>
      <c r="G170" s="815">
        <f>MAX(F171:F174)/MAX(E171:E174)</f>
        <v>0</v>
      </c>
      <c r="H170" s="1522" t="s">
        <v>124</v>
      </c>
      <c r="I170" s="3"/>
    </row>
    <row r="171" spans="1:9" ht="16.2" customHeight="1" x14ac:dyDescent="0.3">
      <c r="A171" s="2001"/>
      <c r="B171" s="2000"/>
      <c r="C171" s="1132" t="str">
        <f>F!C336</f>
        <v>&lt;5%.</v>
      </c>
      <c r="D171" s="47">
        <f>F!D336</f>
        <v>0</v>
      </c>
      <c r="E171" s="1045">
        <v>3</v>
      </c>
      <c r="F171" s="45">
        <f>D171*E171</f>
        <v>0</v>
      </c>
      <c r="G171" s="956"/>
      <c r="H171" s="1521"/>
    </row>
    <row r="172" spans="1:9" ht="16.2" customHeight="1" x14ac:dyDescent="0.3">
      <c r="A172" s="2001"/>
      <c r="B172" s="2000"/>
      <c r="C172" s="1133" t="str">
        <f>F!C337</f>
        <v>5 to &lt;50%.</v>
      </c>
      <c r="D172" s="47">
        <f>F!D337</f>
        <v>0</v>
      </c>
      <c r="E172" s="1045">
        <v>2</v>
      </c>
      <c r="F172" s="45">
        <f>D172*E172</f>
        <v>0</v>
      </c>
      <c r="G172" s="957"/>
      <c r="H172" s="1521"/>
    </row>
    <row r="173" spans="1:9" ht="16.2" customHeight="1" x14ac:dyDescent="0.3">
      <c r="A173" s="2001"/>
      <c r="B173" s="2000"/>
      <c r="C173" s="1133" t="str">
        <f>F!C338</f>
        <v>50 to 95%.</v>
      </c>
      <c r="D173" s="47">
        <f>F!D338</f>
        <v>0</v>
      </c>
      <c r="E173" s="1045">
        <v>1</v>
      </c>
      <c r="F173" s="45">
        <f>D173*E173</f>
        <v>0</v>
      </c>
      <c r="G173" s="957"/>
      <c r="H173" s="1521"/>
    </row>
    <row r="174" spans="1:9" ht="16.2" customHeight="1" thickBot="1" x14ac:dyDescent="0.35">
      <c r="A174" s="2012"/>
      <c r="B174" s="2003"/>
      <c r="C174" s="1134" t="str">
        <f>F!C339</f>
        <v>&gt;95% of the AA.</v>
      </c>
      <c r="D174" s="80">
        <f>F!D339</f>
        <v>0</v>
      </c>
      <c r="E174" s="1046">
        <v>0</v>
      </c>
      <c r="F174" s="193">
        <f>D174*E174</f>
        <v>0</v>
      </c>
      <c r="G174" s="958"/>
      <c r="H174" s="1523"/>
    </row>
    <row r="175" spans="1:9" s="361" customFormat="1" ht="36" customHeight="1" thickBot="1" x14ac:dyDescent="0.3">
      <c r="A175" s="920" t="s">
        <v>126</v>
      </c>
      <c r="B175" s="920" t="s">
        <v>1468</v>
      </c>
      <c r="C175" s="1182" t="s">
        <v>1271</v>
      </c>
      <c r="D175" s="1183" t="s">
        <v>115</v>
      </c>
      <c r="E175" s="374" t="s">
        <v>771</v>
      </c>
      <c r="F175" s="920" t="s">
        <v>1474</v>
      </c>
      <c r="G175" s="920" t="s">
        <v>770</v>
      </c>
      <c r="H175" s="920" t="s">
        <v>772</v>
      </c>
    </row>
    <row r="176" spans="1:9" ht="30" customHeight="1" thickBot="1" x14ac:dyDescent="0.35">
      <c r="A176" s="1922" t="str">
        <f>T!A15</f>
        <v>T3</v>
      </c>
      <c r="B176" s="2002" t="str">
        <f>T!B15</f>
        <v>Low Marsh (LowMarshT)</v>
      </c>
      <c r="C176" s="1110" t="str">
        <f>T!C15</f>
        <v>The percent of the vegetated part of the AA that is "low marsh" (covered by tidal water for part of almost every day) is:</v>
      </c>
      <c r="D176" s="1062"/>
      <c r="E176" s="1053"/>
      <c r="F176" s="192"/>
      <c r="G176" s="857">
        <f>MAX(F177:F183)/MAX(E177:E183)</f>
        <v>0</v>
      </c>
      <c r="H176" s="2041" t="s">
        <v>698</v>
      </c>
    </row>
    <row r="177" spans="1:8" ht="16.2" customHeight="1" x14ac:dyDescent="0.3">
      <c r="A177" s="1923"/>
      <c r="B177" s="2000"/>
      <c r="C177" s="1132" t="str">
        <f>T!C16</f>
        <v>None, or &lt;1%.</v>
      </c>
      <c r="D177" s="47">
        <f>T!D16</f>
        <v>0</v>
      </c>
      <c r="E177" s="1045">
        <v>1</v>
      </c>
      <c r="F177" s="45">
        <f t="shared" ref="F177:F183" si="8">D177*E177</f>
        <v>0</v>
      </c>
      <c r="G177" s="956"/>
      <c r="H177" s="2042"/>
    </row>
    <row r="178" spans="1:8" ht="16.2" customHeight="1" x14ac:dyDescent="0.3">
      <c r="A178" s="1923"/>
      <c r="B178" s="2000"/>
      <c r="C178" s="1133" t="str">
        <f>T!C17</f>
        <v>1 to &lt;10%.</v>
      </c>
      <c r="D178" s="47">
        <f>T!D17</f>
        <v>0</v>
      </c>
      <c r="E178" s="1045">
        <v>2</v>
      </c>
      <c r="F178" s="45">
        <f t="shared" si="8"/>
        <v>0</v>
      </c>
      <c r="G178" s="957"/>
      <c r="H178" s="2042"/>
    </row>
    <row r="179" spans="1:8" ht="16.2" customHeight="1" x14ac:dyDescent="0.3">
      <c r="A179" s="1923"/>
      <c r="B179" s="2000"/>
      <c r="C179" s="1133" t="str">
        <f>T!C18</f>
        <v>10 to &lt;25%.</v>
      </c>
      <c r="D179" s="47">
        <f>T!D18</f>
        <v>0</v>
      </c>
      <c r="E179" s="1045">
        <v>3</v>
      </c>
      <c r="F179" s="45">
        <f t="shared" si="8"/>
        <v>0</v>
      </c>
      <c r="G179" s="957"/>
      <c r="H179" s="2042"/>
    </row>
    <row r="180" spans="1:8" ht="16.2" customHeight="1" x14ac:dyDescent="0.3">
      <c r="A180" s="1923"/>
      <c r="B180" s="2000"/>
      <c r="C180" s="1133" t="str">
        <f>T!C19</f>
        <v>25 &lt;50%.</v>
      </c>
      <c r="D180" s="47">
        <f>T!D19</f>
        <v>0</v>
      </c>
      <c r="E180" s="1045">
        <v>4</v>
      </c>
      <c r="F180" s="45">
        <f t="shared" si="8"/>
        <v>0</v>
      </c>
      <c r="G180" s="957"/>
      <c r="H180" s="2042"/>
    </row>
    <row r="181" spans="1:8" ht="16.2" customHeight="1" x14ac:dyDescent="0.3">
      <c r="A181" s="1923"/>
      <c r="B181" s="2000"/>
      <c r="C181" s="1133" t="str">
        <f>T!C20</f>
        <v>50 to &lt;75%.</v>
      </c>
      <c r="D181" s="47">
        <f>T!D20</f>
        <v>0</v>
      </c>
      <c r="E181" s="1045">
        <v>5</v>
      </c>
      <c r="F181" s="45">
        <f t="shared" si="8"/>
        <v>0</v>
      </c>
      <c r="G181" s="957"/>
      <c r="H181" s="2042"/>
    </row>
    <row r="182" spans="1:8" ht="16.2" customHeight="1" x14ac:dyDescent="0.3">
      <c r="A182" s="1923"/>
      <c r="B182" s="2000"/>
      <c r="C182" s="1133" t="str">
        <f>T!C21</f>
        <v>75 to 90%.</v>
      </c>
      <c r="D182" s="47">
        <f>T!D21</f>
        <v>0</v>
      </c>
      <c r="E182" s="1045">
        <v>6</v>
      </c>
      <c r="F182" s="45">
        <f t="shared" si="8"/>
        <v>0</v>
      </c>
      <c r="G182" s="957"/>
      <c r="H182" s="2042"/>
    </row>
    <row r="183" spans="1:8" ht="16.2" customHeight="1" thickBot="1" x14ac:dyDescent="0.35">
      <c r="A183" s="1924"/>
      <c r="B183" s="2003"/>
      <c r="C183" s="1134" t="str">
        <f>T!C22</f>
        <v>&gt;90%.</v>
      </c>
      <c r="D183" s="242">
        <f>T!D22</f>
        <v>0</v>
      </c>
      <c r="E183" s="1046">
        <v>7</v>
      </c>
      <c r="F183" s="193">
        <f t="shared" si="8"/>
        <v>0</v>
      </c>
      <c r="G183" s="959"/>
      <c r="H183" s="2043"/>
    </row>
    <row r="184" spans="1:8" ht="30" customHeight="1" thickBot="1" x14ac:dyDescent="0.35">
      <c r="A184" s="1922" t="str">
        <f>T!A30</f>
        <v>T5</v>
      </c>
      <c r="B184" s="2000" t="str">
        <f>T!B30</f>
        <v>Width of Vegetated Zone at Daily Low Tide (WidthLoT)</v>
      </c>
      <c r="C184" s="1130" t="str">
        <f>T!C30</f>
        <v>At average daily LOW tide condition, the width of the vegetated wetland that separates adjoining uplands (if any) from subtidal water within or adjoining the AA, is predominantly:</v>
      </c>
      <c r="D184" s="1062"/>
      <c r="E184" s="1047"/>
      <c r="F184" s="46"/>
      <c r="G184" s="857">
        <f>MAX(F185:F190)/MAX(E185:E190)</f>
        <v>0</v>
      </c>
      <c r="H184" s="2015" t="s">
        <v>699</v>
      </c>
    </row>
    <row r="185" spans="1:8" ht="16.2" customHeight="1" x14ac:dyDescent="0.3">
      <c r="A185" s="1923"/>
      <c r="B185" s="2000"/>
      <c r="C185" s="1132" t="str">
        <f>T!C31</f>
        <v>&lt;5 ft, or no vegetation between upland and subtidal water.</v>
      </c>
      <c r="D185" s="47">
        <f>T!D31</f>
        <v>0</v>
      </c>
      <c r="E185" s="1045">
        <v>1</v>
      </c>
      <c r="F185" s="45">
        <f t="shared" ref="F185:F190" si="9">D185*E185</f>
        <v>0</v>
      </c>
      <c r="G185" s="956"/>
      <c r="H185" s="1947"/>
    </row>
    <row r="186" spans="1:8" ht="16.2" customHeight="1" x14ac:dyDescent="0.3">
      <c r="A186" s="1923"/>
      <c r="B186" s="2000"/>
      <c r="C186" s="1133" t="str">
        <f>T!C32</f>
        <v>5 to &lt;30 ft.</v>
      </c>
      <c r="D186" s="47">
        <f>T!D32</f>
        <v>0</v>
      </c>
      <c r="E186" s="1045">
        <v>3</v>
      </c>
      <c r="F186" s="45">
        <f t="shared" si="9"/>
        <v>0</v>
      </c>
      <c r="G186" s="957"/>
      <c r="H186" s="1947"/>
    </row>
    <row r="187" spans="1:8" ht="16.2" customHeight="1" x14ac:dyDescent="0.3">
      <c r="A187" s="1923"/>
      <c r="B187" s="2000"/>
      <c r="C187" s="1133" t="str">
        <f>T!C33</f>
        <v>30 to &lt;50 ft.</v>
      </c>
      <c r="D187" s="47">
        <f>T!D33</f>
        <v>0</v>
      </c>
      <c r="E187" s="1045">
        <v>4</v>
      </c>
      <c r="F187" s="45">
        <f t="shared" si="9"/>
        <v>0</v>
      </c>
      <c r="G187" s="957"/>
      <c r="H187" s="1947"/>
    </row>
    <row r="188" spans="1:8" ht="16.2" customHeight="1" x14ac:dyDescent="0.3">
      <c r="A188" s="1923"/>
      <c r="B188" s="2000"/>
      <c r="C188" s="1133" t="str">
        <f>T!C34</f>
        <v>50 to &lt;100 ft.</v>
      </c>
      <c r="D188" s="47">
        <f>T!D34</f>
        <v>0</v>
      </c>
      <c r="E188" s="1045">
        <v>5</v>
      </c>
      <c r="F188" s="45">
        <f t="shared" si="9"/>
        <v>0</v>
      </c>
      <c r="G188" s="957"/>
      <c r="H188" s="1947"/>
    </row>
    <row r="189" spans="1:8" ht="16.2" customHeight="1" x14ac:dyDescent="0.3">
      <c r="A189" s="1923"/>
      <c r="B189" s="2000"/>
      <c r="C189" s="1133" t="str">
        <f>T!C35</f>
        <v>100 to 300 ft.</v>
      </c>
      <c r="D189" s="47">
        <f>T!D35</f>
        <v>0</v>
      </c>
      <c r="E189" s="1045">
        <v>6</v>
      </c>
      <c r="F189" s="45">
        <f t="shared" si="9"/>
        <v>0</v>
      </c>
      <c r="G189" s="957"/>
      <c r="H189" s="1947"/>
    </row>
    <row r="190" spans="1:8" ht="16.2" customHeight="1" thickBot="1" x14ac:dyDescent="0.35">
      <c r="A190" s="1924"/>
      <c r="B190" s="2000"/>
      <c r="C190" s="1131" t="str">
        <f>T!C36</f>
        <v>&gt; 300 ft.</v>
      </c>
      <c r="D190" s="242">
        <f>T!D36</f>
        <v>0</v>
      </c>
      <c r="E190" s="1048">
        <v>7</v>
      </c>
      <c r="F190" s="54">
        <f t="shared" si="9"/>
        <v>0</v>
      </c>
      <c r="G190" s="959"/>
      <c r="H190" s="2016"/>
    </row>
    <row r="191" spans="1:8" ht="30" customHeight="1" thickBot="1" x14ac:dyDescent="0.35">
      <c r="A191" s="1922" t="str">
        <f>T!A51</f>
        <v>T9</v>
      </c>
      <c r="B191" s="2002" t="str">
        <f>T!B51</f>
        <v>Blind Channels - total length and branching (BlindChT)</v>
      </c>
      <c r="C191" s="1110" t="str">
        <f>T!C51</f>
        <v>Within the intertidal part of the AA, the approximate density of tidal channels that remain wetted during low tide on most days of the year (i.e., MLLW) is:</v>
      </c>
      <c r="D191" s="1062"/>
      <c r="E191" s="1053"/>
      <c r="F191" s="192"/>
      <c r="G191" s="857">
        <f>MAX(F192:F196)/MAX(E192:E196)</f>
        <v>0</v>
      </c>
      <c r="H191" s="2041" t="s">
        <v>880</v>
      </c>
    </row>
    <row r="192" spans="1:8" ht="16.2" customHeight="1" x14ac:dyDescent="0.3">
      <c r="A192" s="1923"/>
      <c r="B192" s="2000"/>
      <c r="C192" s="1132" t="str">
        <f>T!C52</f>
        <v>&lt;100 linear ft per acre, or none, or all have been artificially straightened.</v>
      </c>
      <c r="D192" s="47">
        <f>T!D52</f>
        <v>0</v>
      </c>
      <c r="E192" s="1045">
        <v>1</v>
      </c>
      <c r="F192" s="45">
        <f>D192*E192</f>
        <v>0</v>
      </c>
      <c r="G192" s="956"/>
      <c r="H192" s="2042"/>
    </row>
    <row r="193" spans="1:8" ht="16.2" customHeight="1" x14ac:dyDescent="0.3">
      <c r="A193" s="1923"/>
      <c r="B193" s="2000"/>
      <c r="C193" s="1133" t="str">
        <f>T!C53</f>
        <v>100-1000 linear ft per acre, and most tidal channels are unbranched.</v>
      </c>
      <c r="D193" s="47">
        <f>T!D53</f>
        <v>0</v>
      </c>
      <c r="E193" s="1045">
        <v>2</v>
      </c>
      <c r="F193" s="45">
        <f>D193*E193</f>
        <v>0</v>
      </c>
      <c r="G193" s="957"/>
      <c r="H193" s="2042"/>
    </row>
    <row r="194" spans="1:8" ht="16.2" customHeight="1" x14ac:dyDescent="0.3">
      <c r="A194" s="1923"/>
      <c r="B194" s="2000"/>
      <c r="C194" s="1133" t="str">
        <f>T!C54</f>
        <v>100-1000 linear ft per acre, and most tidal channels are branched.</v>
      </c>
      <c r="D194" s="47">
        <f>T!D54</f>
        <v>0</v>
      </c>
      <c r="E194" s="1045">
        <v>3</v>
      </c>
      <c r="F194" s="45">
        <f>D194*E194</f>
        <v>0</v>
      </c>
      <c r="G194" s="957"/>
      <c r="H194" s="2042"/>
    </row>
    <row r="195" spans="1:8" ht="16.2" customHeight="1" x14ac:dyDescent="0.3">
      <c r="A195" s="1923"/>
      <c r="B195" s="2000"/>
      <c r="C195" s="1133" t="str">
        <f>T!C55</f>
        <v>&gt;1000 linear ft per acre and most tidal channels are unbranched.</v>
      </c>
      <c r="D195" s="47">
        <f>T!D55</f>
        <v>0</v>
      </c>
      <c r="E195" s="1045">
        <v>4</v>
      </c>
      <c r="F195" s="45">
        <f>D195*E195</f>
        <v>0</v>
      </c>
      <c r="G195" s="957"/>
      <c r="H195" s="2042"/>
    </row>
    <row r="196" spans="1:8" ht="16.2" customHeight="1" thickBot="1" x14ac:dyDescent="0.35">
      <c r="A196" s="1924"/>
      <c r="B196" s="2003"/>
      <c r="C196" s="1134" t="str">
        <f>T!C56</f>
        <v>&gt;1000 linear ft per acre and most tidal channels are branched.</v>
      </c>
      <c r="D196" s="242">
        <f>T!D56</f>
        <v>0</v>
      </c>
      <c r="E196" s="1046">
        <v>5</v>
      </c>
      <c r="F196" s="193">
        <f>D196*E196</f>
        <v>0</v>
      </c>
      <c r="G196" s="959"/>
      <c r="H196" s="2043"/>
    </row>
    <row r="197" spans="1:8" ht="21" customHeight="1" thickBot="1" x14ac:dyDescent="0.35">
      <c r="A197" s="1922" t="str">
        <f>T!A57</f>
        <v>T10</v>
      </c>
      <c r="B197" s="2000" t="str">
        <f>T!B57</f>
        <v>Tidal-Nontidal Hydro- connectivity (TnonT)</v>
      </c>
      <c r="C197" s="1130" t="str">
        <f>T!C57</f>
        <v>This tidal wetland is : Select first one that applies.</v>
      </c>
      <c r="D197" s="1062"/>
      <c r="E197" s="1047"/>
      <c r="F197" s="46"/>
      <c r="G197" s="857">
        <f>MAX(F198:F203)/MAX(E198:E203)</f>
        <v>0</v>
      </c>
      <c r="H197" s="2044" t="s">
        <v>700</v>
      </c>
    </row>
    <row r="198" spans="1:8" ht="39.75" customHeight="1" x14ac:dyDescent="0.3">
      <c r="A198" s="1923"/>
      <c r="B198" s="2000"/>
      <c r="C198" s="1132" t="str">
        <f>T!C58</f>
        <v xml:space="preserve">Adjacent to a nontidal palustrine wetland that contains surface water at least seasonally. Anadromous fish can access both wetlands during spring. Mostly not separated by a dike or other barrier.  </v>
      </c>
      <c r="D198" s="47">
        <f>T!D58</f>
        <v>0</v>
      </c>
      <c r="E198" s="1045">
        <v>5</v>
      </c>
      <c r="F198" s="45">
        <f t="shared" ref="F198:F203" si="10">D198*E198</f>
        <v>0</v>
      </c>
      <c r="G198" s="956"/>
      <c r="H198" s="2042"/>
    </row>
    <row r="199" spans="1:8" ht="38.25" customHeight="1" x14ac:dyDescent="0.3">
      <c r="A199" s="1923"/>
      <c r="B199" s="2000"/>
      <c r="C199" s="1133" t="str">
        <f>T!C59</f>
        <v>Adjacent to a nontidal palustrine wetland that contains surface water at least seasonally. Anadromous fish can access both wetlands during spring.  Mostly separated by a dike, road, or other partial barrier.</v>
      </c>
      <c r="D199" s="47">
        <f>T!D59</f>
        <v>0</v>
      </c>
      <c r="E199" s="1045">
        <v>5</v>
      </c>
      <c r="F199" s="45">
        <f t="shared" si="10"/>
        <v>0</v>
      </c>
      <c r="G199" s="957"/>
      <c r="H199" s="2042"/>
    </row>
    <row r="200" spans="1:8" ht="27" customHeight="1" x14ac:dyDescent="0.3">
      <c r="A200" s="1923"/>
      <c r="B200" s="2000"/>
      <c r="C200" s="1133" t="str">
        <f>T!C60</f>
        <v xml:space="preserve">Adjacent to a nontidal palustrine wetland that contains surface water at least seasonally. Anadromous fish cannot access both wetlands during spring.  </v>
      </c>
      <c r="D200" s="47">
        <f>T!D60</f>
        <v>0</v>
      </c>
      <c r="E200" s="1045">
        <v>4</v>
      </c>
      <c r="F200" s="45">
        <f t="shared" si="10"/>
        <v>0</v>
      </c>
      <c r="G200" s="957"/>
      <c r="H200" s="2042"/>
    </row>
    <row r="201" spans="1:8" ht="30" customHeight="1" x14ac:dyDescent="0.3">
      <c r="A201" s="1923"/>
      <c r="B201" s="2000"/>
      <c r="C201" s="1133" t="str">
        <f>T!C61</f>
        <v>Not adjacent to a nontidal palustrine wetland that contains surface water.  Has a freshwater tributary that allows fish passage during the springtime to a nontidal wetland &lt; 1 mile upstream.</v>
      </c>
      <c r="D201" s="47">
        <f>T!D61</f>
        <v>0</v>
      </c>
      <c r="E201" s="1045">
        <v>3</v>
      </c>
      <c r="F201" s="45">
        <f t="shared" si="10"/>
        <v>0</v>
      </c>
      <c r="G201" s="957"/>
      <c r="H201" s="2042"/>
    </row>
    <row r="202" spans="1:8" ht="27" customHeight="1" x14ac:dyDescent="0.3">
      <c r="A202" s="1923"/>
      <c r="B202" s="2000"/>
      <c r="C202" s="1133" t="str">
        <f>T!C62</f>
        <v>Not adjacent to a nontidal palustrine wetland that contains surface water.  Has a freshwater tributary that allows fish passage during the springtime to a nontidal wetland &gt; 1 mile upstream.</v>
      </c>
      <c r="D202" s="47">
        <f>T!D62</f>
        <v>0</v>
      </c>
      <c r="E202" s="1045">
        <v>2</v>
      </c>
      <c r="F202" s="45">
        <f t="shared" si="10"/>
        <v>0</v>
      </c>
      <c r="G202" s="957"/>
      <c r="H202" s="2042"/>
    </row>
    <row r="203" spans="1:8" ht="42" customHeight="1" thickBot="1" x14ac:dyDescent="0.35">
      <c r="A203" s="1924"/>
      <c r="B203" s="2000"/>
      <c r="C203" s="1131" t="str">
        <f>T!C63</f>
        <v>Not adjacent to a nontidal palustrine wetland that contains surface water.  Lacks a freshwater tributary that provides fish access to an upstream wetland  that contains surface water at least seasonally.</v>
      </c>
      <c r="D203" s="80">
        <f>T!D63</f>
        <v>0</v>
      </c>
      <c r="E203" s="1048">
        <v>1</v>
      </c>
      <c r="F203" s="54">
        <f t="shared" si="10"/>
        <v>0</v>
      </c>
      <c r="G203" s="959"/>
      <c r="H203" s="2045"/>
    </row>
    <row r="204" spans="1:8" ht="44.25" customHeight="1" thickBot="1" x14ac:dyDescent="0.35">
      <c r="A204" s="1922" t="str">
        <f>T!A73</f>
        <v>T13</v>
      </c>
      <c r="B204" s="2002" t="str">
        <f>T!B73</f>
        <v>Shorebird Feeding Area (ShorebdT)</v>
      </c>
      <c r="C204" s="1110" t="str">
        <f>T!C73</f>
        <v>The extent of mudflats or shortgrass meadows within the AA that meet the definition of shorebird habitat (column E) for at least 3 months during the period of late summer through the following May is:</v>
      </c>
      <c r="D204" s="1062"/>
      <c r="E204" s="1053"/>
      <c r="F204" s="192"/>
      <c r="G204" s="857">
        <f>MAX(F205:F208)/MAX(E205:E208)</f>
        <v>0</v>
      </c>
      <c r="H204" s="2041" t="s">
        <v>701</v>
      </c>
    </row>
    <row r="205" spans="1:8" ht="16.2" customHeight="1" x14ac:dyDescent="0.3">
      <c r="A205" s="1923"/>
      <c r="B205" s="2000"/>
      <c r="C205" s="1132" t="str">
        <f>T!C74</f>
        <v>None, or &lt;100 sq. ft.</v>
      </c>
      <c r="D205" s="47">
        <f>T!D74</f>
        <v>0</v>
      </c>
      <c r="E205" s="1045">
        <v>0</v>
      </c>
      <c r="F205" s="45">
        <f>D205*E205</f>
        <v>0</v>
      </c>
      <c r="G205" s="956"/>
      <c r="H205" s="2042"/>
    </row>
    <row r="206" spans="1:8" ht="16.2" customHeight="1" x14ac:dyDescent="0.3">
      <c r="A206" s="1923"/>
      <c r="B206" s="2000"/>
      <c r="C206" s="1133" t="str">
        <f>T!C75</f>
        <v>100 to &lt;1000 sq. ft.  within AA.</v>
      </c>
      <c r="D206" s="47">
        <f>T!D75</f>
        <v>0</v>
      </c>
      <c r="E206" s="1045">
        <v>1</v>
      </c>
      <c r="F206" s="45">
        <f>D206*E206</f>
        <v>0</v>
      </c>
      <c r="G206" s="957"/>
      <c r="H206" s="2042"/>
    </row>
    <row r="207" spans="1:8" ht="16.2" customHeight="1" x14ac:dyDescent="0.3">
      <c r="A207" s="1923"/>
      <c r="B207" s="2000"/>
      <c r="C207" s="1133" t="str">
        <f>T!C76</f>
        <v>1000 to 10,000 sq. ft. within AA.</v>
      </c>
      <c r="D207" s="47">
        <f>T!D76</f>
        <v>0</v>
      </c>
      <c r="E207" s="1045">
        <v>2</v>
      </c>
      <c r="F207" s="45">
        <f>D207*E207</f>
        <v>0</v>
      </c>
      <c r="G207" s="957"/>
      <c r="H207" s="2042"/>
    </row>
    <row r="208" spans="1:8" ht="16.2" customHeight="1" thickBot="1" x14ac:dyDescent="0.35">
      <c r="A208" s="1924"/>
      <c r="B208" s="2003"/>
      <c r="C208" s="1134" t="str">
        <f>T!C77</f>
        <v>&gt;10,000 sq. ft within AA.</v>
      </c>
      <c r="D208" s="80">
        <f>T!D77</f>
        <v>0</v>
      </c>
      <c r="E208" s="1046">
        <v>3</v>
      </c>
      <c r="F208" s="193">
        <f>D208*E208</f>
        <v>0</v>
      </c>
      <c r="G208" s="959"/>
      <c r="H208" s="2043"/>
    </row>
    <row r="209" spans="1:8" ht="30" customHeight="1" thickBot="1" x14ac:dyDescent="0.35">
      <c r="A209" s="1922" t="str">
        <f>T!A96</f>
        <v>T17</v>
      </c>
      <c r="B209" s="2000" t="str">
        <f>T!B96</f>
        <v>Vegetation Forms Significantly Present (VegformsT)</v>
      </c>
      <c r="C209" s="1137" t="str">
        <f>T!C96</f>
        <v>The living vegetation forms that comprise &gt;5% of the AA's vegetative cover in late summer is: Select all that appy.</v>
      </c>
      <c r="D209" s="1053"/>
      <c r="E209" s="1047"/>
      <c r="F209" s="46"/>
      <c r="G209" s="857">
        <f>(SUM(D210:D214)/5 + MAX(F210:F214)/MAX(E210:E214))/2</f>
        <v>0</v>
      </c>
      <c r="H209" s="2044" t="s">
        <v>702</v>
      </c>
    </row>
    <row r="210" spans="1:8" ht="16.2" customHeight="1" x14ac:dyDescent="0.3">
      <c r="A210" s="1923"/>
      <c r="B210" s="2000"/>
      <c r="C210" s="1132" t="str">
        <f>T!C97</f>
        <v>Macroalgae (seaweed).</v>
      </c>
      <c r="D210" s="47">
        <f>T!D97</f>
        <v>0</v>
      </c>
      <c r="E210" s="1045">
        <v>1</v>
      </c>
      <c r="F210" s="45">
        <f>D210*E210</f>
        <v>0</v>
      </c>
      <c r="G210" s="956"/>
      <c r="H210" s="2042"/>
    </row>
    <row r="211" spans="1:8" ht="16.2" customHeight="1" x14ac:dyDescent="0.3">
      <c r="A211" s="1923"/>
      <c r="B211" s="2000"/>
      <c r="C211" s="1133" t="str">
        <f>T!C98</f>
        <v>Eelgrass.</v>
      </c>
      <c r="D211" s="47">
        <f>T!D98</f>
        <v>0</v>
      </c>
      <c r="E211" s="1045">
        <v>3</v>
      </c>
      <c r="F211" s="45">
        <f>D211*E211</f>
        <v>0</v>
      </c>
      <c r="G211" s="957"/>
      <c r="H211" s="2042"/>
    </row>
    <row r="212" spans="1:8" ht="16.2" customHeight="1" x14ac:dyDescent="0.3">
      <c r="A212" s="1923"/>
      <c r="B212" s="2000"/>
      <c r="C212" s="1133" t="str">
        <f>T!C99</f>
        <v>Graminoids (other than eelgrass).</v>
      </c>
      <c r="D212" s="47">
        <f>T!D99</f>
        <v>0</v>
      </c>
      <c r="E212" s="1045">
        <v>2</v>
      </c>
      <c r="F212" s="45">
        <f>D212*E212</f>
        <v>0</v>
      </c>
      <c r="G212" s="957"/>
      <c r="H212" s="2042"/>
    </row>
    <row r="213" spans="1:8" ht="16.2" customHeight="1" x14ac:dyDescent="0.3">
      <c r="A213" s="1923"/>
      <c r="B213" s="2000"/>
      <c r="C213" s="1133" t="str">
        <f>T!C100</f>
        <v>Forbs.</v>
      </c>
      <c r="D213" s="47">
        <f>T!D100</f>
        <v>0</v>
      </c>
      <c r="E213" s="1045">
        <v>2</v>
      </c>
      <c r="F213" s="45">
        <f>D213*E213</f>
        <v>0</v>
      </c>
      <c r="G213" s="957"/>
      <c r="H213" s="2042"/>
    </row>
    <row r="214" spans="1:8" ht="16.2" customHeight="1" thickBot="1" x14ac:dyDescent="0.35">
      <c r="A214" s="1923"/>
      <c r="B214" s="2000"/>
      <c r="C214" s="1131" t="str">
        <f>T!C101</f>
        <v>Shrubs and/or trees.</v>
      </c>
      <c r="D214" s="80">
        <f>T!D101</f>
        <v>0</v>
      </c>
      <c r="E214" s="1048">
        <v>0</v>
      </c>
      <c r="F214" s="54">
        <f>D214*E214</f>
        <v>0</v>
      </c>
      <c r="G214" s="959"/>
      <c r="H214" s="2045"/>
    </row>
    <row r="215" spans="1:8" ht="21" customHeight="1" thickBot="1" x14ac:dyDescent="0.35">
      <c r="A215" s="1922" t="str">
        <f>T!A118</f>
        <v>T21</v>
      </c>
      <c r="B215" s="1599" t="str">
        <f>T!B118</f>
        <v>Emergent Plants -- Area (EmAreaT)</v>
      </c>
      <c r="C215" s="75" t="str">
        <f>T!C118</f>
        <v>For the wetland as a whole, emergent plants cumulatively occupy an annual maximum of:</v>
      </c>
      <c r="D215" s="1062"/>
      <c r="E215" s="1053"/>
      <c r="F215" s="192"/>
      <c r="G215" s="857">
        <f>MAX(F216:F225)/MAX(E216:E225)</f>
        <v>0</v>
      </c>
      <c r="H215" s="1522" t="s">
        <v>703</v>
      </c>
    </row>
    <row r="216" spans="1:8" ht="16.2" customHeight="1" x14ac:dyDescent="0.3">
      <c r="A216" s="1923"/>
      <c r="B216" s="1582"/>
      <c r="C216" s="215" t="str">
        <f>T!C119</f>
        <v>&lt;0.01 acre (&lt; 400 sq.ft) or none.</v>
      </c>
      <c r="D216" s="47">
        <f>T!D119</f>
        <v>0</v>
      </c>
      <c r="E216" s="49">
        <v>0</v>
      </c>
      <c r="F216" s="45">
        <f t="shared" ref="F216:F225" si="11">D216*E216</f>
        <v>0</v>
      </c>
      <c r="G216" s="956"/>
      <c r="H216" s="1521"/>
    </row>
    <row r="217" spans="1:8" ht="16.2" customHeight="1" x14ac:dyDescent="0.3">
      <c r="A217" s="1923"/>
      <c r="B217" s="1582"/>
      <c r="C217" s="215" t="str">
        <f>T!C120</f>
        <v>0.01 to &lt;0.10 acres (3,920 sq. ft).</v>
      </c>
      <c r="D217" s="47">
        <f>T!D120</f>
        <v>0</v>
      </c>
      <c r="E217" s="49">
        <v>1</v>
      </c>
      <c r="F217" s="45">
        <f t="shared" si="11"/>
        <v>0</v>
      </c>
      <c r="G217" s="957"/>
      <c r="H217" s="1521"/>
    </row>
    <row r="218" spans="1:8" ht="16.2" customHeight="1" x14ac:dyDescent="0.3">
      <c r="A218" s="1923"/>
      <c r="B218" s="1582"/>
      <c r="C218" s="215" t="str">
        <f>T!C121</f>
        <v>0.10 to &lt;0.50 acres (21,340 sq. ft).</v>
      </c>
      <c r="D218" s="47">
        <f>T!D121</f>
        <v>0</v>
      </c>
      <c r="E218" s="49">
        <v>2</v>
      </c>
      <c r="F218" s="45">
        <f t="shared" si="11"/>
        <v>0</v>
      </c>
      <c r="G218" s="957"/>
      <c r="H218" s="1521"/>
    </row>
    <row r="219" spans="1:8" ht="16.2" customHeight="1" x14ac:dyDescent="0.3">
      <c r="A219" s="1923"/>
      <c r="B219" s="1582"/>
      <c r="C219" s="215" t="str">
        <f>T!C122</f>
        <v>0.50 to &lt;1 acres.</v>
      </c>
      <c r="D219" s="47">
        <f>T!D122</f>
        <v>0</v>
      </c>
      <c r="E219" s="49">
        <v>3</v>
      </c>
      <c r="F219" s="45">
        <f t="shared" si="11"/>
        <v>0</v>
      </c>
      <c r="G219" s="957"/>
      <c r="H219" s="1521"/>
    </row>
    <row r="220" spans="1:8" ht="16.2" customHeight="1" x14ac:dyDescent="0.3">
      <c r="A220" s="1923"/>
      <c r="B220" s="1582"/>
      <c r="C220" s="215" t="str">
        <f>T!C123</f>
        <v>1 to &lt;5 acres.</v>
      </c>
      <c r="D220" s="47">
        <f>T!D123</f>
        <v>0</v>
      </c>
      <c r="E220" s="49">
        <v>5</v>
      </c>
      <c r="F220" s="45">
        <f t="shared" si="11"/>
        <v>0</v>
      </c>
      <c r="G220" s="957"/>
      <c r="H220" s="1521"/>
    </row>
    <row r="221" spans="1:8" ht="16.2" customHeight="1" x14ac:dyDescent="0.3">
      <c r="A221" s="1923"/>
      <c r="B221" s="1582"/>
      <c r="C221" s="215" t="str">
        <f>T!C124</f>
        <v>5 to &lt;50 acres.</v>
      </c>
      <c r="D221" s="47">
        <f>T!D124</f>
        <v>0</v>
      </c>
      <c r="E221" s="49">
        <v>7</v>
      </c>
      <c r="F221" s="45">
        <f t="shared" si="11"/>
        <v>0</v>
      </c>
      <c r="G221" s="957"/>
      <c r="H221" s="1521"/>
    </row>
    <row r="222" spans="1:8" ht="16.2" customHeight="1" x14ac:dyDescent="0.3">
      <c r="A222" s="1923"/>
      <c r="B222" s="1582"/>
      <c r="C222" s="215" t="str">
        <f>T!C125</f>
        <v>50 to &lt;640 acres (1 sq. mi).</v>
      </c>
      <c r="D222" s="47">
        <f>T!D125</f>
        <v>0</v>
      </c>
      <c r="E222" s="49">
        <v>9</v>
      </c>
      <c r="F222" s="45">
        <f t="shared" si="11"/>
        <v>0</v>
      </c>
      <c r="G222" s="957"/>
      <c r="H222" s="1521"/>
    </row>
    <row r="223" spans="1:8" ht="16.2" customHeight="1" x14ac:dyDescent="0.3">
      <c r="A223" s="1923"/>
      <c r="B223" s="1582"/>
      <c r="C223" s="1132" t="str">
        <f>T!C126</f>
        <v>640 to &lt;1000 acres .</v>
      </c>
      <c r="D223" s="47">
        <f>T!D126</f>
        <v>0</v>
      </c>
      <c r="E223" s="49">
        <v>10</v>
      </c>
      <c r="F223" s="45">
        <f t="shared" si="11"/>
        <v>0</v>
      </c>
      <c r="G223" s="957"/>
      <c r="H223" s="1521"/>
    </row>
    <row r="224" spans="1:8" ht="16.2" customHeight="1" x14ac:dyDescent="0.3">
      <c r="A224" s="1923"/>
      <c r="B224" s="1582"/>
      <c r="C224" s="215" t="str">
        <f>T!C127</f>
        <v>1000 to 2500 acres.</v>
      </c>
      <c r="D224" s="47">
        <f>T!D127</f>
        <v>0</v>
      </c>
      <c r="E224" s="49">
        <v>11</v>
      </c>
      <c r="F224" s="45">
        <f t="shared" si="11"/>
        <v>0</v>
      </c>
      <c r="G224" s="957"/>
      <c r="H224" s="1521"/>
    </row>
    <row r="225" spans="1:8" ht="16.2" customHeight="1" thickBot="1" x14ac:dyDescent="0.35">
      <c r="A225" s="1924"/>
      <c r="B225" s="1600"/>
      <c r="C225" s="465" t="str">
        <f>T!C128</f>
        <v>&gt;2500 acres (&gt;4 sq.mi).</v>
      </c>
      <c r="D225" s="80">
        <f>T!D128</f>
        <v>0</v>
      </c>
      <c r="E225" s="245">
        <v>12</v>
      </c>
      <c r="F225" s="193">
        <f t="shared" si="11"/>
        <v>0</v>
      </c>
      <c r="G225" s="959"/>
      <c r="H225" s="1523"/>
    </row>
    <row r="226" spans="1:8" ht="30" customHeight="1" thickBot="1" x14ac:dyDescent="0.35">
      <c r="A226" s="1923" t="str">
        <f>T!A203</f>
        <v>T37</v>
      </c>
      <c r="B226" s="1582" t="str">
        <f>T!B203</f>
        <v>Flight Hazards (FlightHazT)</v>
      </c>
      <c r="C226" s="4" t="str">
        <f>T!C203</f>
        <v>In the AA or within 300 ft, there is an unsheltered fence, powerline, or public road with traffic at least hourly that is located:</v>
      </c>
      <c r="D226" s="1053"/>
      <c r="E226" s="1047"/>
      <c r="F226" s="46"/>
      <c r="G226" s="857">
        <f>MAX(F227:F229)/MAX(E227:E229)</f>
        <v>0</v>
      </c>
      <c r="H226" s="1521" t="s">
        <v>708</v>
      </c>
    </row>
    <row r="227" spans="1:8" ht="16.2" customHeight="1" x14ac:dyDescent="0.3">
      <c r="A227" s="1923"/>
      <c r="B227" s="1582"/>
      <c r="C227" s="215" t="str">
        <f>T!C204</f>
        <v>Within 15 ft of the AA's low marsh.</v>
      </c>
      <c r="D227" s="47">
        <f>T!D204</f>
        <v>0</v>
      </c>
      <c r="E227" s="1045">
        <v>0</v>
      </c>
      <c r="F227" s="45">
        <f>D227*E227</f>
        <v>0</v>
      </c>
      <c r="G227" s="956"/>
      <c r="H227" s="1521"/>
    </row>
    <row r="228" spans="1:8" ht="16.2" customHeight="1" x14ac:dyDescent="0.3">
      <c r="A228" s="1923"/>
      <c r="B228" s="1582"/>
      <c r="C228" s="216" t="str">
        <f>T!C205</f>
        <v>Within 15 ft  of the AA's high marsh.</v>
      </c>
      <c r="D228" s="47">
        <f>T!D205</f>
        <v>0</v>
      </c>
      <c r="E228" s="1045">
        <v>1</v>
      </c>
      <c r="F228" s="45">
        <f>D228*E228</f>
        <v>0</v>
      </c>
      <c r="G228" s="957"/>
      <c r="H228" s="1521"/>
    </row>
    <row r="229" spans="1:8" ht="16.2" customHeight="1" thickBot="1" x14ac:dyDescent="0.35">
      <c r="A229" s="1924"/>
      <c r="B229" s="1582"/>
      <c r="C229" s="1184" t="str">
        <f>T!C206</f>
        <v>Neither.</v>
      </c>
      <c r="D229" s="242">
        <f>T!D206</f>
        <v>0</v>
      </c>
      <c r="E229" s="1048">
        <v>2</v>
      </c>
      <c r="F229" s="54">
        <f>D229*E229</f>
        <v>0</v>
      </c>
      <c r="G229" s="959"/>
      <c r="H229" s="1521"/>
    </row>
    <row r="230" spans="1:8" ht="60" customHeight="1" thickBot="1" x14ac:dyDescent="0.35">
      <c r="A230" s="1922" t="str">
        <f>T!A212</f>
        <v>T39</v>
      </c>
      <c r="B230" s="1599" t="str">
        <f>T!B212</f>
        <v>Core Area 1 (VisitNoT)</v>
      </c>
      <c r="C230" s="75" t="str">
        <f>T!C212</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230" s="1062"/>
      <c r="E230" s="1053"/>
      <c r="F230" s="192"/>
      <c r="G230" s="857">
        <f>MAX(F231:F236)/MAX(E231:E236)</f>
        <v>0</v>
      </c>
      <c r="H230" s="1522" t="s">
        <v>1543</v>
      </c>
    </row>
    <row r="231" spans="1:8" ht="16.2" customHeight="1" x14ac:dyDescent="0.3">
      <c r="A231" s="1923"/>
      <c r="B231" s="1582"/>
      <c r="C231" s="1185" t="str">
        <f>T!C213</f>
        <v>&lt;5% and no inhabited building is within 300 ft of the AA.</v>
      </c>
      <c r="D231" s="47">
        <f>T!D213</f>
        <v>0</v>
      </c>
      <c r="E231" s="1045">
        <v>1</v>
      </c>
      <c r="F231" s="45">
        <f t="shared" ref="F231:F236" si="12">D231*E231</f>
        <v>0</v>
      </c>
      <c r="G231" s="956"/>
      <c r="H231" s="1521"/>
    </row>
    <row r="232" spans="1:8" ht="16.2" customHeight="1" x14ac:dyDescent="0.3">
      <c r="A232" s="1923"/>
      <c r="B232" s="1582"/>
      <c r="C232" s="1186" t="str">
        <f>T!C214</f>
        <v>&lt;5% and inhabited building is within 300 ft of the AA.</v>
      </c>
      <c r="D232" s="47">
        <f>T!D214</f>
        <v>0</v>
      </c>
      <c r="E232" s="1045">
        <v>0</v>
      </c>
      <c r="F232" s="45">
        <f t="shared" si="12"/>
        <v>0</v>
      </c>
      <c r="G232" s="957"/>
      <c r="H232" s="1521"/>
    </row>
    <row r="233" spans="1:8" ht="16.2" customHeight="1" x14ac:dyDescent="0.3">
      <c r="A233" s="1923"/>
      <c r="B233" s="1582"/>
      <c r="C233" s="1186" t="str">
        <f>T!C215</f>
        <v>5 &lt;50% and no inhabited building is within 300 ft of the AA.</v>
      </c>
      <c r="D233" s="47">
        <f>T!D215</f>
        <v>0</v>
      </c>
      <c r="E233" s="1045">
        <v>3</v>
      </c>
      <c r="F233" s="45">
        <f t="shared" si="12"/>
        <v>0</v>
      </c>
      <c r="G233" s="957"/>
      <c r="H233" s="1521"/>
    </row>
    <row r="234" spans="1:8" ht="16.2" customHeight="1" x14ac:dyDescent="0.3">
      <c r="A234" s="1923"/>
      <c r="B234" s="1582"/>
      <c r="C234" s="1186" t="str">
        <f>T!C216</f>
        <v>5 to &lt;50% and inhabited building is within 300 ft of the AA.</v>
      </c>
      <c r="D234" s="47">
        <f>T!D216</f>
        <v>0</v>
      </c>
      <c r="E234" s="1045">
        <v>2</v>
      </c>
      <c r="F234" s="45">
        <f t="shared" si="12"/>
        <v>0</v>
      </c>
      <c r="G234" s="957"/>
      <c r="H234" s="1521"/>
    </row>
    <row r="235" spans="1:8" ht="16.2" customHeight="1" x14ac:dyDescent="0.3">
      <c r="A235" s="1923"/>
      <c r="B235" s="1582"/>
      <c r="C235" s="216" t="str">
        <f>T!C217</f>
        <v>50 to 95% with or without inhabited building nearby.</v>
      </c>
      <c r="D235" s="47">
        <f>T!D217</f>
        <v>0</v>
      </c>
      <c r="E235" s="1045">
        <v>4</v>
      </c>
      <c r="F235" s="45">
        <f t="shared" si="12"/>
        <v>0</v>
      </c>
      <c r="G235" s="957"/>
      <c r="H235" s="1521"/>
    </row>
    <row r="236" spans="1:8" ht="16.2" customHeight="1" thickBot="1" x14ac:dyDescent="0.35">
      <c r="A236" s="1924"/>
      <c r="B236" s="1600"/>
      <c r="C236" s="254" t="str">
        <f>T!C218</f>
        <v>&gt;95% of the AA with or without inhabited building nearby.</v>
      </c>
      <c r="D236" s="242">
        <f>T!D218</f>
        <v>0</v>
      </c>
      <c r="E236" s="1046">
        <v>5</v>
      </c>
      <c r="F236" s="193">
        <f t="shared" si="12"/>
        <v>0</v>
      </c>
      <c r="G236" s="959"/>
      <c r="H236" s="1521"/>
    </row>
    <row r="237" spans="1:8" ht="32.4" customHeight="1" thickBot="1" x14ac:dyDescent="0.35">
      <c r="A237" s="1922" t="str">
        <f>T!A219</f>
        <v>T40</v>
      </c>
      <c r="B237" s="1582" t="str">
        <f>T!B219</f>
        <v>Core Area 2 (VisitOftenT)</v>
      </c>
      <c r="C237" s="4" t="str">
        <f>T!C219</f>
        <v>The part of the AA visited by humans almost daily for several weeks during an average growing season probably comprises:  [The Note in the preceding question applies here as well].</v>
      </c>
      <c r="D237" s="1047"/>
      <c r="E237" s="1047"/>
      <c r="F237" s="46"/>
      <c r="G237" s="857">
        <f>MAX(F238:F241)/MAX(E238:E241)</f>
        <v>0</v>
      </c>
      <c r="H237" s="1522" t="s">
        <v>124</v>
      </c>
    </row>
    <row r="238" spans="1:8" ht="16.2" customHeight="1" x14ac:dyDescent="0.3">
      <c r="A238" s="1923"/>
      <c r="B238" s="1582"/>
      <c r="C238" s="215" t="str">
        <f>T!C220</f>
        <v>&lt;5%.</v>
      </c>
      <c r="D238" s="47">
        <f>T!D220</f>
        <v>0</v>
      </c>
      <c r="E238" s="1045">
        <v>3</v>
      </c>
      <c r="F238" s="45">
        <f>D238*E238</f>
        <v>0</v>
      </c>
      <c r="G238" s="956"/>
      <c r="H238" s="1521"/>
    </row>
    <row r="239" spans="1:8" ht="16.2" customHeight="1" x14ac:dyDescent="0.3">
      <c r="A239" s="1923"/>
      <c r="B239" s="1582"/>
      <c r="C239" s="1186" t="str">
        <f>T!C221</f>
        <v>5 to &lt;50%.</v>
      </c>
      <c r="D239" s="47">
        <f>T!D221</f>
        <v>0</v>
      </c>
      <c r="E239" s="1045">
        <v>2</v>
      </c>
      <c r="F239" s="45">
        <f>D239*E239</f>
        <v>0</v>
      </c>
      <c r="G239" s="957"/>
      <c r="H239" s="1521"/>
    </row>
    <row r="240" spans="1:8" ht="16.2" customHeight="1" x14ac:dyDescent="0.3">
      <c r="A240" s="1923"/>
      <c r="B240" s="1582"/>
      <c r="C240" s="216" t="str">
        <f>T!C222</f>
        <v>50 to 95%.</v>
      </c>
      <c r="D240" s="47">
        <f>T!D222</f>
        <v>0</v>
      </c>
      <c r="E240" s="1045">
        <v>1</v>
      </c>
      <c r="F240" s="45">
        <f>D240*E240</f>
        <v>0</v>
      </c>
      <c r="G240" s="957"/>
      <c r="H240" s="1521"/>
    </row>
    <row r="241" spans="1:9" ht="16.2" customHeight="1" thickBot="1" x14ac:dyDescent="0.35">
      <c r="A241" s="1924"/>
      <c r="B241" s="1582"/>
      <c r="C241" s="95" t="str">
        <f>T!C223</f>
        <v>&gt;95% of the AA.</v>
      </c>
      <c r="D241" s="242">
        <f>T!D223</f>
        <v>0</v>
      </c>
      <c r="E241" s="1048">
        <v>0</v>
      </c>
      <c r="F241" s="54">
        <f>D241*E241</f>
        <v>0</v>
      </c>
      <c r="G241" s="959"/>
      <c r="H241" s="1523"/>
    </row>
    <row r="242" spans="1:9" s="372" customFormat="1" ht="36" customHeight="1" thickBot="1" x14ac:dyDescent="0.3">
      <c r="A242" s="1003" t="s">
        <v>126</v>
      </c>
      <c r="B242" s="1187" t="s">
        <v>1463</v>
      </c>
      <c r="C242" s="1188" t="s">
        <v>1271</v>
      </c>
      <c r="D242" s="1189" t="s">
        <v>115</v>
      </c>
      <c r="E242" s="1190" t="s">
        <v>771</v>
      </c>
      <c r="F242" s="1187" t="s">
        <v>1272</v>
      </c>
      <c r="G242" s="1191" t="s">
        <v>770</v>
      </c>
      <c r="H242" s="1192" t="s">
        <v>772</v>
      </c>
    </row>
    <row r="243" spans="1:9" ht="44.25" customHeight="1" thickBot="1" x14ac:dyDescent="0.35">
      <c r="A243" s="1978" t="str">
        <f>OF!A48</f>
        <v>OF8</v>
      </c>
      <c r="B243" s="1599" t="str">
        <f>OF!B48</f>
        <v>Wetland Type Local Uniqueness (UniqPatch)</v>
      </c>
      <c r="C243" s="75" t="str">
        <f>OF!C48</f>
        <v xml:space="preserve"> Select EACH of the vegetation types below that comprise more than 10% of the AA AND less than
 10% of a 0.5 mile radius around the AA. (See Column E).</v>
      </c>
      <c r="D243" s="549"/>
      <c r="E243" s="1007"/>
      <c r="F243" s="955"/>
      <c r="G243" s="810">
        <f>D244</f>
        <v>0</v>
      </c>
      <c r="H243" s="1547" t="s">
        <v>760</v>
      </c>
      <c r="I243" s="3"/>
    </row>
    <row r="244" spans="1:9" ht="30.75" customHeight="1" thickBot="1" x14ac:dyDescent="0.35">
      <c r="A244" s="1979"/>
      <c r="B244" s="1582"/>
      <c r="C244" s="2" t="str">
        <f>OF!C49</f>
        <v>Herbaceous vegetation (perennial grasses, sedges, forbs; not under a woody canopy; not crops).</v>
      </c>
      <c r="D244" s="242">
        <f>OF!D49</f>
        <v>0</v>
      </c>
      <c r="E244" s="1010"/>
      <c r="F244" s="1140"/>
      <c r="G244" s="994"/>
      <c r="H244" s="1818"/>
    </row>
    <row r="245" spans="1:9" ht="45" customHeight="1" thickBot="1" x14ac:dyDescent="0.35">
      <c r="A245" s="974" t="str">
        <f>OF!A98</f>
        <v>OF16</v>
      </c>
      <c r="B245" s="4" t="str">
        <f>OF!B98</f>
        <v>Conservation Designations of the AA or Local Area (ConDesig)</v>
      </c>
      <c r="C245" s="226" t="str">
        <f>OF!C101</f>
        <v>The AA is within an Important Bird Area (IBA), as officially designated, according to the map layer of that name.</v>
      </c>
      <c r="D245" s="1018">
        <f>OF!D101</f>
        <v>0</v>
      </c>
      <c r="E245" s="1011"/>
      <c r="F245" s="1154"/>
      <c r="G245" s="810">
        <f>D245</f>
        <v>0</v>
      </c>
      <c r="H245" s="4" t="s">
        <v>250</v>
      </c>
    </row>
    <row r="246" spans="1:9" ht="30" customHeight="1" thickBot="1" x14ac:dyDescent="0.35">
      <c r="A246" s="1979" t="str">
        <f>OF!A113</f>
        <v>OF19</v>
      </c>
      <c r="B246" s="1582" t="str">
        <f>OF!B113</f>
        <v>Feeding (Non-breeding) Waterbird Species of Conservation Concern (RareWBF)</v>
      </c>
      <c r="C246" s="244" t="str">
        <f>OF!C113</f>
        <v xml:space="preserve">According to the ORWAP Report, the score for occurrences of rare non-breeding (feeding) waterbird species in the vicinity of this AA is: </v>
      </c>
      <c r="D246" s="549"/>
      <c r="E246" s="1009"/>
      <c r="F246" s="963"/>
      <c r="G246" s="811">
        <f>MAX(F247:F249)/MAX(E247:E249)</f>
        <v>0</v>
      </c>
      <c r="H246" s="1521" t="s">
        <v>249</v>
      </c>
      <c r="I246" s="3"/>
    </row>
    <row r="247" spans="1:9" ht="27" customHeight="1" x14ac:dyDescent="0.3">
      <c r="A247" s="1979"/>
      <c r="B247" s="1582"/>
      <c r="C247" s="2" t="str">
        <f>OF!C114</f>
        <v>High (≥ 0.33 for maximum score, or there is a recent onsite observation of any of these species by a qualified observer under conditions similar to what now occur.</v>
      </c>
      <c r="D247" s="47">
        <f>OF!D114</f>
        <v>0</v>
      </c>
      <c r="E247" s="952">
        <v>3</v>
      </c>
      <c r="F247" s="45">
        <f>D247*E247</f>
        <v>0</v>
      </c>
      <c r="G247" s="956"/>
      <c r="H247" s="1521"/>
    </row>
    <row r="248" spans="1:9" ht="16.2" customHeight="1" x14ac:dyDescent="0.3">
      <c r="A248" s="1979"/>
      <c r="B248" s="1582"/>
      <c r="C248" s="95" t="str">
        <f>OF!C115</f>
        <v>Low (&lt; 0.33 for maximum score and for sum score, but not 0 for both).</v>
      </c>
      <c r="D248" s="47">
        <f>OF!D115</f>
        <v>0</v>
      </c>
      <c r="E248" s="952">
        <v>2</v>
      </c>
      <c r="F248" s="45">
        <f>D248*E248</f>
        <v>0</v>
      </c>
      <c r="G248" s="957"/>
      <c r="H248" s="1521"/>
    </row>
    <row r="249" spans="1:9" ht="27" customHeight="1" thickBot="1" x14ac:dyDescent="0.35">
      <c r="A249" s="1980"/>
      <c r="B249" s="1600"/>
      <c r="C249" s="254" t="str">
        <f>OF!C116</f>
        <v>Zero for both this group's maximum and its sum score, and no recent onsite observation of these species by a qualified observer under conditions similar to what now occur.</v>
      </c>
      <c r="D249" s="242">
        <f>OF!D116</f>
        <v>0</v>
      </c>
      <c r="E249" s="1008">
        <v>0</v>
      </c>
      <c r="F249" s="193">
        <f>D249*E249</f>
        <v>0</v>
      </c>
      <c r="G249" s="958"/>
      <c r="H249" s="1523"/>
    </row>
    <row r="250" spans="1:9" ht="42" customHeight="1" thickBot="1" x14ac:dyDescent="0.35">
      <c r="A250" s="1797" t="str">
        <f>OF!A220</f>
        <v>OF42</v>
      </c>
      <c r="B250" s="1896" t="str">
        <f>OF!B220</f>
        <v>Zoning (Zoning)</v>
      </c>
      <c r="C250" s="244" t="str">
        <f>OF!C220</f>
        <v>According to ORWAP Map Viewer's Oregon Zoning layer, the dominant zoned land use designation for currently undeveloped parcels upslope from the AA and within 300 ft. of its upland edge is:</v>
      </c>
      <c r="D250" s="549"/>
      <c r="E250" s="1031"/>
      <c r="F250" s="877"/>
      <c r="G250" s="811">
        <f>IF((D254=1),"",MAX(F251:F253)/MAX(E251:E253))</f>
        <v>0</v>
      </c>
      <c r="H250" s="1521" t="s">
        <v>761</v>
      </c>
    </row>
    <row r="251" spans="1:9" ht="27" customHeight="1" x14ac:dyDescent="0.3">
      <c r="A251" s="1797"/>
      <c r="B251" s="1623"/>
      <c r="C251" s="215" t="str">
        <f>OF!C221</f>
        <v>Development (Commercial, Industrial, Urban Residential, etc.), or no undeveloped parcels exist upslope from the AA.</v>
      </c>
      <c r="D251" s="47">
        <f>OF!D221</f>
        <v>0</v>
      </c>
      <c r="E251" s="1010">
        <v>2</v>
      </c>
      <c r="F251" s="54">
        <f>D251*E251</f>
        <v>0</v>
      </c>
      <c r="G251" s="959"/>
      <c r="H251" s="1521"/>
    </row>
    <row r="252" spans="1:9" ht="16.2" customHeight="1" x14ac:dyDescent="0.3">
      <c r="A252" s="1797"/>
      <c r="B252" s="1623"/>
      <c r="C252" s="216" t="str">
        <f>OF!C222</f>
        <v>Agriculture or Rural Residential.</v>
      </c>
      <c r="D252" s="47">
        <f>OF!D222</f>
        <v>0</v>
      </c>
      <c r="E252" s="1010">
        <v>1</v>
      </c>
      <c r="F252" s="54">
        <f>D252*E252</f>
        <v>0</v>
      </c>
      <c r="G252" s="959"/>
      <c r="H252" s="1521"/>
    </row>
    <row r="253" spans="1:9" ht="16.2" customHeight="1" x14ac:dyDescent="0.3">
      <c r="A253" s="1797"/>
      <c r="B253" s="1623"/>
      <c r="C253" s="216" t="str">
        <f>OF!C223</f>
        <v>Forest or Open Space, or entirely public lands.</v>
      </c>
      <c r="D253" s="47">
        <f>OF!D223</f>
        <v>0</v>
      </c>
      <c r="E253" s="1010">
        <v>1</v>
      </c>
      <c r="F253" s="54">
        <f>D253*E253</f>
        <v>0</v>
      </c>
      <c r="G253" s="959"/>
      <c r="H253" s="1521"/>
    </row>
    <row r="254" spans="1:9" ht="16.2" customHeight="1" thickBot="1" x14ac:dyDescent="0.35">
      <c r="A254" s="1797"/>
      <c r="B254" s="1897"/>
      <c r="C254" s="95" t="str">
        <f>OF!C224</f>
        <v>Not zoned, or no information.</v>
      </c>
      <c r="D254" s="80">
        <f>OF!D224</f>
        <v>0</v>
      </c>
      <c r="E254" s="1010"/>
      <c r="F254" s="54"/>
      <c r="G254" s="959"/>
      <c r="H254" s="1521"/>
    </row>
    <row r="255" spans="1:9" ht="45" customHeight="1" thickBot="1" x14ac:dyDescent="0.35">
      <c r="A255" s="2009" t="str">
        <f>F!A319</f>
        <v>F66</v>
      </c>
      <c r="B255" s="1599" t="str">
        <f>F!B319</f>
        <v>Visibility (Visibil)</v>
      </c>
      <c r="C255" s="836" t="str">
        <f>F!C319</f>
        <v>The maximum percentage of the wetland that is visible from the best vantage point on public roads, public parking lots, public buildings, or public maintained trails that intersect, adjoin, or are within 300 ft of the AA (select one) is:</v>
      </c>
      <c r="D255" s="549"/>
      <c r="E255" s="1007"/>
      <c r="F255" s="192"/>
      <c r="G255" s="1193">
        <f>MAX(F256:F258)/MAX(E256:E258)</f>
        <v>0</v>
      </c>
      <c r="H255" s="1522" t="s">
        <v>704</v>
      </c>
    </row>
    <row r="256" spans="1:9" ht="16.2" customHeight="1" x14ac:dyDescent="0.3">
      <c r="A256" s="1934"/>
      <c r="B256" s="1582"/>
      <c r="C256" s="449" t="str">
        <f>F!C320</f>
        <v>&lt;25%.</v>
      </c>
      <c r="D256" s="47">
        <f>F!D320</f>
        <v>0</v>
      </c>
      <c r="E256" s="952">
        <v>1</v>
      </c>
      <c r="F256" s="54">
        <f>D256*E256</f>
        <v>0</v>
      </c>
      <c r="G256" s="957"/>
      <c r="H256" s="1521"/>
    </row>
    <row r="257" spans="1:9" ht="16.2" customHeight="1" x14ac:dyDescent="0.3">
      <c r="A257" s="1934"/>
      <c r="B257" s="1582"/>
      <c r="C257" s="450" t="str">
        <f>F!C321</f>
        <v>25 - 50%.</v>
      </c>
      <c r="D257" s="47">
        <f>F!D321</f>
        <v>0</v>
      </c>
      <c r="E257" s="952">
        <v>2</v>
      </c>
      <c r="F257" s="54">
        <f>D257*E257</f>
        <v>0</v>
      </c>
      <c r="G257" s="957"/>
      <c r="H257" s="1521"/>
    </row>
    <row r="258" spans="1:9" ht="16.2" customHeight="1" thickBot="1" x14ac:dyDescent="0.35">
      <c r="A258" s="2010"/>
      <c r="B258" s="1600"/>
      <c r="C258" s="443" t="str">
        <f>F!C322</f>
        <v>&gt;50%.</v>
      </c>
      <c r="D258" s="80">
        <f>F!D322</f>
        <v>0</v>
      </c>
      <c r="E258" s="1008">
        <v>3</v>
      </c>
      <c r="F258" s="193">
        <f>D258*E258</f>
        <v>0</v>
      </c>
      <c r="G258" s="958"/>
      <c r="H258" s="1523"/>
    </row>
    <row r="259" spans="1:9" ht="30" customHeight="1" thickBot="1" x14ac:dyDescent="0.35">
      <c r="A259" s="1934" t="str">
        <f>F!A340</f>
        <v>F70</v>
      </c>
      <c r="B259" s="1582" t="str">
        <f>F!B340</f>
        <v>Consumptive Uses (Provisioning Services)  (Hunt)</v>
      </c>
      <c r="C259" s="727" t="str">
        <f>F!C340</f>
        <v>Recent evidence was found within the AA of the following potentially-sustainable consumptive uses.  
Select All that apply.</v>
      </c>
      <c r="D259" s="549"/>
      <c r="E259" s="1152"/>
      <c r="F259" s="60"/>
      <c r="G259" s="882">
        <f>D260</f>
        <v>0</v>
      </c>
      <c r="H259" s="1521" t="s">
        <v>705</v>
      </c>
    </row>
    <row r="260" spans="1:9" ht="22.2" customHeight="1" thickBot="1" x14ac:dyDescent="0.35">
      <c r="A260" s="2010"/>
      <c r="B260" s="1600"/>
      <c r="C260" s="1194" t="str">
        <f>F!C343</f>
        <v>Waterfowl hunting.</v>
      </c>
      <c r="D260" s="1195">
        <f>F!D343</f>
        <v>0</v>
      </c>
      <c r="E260" s="1124"/>
      <c r="F260" s="193"/>
      <c r="G260" s="1037"/>
      <c r="H260" s="1523"/>
    </row>
    <row r="261" spans="1:9" ht="21" customHeight="1" thickBot="1" x14ac:dyDescent="0.35">
      <c r="A261" s="2"/>
      <c r="B261" s="2"/>
      <c r="C261" s="2"/>
      <c r="D261" s="14"/>
      <c r="E261" s="48"/>
      <c r="F261" s="48"/>
      <c r="G261" s="8"/>
      <c r="H261" s="710"/>
      <c r="I261" s="3"/>
    </row>
    <row r="262" spans="1:9" ht="21" customHeight="1" x14ac:dyDescent="0.3">
      <c r="A262" s="2"/>
      <c r="B262" s="2"/>
      <c r="C262" s="1834" t="s">
        <v>610</v>
      </c>
      <c r="D262" s="2046" t="s">
        <v>132</v>
      </c>
      <c r="E262" s="2047"/>
      <c r="F262" s="2048"/>
      <c r="G262" s="780">
        <f>AVERAGE(DistPond12,DistLake12,DistTidal12,HUCbest12)</f>
        <v>0</v>
      </c>
      <c r="H262" s="263" t="s">
        <v>1233</v>
      </c>
    </row>
    <row r="263" spans="1:9" ht="21" customHeight="1" x14ac:dyDescent="0.3">
      <c r="A263" s="2"/>
      <c r="B263" s="2"/>
      <c r="C263" s="1962"/>
      <c r="D263" s="2038" t="s">
        <v>127</v>
      </c>
      <c r="E263" s="2039"/>
      <c r="F263" s="2040"/>
      <c r="G263" s="1197">
        <f>AVERAGE(DistOpenL12,OpenLpct12, UpTreePctPer12,PerimPctPer12)</f>
        <v>0</v>
      </c>
      <c r="H263" s="264" t="s">
        <v>669</v>
      </c>
    </row>
    <row r="264" spans="1:9" ht="30" customHeight="1" x14ac:dyDescent="0.3">
      <c r="A264" s="2"/>
      <c r="B264" s="2"/>
      <c r="C264" s="1962"/>
      <c r="D264" s="2038" t="s">
        <v>648</v>
      </c>
      <c r="E264" s="2039"/>
      <c r="F264" s="2040"/>
      <c r="G264" s="1197">
        <f>IFERROR(AVERAGE(Lentic12,Gradient12,Hydropd12,AVERAGE(OWareaWet12,PondWpctWet12), MAX(SeasPct12,PermWpct12),DepthDom12,DepthEven12),"")</f>
        <v>0</v>
      </c>
      <c r="H264" s="264" t="s">
        <v>1255</v>
      </c>
    </row>
    <row r="265" spans="1:9" ht="30" customHeight="1" x14ac:dyDescent="0.3">
      <c r="A265" s="2"/>
      <c r="B265" s="2"/>
      <c r="C265" s="1962"/>
      <c r="D265" s="2038" t="s">
        <v>219</v>
      </c>
      <c r="E265" s="2039"/>
      <c r="F265" s="2040"/>
      <c r="G265" s="1197">
        <f>IFERROR(AVERAGE(EmArea12,Shorebd12, AVERAGE(EmPct12,HerbDom12,HerbExpos12, WidthWet12), MAX(Islands12,WaterMixWet12)),"")</f>
        <v>0</v>
      </c>
      <c r="H265" s="264" t="s">
        <v>1533</v>
      </c>
    </row>
    <row r="266" spans="1:9" ht="21" customHeight="1" x14ac:dyDescent="0.3">
      <c r="A266" s="2"/>
      <c r="B266" s="2"/>
      <c r="C266" s="1962"/>
      <c r="D266" s="2038" t="s">
        <v>130</v>
      </c>
      <c r="E266" s="2039"/>
      <c r="F266" s="2040"/>
      <c r="G266" s="1197">
        <f>AVERAGE(Moss12,Algae12,_SAV12,IceDura12,Invas12,FishAcc12)</f>
        <v>0.16666666666666666</v>
      </c>
      <c r="H266" s="264" t="s">
        <v>2152</v>
      </c>
    </row>
    <row r="267" spans="1:9" ht="21" customHeight="1" thickBot="1" x14ac:dyDescent="0.35">
      <c r="A267" s="2"/>
      <c r="B267" s="2"/>
      <c r="C267" s="1962"/>
      <c r="D267" s="2051" t="s">
        <v>1400</v>
      </c>
      <c r="E267" s="2052"/>
      <c r="F267" s="2053"/>
      <c r="G267" s="1198">
        <f>AVERAGE(VisitNo12,VisitOften12,WQin12,ConnecUp12)</f>
        <v>0.33333333333333331</v>
      </c>
      <c r="H267" s="546" t="s">
        <v>2151</v>
      </c>
    </row>
    <row r="268" spans="1:9" ht="30" customHeight="1" thickBot="1" x14ac:dyDescent="0.35">
      <c r="A268" s="3"/>
      <c r="B268" s="3"/>
      <c r="C268" s="2037"/>
      <c r="D268" s="2034" t="s">
        <v>614</v>
      </c>
      <c r="E268" s="2035"/>
      <c r="F268" s="2036"/>
      <c r="G268" s="1199">
        <f>(3*AVERAGE(EmAreaT12,LowMarshT12,WidthLoT12) + 2*AVERAGE(BlindChT12,TnonT12,ShorebdT12, VegformsT12) + AVERAGE(FlightHazT12,VisitNoT12,VisitOftenT12))/6</f>
        <v>0</v>
      </c>
      <c r="H268" s="187" t="s">
        <v>1518</v>
      </c>
    </row>
    <row r="269" spans="1:9" ht="46.95" customHeight="1" thickBot="1" x14ac:dyDescent="0.35">
      <c r="A269" s="2"/>
      <c r="B269" s="2"/>
      <c r="C269" s="1807" t="s">
        <v>402</v>
      </c>
      <c r="D269" s="1808"/>
      <c r="E269" s="1809"/>
      <c r="F269" s="983" t="s">
        <v>6</v>
      </c>
      <c r="G269" s="782">
        <f>10*(IF((Tidal=1),TidalScoreWBF, IF((TooSteep1+TooSteep2&gt;0),0,IF((NeverWater=1), AVERAGE(Hydropd12, HerbExpos12,Wscape12,Lscape12,Stress12), AVERAGE(Hydropd12,(3*AVERAGE(Hydro12,Struc12,Wscape12)+AVERAGE(Stress12,Lscape12,Produc12))/4)))))</f>
        <v>0.20833333333333331</v>
      </c>
      <c r="H269" s="1196" t="s">
        <v>1974</v>
      </c>
      <c r="I269" s="561"/>
    </row>
    <row r="270" spans="1:9" ht="33" customHeight="1" thickBot="1" x14ac:dyDescent="0.35">
      <c r="A270" s="2"/>
      <c r="B270" s="2"/>
      <c r="C270" s="1807" t="s">
        <v>403</v>
      </c>
      <c r="D270" s="1808"/>
      <c r="E270" s="1809"/>
      <c r="F270" s="983" t="s">
        <v>7</v>
      </c>
      <c r="G270" s="1200">
        <f>10*(MAX(RareWBF12v, ConDesigIBA12v, AVERAGE(UniqPatch12v,RareWBF12v,Visibil12v,Zoning12v)))</f>
        <v>0</v>
      </c>
      <c r="H270" s="251" t="s">
        <v>670</v>
      </c>
    </row>
    <row r="271" spans="1:9" ht="21" customHeight="1" thickBot="1" x14ac:dyDescent="0.35"/>
    <row r="272" spans="1:9" ht="21" customHeight="1" thickBot="1" x14ac:dyDescent="0.35">
      <c r="H272" s="1159" t="s">
        <v>859</v>
      </c>
    </row>
    <row r="273" spans="8:13" ht="42" customHeight="1" x14ac:dyDescent="0.3">
      <c r="H273" s="724" t="s">
        <v>1051</v>
      </c>
    </row>
    <row r="274" spans="8:13" ht="42" customHeight="1" x14ac:dyDescent="0.3">
      <c r="H274" s="716" t="s">
        <v>1352</v>
      </c>
    </row>
    <row r="275" spans="8:13" ht="27" customHeight="1" x14ac:dyDescent="0.3">
      <c r="H275" s="725" t="s">
        <v>1052</v>
      </c>
    </row>
    <row r="276" spans="8:13" ht="27" customHeight="1" x14ac:dyDescent="0.3">
      <c r="H276" s="725" t="s">
        <v>1053</v>
      </c>
    </row>
    <row r="277" spans="8:13" ht="27" customHeight="1" x14ac:dyDescent="0.3">
      <c r="H277" s="725" t="s">
        <v>1353</v>
      </c>
    </row>
    <row r="278" spans="8:13" ht="57" customHeight="1" x14ac:dyDescent="0.3">
      <c r="H278" s="716" t="s">
        <v>1354</v>
      </c>
    </row>
    <row r="279" spans="8:13" ht="42" customHeight="1" x14ac:dyDescent="0.3">
      <c r="H279" s="716" t="s">
        <v>1355</v>
      </c>
    </row>
    <row r="280" spans="8:13" ht="27" customHeight="1" x14ac:dyDescent="0.3">
      <c r="H280" s="725" t="s">
        <v>1054</v>
      </c>
    </row>
    <row r="281" spans="8:13" ht="27" customHeight="1" x14ac:dyDescent="0.3">
      <c r="H281" s="725" t="s">
        <v>1356</v>
      </c>
    </row>
    <row r="282" spans="8:13" ht="27" customHeight="1" x14ac:dyDescent="0.3">
      <c r="H282" s="725" t="s">
        <v>1055</v>
      </c>
    </row>
    <row r="283" spans="8:13" ht="42" customHeight="1" x14ac:dyDescent="0.3">
      <c r="H283" s="725" t="s">
        <v>1057</v>
      </c>
      <c r="I283" s="159"/>
      <c r="J283" s="159"/>
      <c r="K283" s="159"/>
      <c r="L283" s="159"/>
      <c r="M283" s="159"/>
    </row>
    <row r="284" spans="8:13" ht="27" customHeight="1" thickBot="1" x14ac:dyDescent="0.35">
      <c r="H284" s="726" t="s">
        <v>1056</v>
      </c>
      <c r="I284" s="159"/>
      <c r="J284" s="159"/>
      <c r="K284" s="159"/>
      <c r="L284" s="159"/>
      <c r="M284" s="159"/>
    </row>
  </sheetData>
  <sheetProtection password="C74A" sheet="1" objects="1" scenarios="1" formatCells="0" formatColumns="0" formatRows="0"/>
  <mergeCells count="143">
    <mergeCell ref="C269:E269"/>
    <mergeCell ref="C270:E270"/>
    <mergeCell ref="E1:H1"/>
    <mergeCell ref="A143:A147"/>
    <mergeCell ref="A149:A155"/>
    <mergeCell ref="A1:B1"/>
    <mergeCell ref="D267:F267"/>
    <mergeCell ref="A61:A64"/>
    <mergeCell ref="A226:A229"/>
    <mergeCell ref="D266:F266"/>
    <mergeCell ref="A3:A6"/>
    <mergeCell ref="A72:A77"/>
    <mergeCell ref="A156:A162"/>
    <mergeCell ref="A18:A24"/>
    <mergeCell ref="A37:A38"/>
    <mergeCell ref="A39:A42"/>
    <mergeCell ref="A50:A54"/>
    <mergeCell ref="B50:B54"/>
    <mergeCell ref="A7:A13"/>
    <mergeCell ref="A14:A17"/>
    <mergeCell ref="A25:A30"/>
    <mergeCell ref="A31:A36"/>
    <mergeCell ref="B37:B38"/>
    <mergeCell ref="B31:B36"/>
    <mergeCell ref="B3:B6"/>
    <mergeCell ref="B7:B13"/>
    <mergeCell ref="B14:B17"/>
    <mergeCell ref="B18:B24"/>
    <mergeCell ref="B25:B30"/>
    <mergeCell ref="B250:B254"/>
    <mergeCell ref="B176:B183"/>
    <mergeCell ref="B184:B190"/>
    <mergeCell ref="B197:B203"/>
    <mergeCell ref="B191:B196"/>
    <mergeCell ref="A250:A254"/>
    <mergeCell ref="B259:B260"/>
    <mergeCell ref="B215:B225"/>
    <mergeCell ref="B226:B229"/>
    <mergeCell ref="B230:B236"/>
    <mergeCell ref="B237:B241"/>
    <mergeCell ref="A259:A260"/>
    <mergeCell ref="B209:B214"/>
    <mergeCell ref="B204:B208"/>
    <mergeCell ref="A255:A258"/>
    <mergeCell ref="A246:A249"/>
    <mergeCell ref="A230:A236"/>
    <mergeCell ref="B243:B244"/>
    <mergeCell ref="B246:B249"/>
    <mergeCell ref="A243:A244"/>
    <mergeCell ref="B255:B258"/>
    <mergeCell ref="H176:H183"/>
    <mergeCell ref="H184:H190"/>
    <mergeCell ref="H134:H139"/>
    <mergeCell ref="H191:H196"/>
    <mergeCell ref="H170:H174"/>
    <mergeCell ref="H197:H203"/>
    <mergeCell ref="H163:H169"/>
    <mergeCell ref="H156:H162"/>
    <mergeCell ref="H149:H155"/>
    <mergeCell ref="H95:H99"/>
    <mergeCell ref="B78:B84"/>
    <mergeCell ref="A78:A84"/>
    <mergeCell ref="B100:B106"/>
    <mergeCell ref="B134:B139"/>
    <mergeCell ref="B143:B147"/>
    <mergeCell ref="H143:H147"/>
    <mergeCell ref="A100:A106"/>
    <mergeCell ref="B129:B133"/>
    <mergeCell ref="H108:H114"/>
    <mergeCell ref="H117:H122"/>
    <mergeCell ref="A117:A122"/>
    <mergeCell ref="B117:B122"/>
    <mergeCell ref="B124:B128"/>
    <mergeCell ref="H100:H106"/>
    <mergeCell ref="H124:H128"/>
    <mergeCell ref="H140:H142"/>
    <mergeCell ref="A129:A133"/>
    <mergeCell ref="H129:H133"/>
    <mergeCell ref="A134:A139"/>
    <mergeCell ref="A140:A142"/>
    <mergeCell ref="H39:H42"/>
    <mergeCell ref="B95:B99"/>
    <mergeCell ref="H3:H6"/>
    <mergeCell ref="H50:H54"/>
    <mergeCell ref="H18:H24"/>
    <mergeCell ref="H25:H30"/>
    <mergeCell ref="H85:H94"/>
    <mergeCell ref="H7:H13"/>
    <mergeCell ref="H65:H71"/>
    <mergeCell ref="H37:H38"/>
    <mergeCell ref="H14:H17"/>
    <mergeCell ref="H31:H36"/>
    <mergeCell ref="B39:B42"/>
    <mergeCell ref="H61:H64"/>
    <mergeCell ref="B65:B71"/>
    <mergeCell ref="B61:B64"/>
    <mergeCell ref="H44:H49"/>
    <mergeCell ref="B44:B49"/>
    <mergeCell ref="H55:H60"/>
    <mergeCell ref="B55:B60"/>
    <mergeCell ref="B72:B77"/>
    <mergeCell ref="B85:B94"/>
    <mergeCell ref="H72:H77"/>
    <mergeCell ref="H78:H84"/>
    <mergeCell ref="D268:F268"/>
    <mergeCell ref="C262:C268"/>
    <mergeCell ref="D264:F264"/>
    <mergeCell ref="H204:H208"/>
    <mergeCell ref="H230:H236"/>
    <mergeCell ref="H237:H241"/>
    <mergeCell ref="H209:H214"/>
    <mergeCell ref="H215:H225"/>
    <mergeCell ref="H226:H229"/>
    <mergeCell ref="H246:H249"/>
    <mergeCell ref="H243:H244"/>
    <mergeCell ref="D265:F265"/>
    <mergeCell ref="H250:H254"/>
    <mergeCell ref="H259:H260"/>
    <mergeCell ref="H255:H258"/>
    <mergeCell ref="D262:F262"/>
    <mergeCell ref="D263:F263"/>
    <mergeCell ref="A44:A49"/>
    <mergeCell ref="A237:A241"/>
    <mergeCell ref="A170:A174"/>
    <mergeCell ref="A215:A225"/>
    <mergeCell ref="B108:B114"/>
    <mergeCell ref="A204:A208"/>
    <mergeCell ref="A209:A214"/>
    <mergeCell ref="B140:B142"/>
    <mergeCell ref="B163:B169"/>
    <mergeCell ref="B170:B174"/>
    <mergeCell ref="A163:A169"/>
    <mergeCell ref="A55:A60"/>
    <mergeCell ref="A65:A71"/>
    <mergeCell ref="A108:A114"/>
    <mergeCell ref="A85:A94"/>
    <mergeCell ref="A95:A99"/>
    <mergeCell ref="A176:A183"/>
    <mergeCell ref="A184:A190"/>
    <mergeCell ref="A191:A196"/>
    <mergeCell ref="A197:A203"/>
    <mergeCell ref="B149:B155"/>
    <mergeCell ref="B156:B162"/>
  </mergeCells>
  <pageMargins left="0.75" right="0.75" top="1" bottom="1" header="0.5" footer="0.5"/>
  <pageSetup orientation="portrait" r:id="rId1"/>
  <headerFooter alignWithMargins="0"/>
  <ignoredErrors>
    <ignoredError sqref="D226 D230 D237"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I257"/>
  <sheetViews>
    <sheetView zoomScaleNormal="100" workbookViewId="0">
      <selection activeCell="G210" sqref="G210:G216"/>
    </sheetView>
  </sheetViews>
  <sheetFormatPr defaultColWidth="9.33203125" defaultRowHeight="13.8" x14ac:dyDescent="0.25"/>
  <cols>
    <col min="1" max="1" width="5.77734375" style="2" customWidth="1"/>
    <col min="2" max="2" width="18.77734375" style="2" customWidth="1"/>
    <col min="3" max="3" width="75.77734375" style="2" customWidth="1"/>
    <col min="4" max="4" width="6.77734375" style="14" customWidth="1"/>
    <col min="5" max="5" width="8.33203125" style="14" customWidth="1"/>
    <col min="6" max="6" width="9.33203125" style="14" customWidth="1"/>
    <col min="7" max="7" width="13.6640625" style="5" customWidth="1"/>
    <col min="8" max="8" width="75.77734375" style="2" customWidth="1"/>
    <col min="9" max="9" width="17" style="2" customWidth="1"/>
    <col min="10" max="16384" width="9.33203125" style="2"/>
  </cols>
  <sheetData>
    <row r="1" spans="1:8" s="21" customFormat="1" ht="83.25" customHeight="1" thickBot="1" x14ac:dyDescent="0.3">
      <c r="A1" s="1826" t="s">
        <v>274</v>
      </c>
      <c r="B1" s="1827"/>
      <c r="C1" s="151" t="s">
        <v>581</v>
      </c>
      <c r="D1" s="1165" t="s">
        <v>1178</v>
      </c>
      <c r="E1" s="2049"/>
      <c r="F1" s="2050"/>
      <c r="G1" s="2050"/>
      <c r="H1" s="2050"/>
    </row>
    <row r="2" spans="1:8" s="361" customFormat="1" ht="44.25" customHeight="1" thickBot="1" x14ac:dyDescent="0.3">
      <c r="A2" s="787" t="s">
        <v>126</v>
      </c>
      <c r="B2" s="787" t="s">
        <v>1458</v>
      </c>
      <c r="C2" s="831" t="s">
        <v>1271</v>
      </c>
      <c r="D2" s="787" t="s">
        <v>115</v>
      </c>
      <c r="E2" s="789" t="s">
        <v>771</v>
      </c>
      <c r="F2" s="787" t="s">
        <v>1467</v>
      </c>
      <c r="G2" s="1201" t="s">
        <v>1273</v>
      </c>
      <c r="H2" s="787" t="s">
        <v>772</v>
      </c>
    </row>
    <row r="3" spans="1:8" ht="75" customHeight="1" thickBot="1" x14ac:dyDescent="0.3">
      <c r="A3" s="1800" t="str">
        <f>OF!A152</f>
        <v>OF28</v>
      </c>
      <c r="B3" s="1582" t="str">
        <f>OF!B152</f>
        <v>Input Water - Recognized Quality Issues (WQin)</v>
      </c>
      <c r="C3" s="114"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3" s="65"/>
      <c r="E3" s="65"/>
      <c r="F3" s="46"/>
      <c r="G3" s="814">
        <f>IF((OF!D159=1),"",IF((D4+D5=0),1,0))</f>
        <v>1</v>
      </c>
      <c r="H3" s="1522" t="s">
        <v>1156</v>
      </c>
    </row>
    <row r="4" spans="1:8" ht="16.2" customHeight="1" x14ac:dyDescent="0.25">
      <c r="A4" s="1800"/>
      <c r="B4" s="1582"/>
      <c r="C4" s="449" t="str">
        <f>OF!C153</f>
        <v>Total suspended solids (TSS), sedimentation, or turbidity.</v>
      </c>
      <c r="D4" s="44">
        <f>OF!D153</f>
        <v>0</v>
      </c>
      <c r="E4" s="49"/>
      <c r="F4" s="54"/>
      <c r="G4" s="793"/>
      <c r="H4" s="1521"/>
    </row>
    <row r="5" spans="1:8" ht="16.2" customHeight="1" thickBot="1" x14ac:dyDescent="0.3">
      <c r="A5" s="1800"/>
      <c r="B5" s="1582"/>
      <c r="C5" s="286" t="str">
        <f>OF!C156</f>
        <v>Petrochemicals, heavy metals (iron, manganese, lead, zinc, etc.), other toxins.</v>
      </c>
      <c r="D5" s="17">
        <f>OF!D156</f>
        <v>0</v>
      </c>
      <c r="E5" s="67"/>
      <c r="F5" s="54"/>
      <c r="G5" s="800"/>
      <c r="H5" s="1521"/>
    </row>
    <row r="6" spans="1:8" ht="21" customHeight="1" thickBot="1" x14ac:dyDescent="0.3">
      <c r="A6" s="1799" t="str">
        <f>OF!A159</f>
        <v>OF29</v>
      </c>
      <c r="B6" s="1599" t="str">
        <f>OF!B159</f>
        <v>Duration of Connection Beween Problem Area &amp; the AA (ConnecUp)</v>
      </c>
      <c r="C6" s="836" t="str">
        <f>OF!C159</f>
        <v>The upstream problem area mentioned above (OF28) has a surface water connection to the AA:</v>
      </c>
      <c r="D6" s="549"/>
      <c r="E6" s="210"/>
      <c r="F6" s="192"/>
      <c r="G6" s="791" t="str">
        <f>IF((D4+D5&gt;0),MAX(F7:F9)/MAX(E7:E9),"")</f>
        <v/>
      </c>
      <c r="H6" s="1522" t="s">
        <v>394</v>
      </c>
    </row>
    <row r="7" spans="1:8" ht="16.2" customHeight="1" x14ac:dyDescent="0.25">
      <c r="A7" s="1800"/>
      <c r="B7" s="1582"/>
      <c r="C7" s="449" t="str">
        <f>OF!C160</f>
        <v>For 9 or more continuous months annually.</v>
      </c>
      <c r="D7" s="44">
        <f>OF!D160</f>
        <v>0</v>
      </c>
      <c r="E7" s="49">
        <v>0</v>
      </c>
      <c r="F7" s="54">
        <f>D7*E7</f>
        <v>0</v>
      </c>
      <c r="G7" s="961"/>
      <c r="H7" s="1521"/>
    </row>
    <row r="8" spans="1:8" ht="16.2" customHeight="1" x14ac:dyDescent="0.25">
      <c r="A8" s="1800"/>
      <c r="B8" s="1582"/>
      <c r="C8" s="450" t="str">
        <f>OF!C161</f>
        <v>Intermittently (at least once annually, but for less than 9 months continually).</v>
      </c>
      <c r="D8" s="44">
        <f>OF!D161</f>
        <v>0</v>
      </c>
      <c r="E8" s="49">
        <v>1</v>
      </c>
      <c r="F8" s="45">
        <f>D8*E8</f>
        <v>0</v>
      </c>
      <c r="G8" s="962"/>
      <c r="H8" s="1521"/>
    </row>
    <row r="9" spans="1:8" ht="16.2" customHeight="1" thickBot="1" x14ac:dyDescent="0.3">
      <c r="A9" s="1801"/>
      <c r="B9" s="1600"/>
      <c r="C9" s="443" t="str">
        <f>OF!C162</f>
        <v>Never (or less than annually).</v>
      </c>
      <c r="D9" s="17">
        <f>OF!D162</f>
        <v>0</v>
      </c>
      <c r="E9" s="245">
        <v>3</v>
      </c>
      <c r="F9" s="193">
        <f>D9*E9</f>
        <v>0</v>
      </c>
      <c r="G9" s="1202"/>
      <c r="H9" s="1523"/>
    </row>
    <row r="10" spans="1:8" ht="30" customHeight="1" thickBot="1" x14ac:dyDescent="0.3">
      <c r="A10" s="1800" t="str">
        <f>OF!A192</f>
        <v>OF36</v>
      </c>
      <c r="B10" s="1582" t="str">
        <f>OF!B192</f>
        <v>Unvegetated % in the RCA (ImpervRCA)</v>
      </c>
      <c r="C10" s="114" t="str">
        <f>OF!C192</f>
        <v>The proportion of the RCA comprised of buildings, roads, parking lots, exposed bedrock, and other surface that is usually unvegetated at the time of peak annual runoff is about:</v>
      </c>
      <c r="D10" s="210"/>
      <c r="E10" s="65"/>
      <c r="F10" s="792"/>
      <c r="G10" s="814">
        <f>IF((NoRCA=1),"",MAX(F11:F13)/MAX(E11:E13))</f>
        <v>0</v>
      </c>
      <c r="H10" s="1576" t="s">
        <v>337</v>
      </c>
    </row>
    <row r="11" spans="1:8" ht="16.2" customHeight="1" x14ac:dyDescent="0.25">
      <c r="A11" s="1800"/>
      <c r="B11" s="1582"/>
      <c r="C11" s="11" t="str">
        <f>OF!C193</f>
        <v>&lt;10%.</v>
      </c>
      <c r="D11" s="44">
        <f>OF!D193</f>
        <v>0</v>
      </c>
      <c r="E11" s="65">
        <v>3</v>
      </c>
      <c r="F11" s="45">
        <f>D11*E11</f>
        <v>0</v>
      </c>
      <c r="G11" s="792"/>
      <c r="H11" s="1548"/>
    </row>
    <row r="12" spans="1:8" ht="16.2" customHeight="1" x14ac:dyDescent="0.25">
      <c r="A12" s="1800"/>
      <c r="B12" s="1582"/>
      <c r="C12" s="286" t="str">
        <f>OF!C194</f>
        <v>10 to 25%.</v>
      </c>
      <c r="D12" s="44">
        <f>OF!D194</f>
        <v>0</v>
      </c>
      <c r="E12" s="65">
        <v>2</v>
      </c>
      <c r="F12" s="45">
        <f>D12*E12</f>
        <v>0</v>
      </c>
      <c r="G12" s="793"/>
      <c r="H12" s="1548"/>
    </row>
    <row r="13" spans="1:8" ht="16.2" customHeight="1" thickBot="1" x14ac:dyDescent="0.3">
      <c r="A13" s="1800"/>
      <c r="B13" s="1582"/>
      <c r="C13" s="286" t="str">
        <f>OF!C195</f>
        <v>&gt;25%.</v>
      </c>
      <c r="D13" s="17">
        <f>OF!D195</f>
        <v>0</v>
      </c>
      <c r="E13" s="93">
        <v>0</v>
      </c>
      <c r="F13" s="54">
        <f>D13*E13</f>
        <v>0</v>
      </c>
      <c r="G13" s="800"/>
      <c r="H13" s="1818"/>
    </row>
    <row r="14" spans="1:8" ht="45" customHeight="1" thickBot="1" x14ac:dyDescent="0.3">
      <c r="A14" s="1804" t="str">
        <f>F!A13</f>
        <v>F4</v>
      </c>
      <c r="B14" s="1599" t="str">
        <f>F!B13</f>
        <v>Flooded Persistently - % of AA (PermW)</v>
      </c>
      <c r="C14" s="836" t="str">
        <f>F!C13</f>
        <v xml:space="preserve">Identify the parts of the AA that still contain surface water even during the driest times of a normal year . At that time, the percentage of the AA that still contains surface water is: </v>
      </c>
      <c r="D14" s="549"/>
      <c r="E14" s="210"/>
      <c r="F14" s="241"/>
      <c r="G14" s="804" t="str">
        <f>IF((NeverWater+TempWet&gt;0),"",IF((TempWet=1),"",IF((PermType=0),"",MAX(F15:F18)/MAX(E15:E18))))</f>
        <v/>
      </c>
      <c r="H14" s="1599" t="s">
        <v>1645</v>
      </c>
    </row>
    <row r="15" spans="1:8" ht="16.2" customHeight="1" x14ac:dyDescent="0.25">
      <c r="A15" s="1805"/>
      <c r="B15" s="1582"/>
      <c r="C15" s="11" t="str">
        <f>F!C14</f>
        <v>1 to &lt;25% of the AA.</v>
      </c>
      <c r="D15" s="44">
        <f>F!D14</f>
        <v>0</v>
      </c>
      <c r="E15" s="49">
        <v>3</v>
      </c>
      <c r="F15" s="45">
        <f>D15*E15</f>
        <v>0</v>
      </c>
      <c r="G15" s="792"/>
      <c r="H15" s="1582"/>
    </row>
    <row r="16" spans="1:8" ht="16.2" customHeight="1" x14ac:dyDescent="0.25">
      <c r="A16" s="1805"/>
      <c r="B16" s="1582"/>
      <c r="C16" s="286" t="str">
        <f>F!C15</f>
        <v>25 to &lt;50% of the AA.</v>
      </c>
      <c r="D16" s="44">
        <f>F!D15</f>
        <v>0</v>
      </c>
      <c r="E16" s="49">
        <v>4</v>
      </c>
      <c r="F16" s="45">
        <f>D16*E16</f>
        <v>0</v>
      </c>
      <c r="G16" s="793"/>
      <c r="H16" s="1582"/>
    </row>
    <row r="17" spans="1:8" ht="16.2" customHeight="1" x14ac:dyDescent="0.25">
      <c r="A17" s="1805"/>
      <c r="B17" s="1582"/>
      <c r="C17" s="286" t="str">
        <f>F!C16</f>
        <v>50 to 95% of the AA.</v>
      </c>
      <c r="D17" s="44">
        <f>F!D16</f>
        <v>0</v>
      </c>
      <c r="E17" s="49">
        <v>2</v>
      </c>
      <c r="F17" s="45">
        <f>D17*E17</f>
        <v>0</v>
      </c>
      <c r="G17" s="793"/>
      <c r="H17" s="1582"/>
    </row>
    <row r="18" spans="1:8" ht="16.2" customHeight="1" thickBot="1" x14ac:dyDescent="0.3">
      <c r="A18" s="1806"/>
      <c r="B18" s="1600"/>
      <c r="C18" s="443" t="str">
        <f>F!C17</f>
        <v>&gt;95% of the AA.</v>
      </c>
      <c r="D18" s="17">
        <f>F!D17</f>
        <v>0</v>
      </c>
      <c r="E18" s="245">
        <v>1</v>
      </c>
      <c r="F18" s="193">
        <f>D18*E18</f>
        <v>0</v>
      </c>
      <c r="G18" s="909"/>
      <c r="H18" s="1600"/>
    </row>
    <row r="19" spans="1:8" ht="30" customHeight="1" thickBot="1" x14ac:dyDescent="0.3">
      <c r="A19" s="1805" t="str">
        <f>F!A18</f>
        <v>F5</v>
      </c>
      <c r="B19" s="1582" t="str">
        <f>F!B18</f>
        <v>Depth Class (Predominant)  (DepthDom)</v>
      </c>
      <c r="C19" s="244" t="str">
        <f>F!C18</f>
        <v>When water is present in the AA, the depth most of the time in most of inundated area is: 
[Note: NOT necessarily the maximum spatial or annual depth]</v>
      </c>
      <c r="D19" s="549"/>
      <c r="E19" s="65"/>
      <c r="F19" s="60"/>
      <c r="G19" s="799">
        <f>IF((NeverWater+TempWet&gt;0),"",IF((TempWet=1),"",MAX(F20:F24)/MAX(E20:E24)))</f>
        <v>0</v>
      </c>
      <c r="H19" s="1582" t="s">
        <v>1646</v>
      </c>
    </row>
    <row r="20" spans="1:8" ht="16.2" customHeight="1" x14ac:dyDescent="0.25">
      <c r="A20" s="1805"/>
      <c r="B20" s="1582"/>
      <c r="C20" s="215" t="str">
        <f>F!C19</f>
        <v>&gt;0 to &lt;0.5 ft.</v>
      </c>
      <c r="D20" s="44">
        <f>F!D19</f>
        <v>0</v>
      </c>
      <c r="E20" s="49">
        <v>3</v>
      </c>
      <c r="F20" s="45">
        <f>D20*E20</f>
        <v>0</v>
      </c>
      <c r="G20" s="792"/>
      <c r="H20" s="1582"/>
    </row>
    <row r="21" spans="1:8" ht="16.2" customHeight="1" x14ac:dyDescent="0.25">
      <c r="A21" s="1805"/>
      <c r="B21" s="1582"/>
      <c r="C21" s="216" t="str">
        <f>F!C20</f>
        <v>0.5 to &lt; 1 ft deep.</v>
      </c>
      <c r="D21" s="44">
        <f>F!D20</f>
        <v>0</v>
      </c>
      <c r="E21" s="49">
        <v>5</v>
      </c>
      <c r="F21" s="45">
        <f>D21*E21</f>
        <v>0</v>
      </c>
      <c r="G21" s="793"/>
      <c r="H21" s="1582"/>
    </row>
    <row r="22" spans="1:8" ht="16.2" customHeight="1" x14ac:dyDescent="0.25">
      <c r="A22" s="1805"/>
      <c r="B22" s="1582"/>
      <c r="C22" s="216" t="str">
        <f>F!C21</f>
        <v>1 to &lt;3 ft deep.</v>
      </c>
      <c r="D22" s="44">
        <f>F!D21</f>
        <v>0</v>
      </c>
      <c r="E22" s="49">
        <v>4</v>
      </c>
      <c r="F22" s="45">
        <f>D22*E22</f>
        <v>0</v>
      </c>
      <c r="G22" s="793"/>
      <c r="H22" s="1582"/>
    </row>
    <row r="23" spans="1:8" ht="16.2" customHeight="1" x14ac:dyDescent="0.25">
      <c r="A23" s="1805"/>
      <c r="B23" s="1582"/>
      <c r="C23" s="216" t="str">
        <f>F!C22</f>
        <v>3 to 6 ft deep.</v>
      </c>
      <c r="D23" s="44">
        <f>F!D22</f>
        <v>0</v>
      </c>
      <c r="E23" s="49">
        <v>2</v>
      </c>
      <c r="F23" s="45">
        <f>D23*E23</f>
        <v>0</v>
      </c>
      <c r="G23" s="793"/>
      <c r="H23" s="1582"/>
    </row>
    <row r="24" spans="1:8" ht="16.2" customHeight="1" thickBot="1" x14ac:dyDescent="0.3">
      <c r="A24" s="1805"/>
      <c r="B24" s="1582"/>
      <c r="C24" s="95" t="str">
        <f>F!C23</f>
        <v>&gt;6 ft deep.</v>
      </c>
      <c r="D24" s="17">
        <f>F!D23</f>
        <v>0</v>
      </c>
      <c r="E24" s="67">
        <v>1</v>
      </c>
      <c r="F24" s="54">
        <f>D24*E24</f>
        <v>0</v>
      </c>
      <c r="G24" s="800"/>
      <c r="H24" s="1582"/>
    </row>
    <row r="25" spans="1:8" ht="27" customHeight="1" thickBot="1" x14ac:dyDescent="0.3">
      <c r="A25" s="1867" t="str">
        <f>F!A24</f>
        <v>F6</v>
      </c>
      <c r="B25" s="1688" t="str">
        <f>F!B24</f>
        <v>Depth Class Distribution (DepthEven)</v>
      </c>
      <c r="C25" s="931" t="str">
        <f>F!C24</f>
        <v>Within the area described above, and during most of the time when surface water is present, the water area has: Select only one.</v>
      </c>
      <c r="D25" s="549"/>
      <c r="E25" s="210"/>
      <c r="F25" s="241"/>
      <c r="G25" s="804">
        <f>IF((NeverWater+TempWet&gt;0),"",IF((TempWet=1),"",MAX(F26:F28)/MAX(E26:E28)))</f>
        <v>0</v>
      </c>
      <c r="H25" s="1669" t="s">
        <v>1647</v>
      </c>
    </row>
    <row r="26" spans="1:8" ht="28.5" customHeight="1" x14ac:dyDescent="0.25">
      <c r="A26" s="1868"/>
      <c r="B26" s="1689"/>
      <c r="C26" s="893" t="str">
        <f>F!C25</f>
        <v>One depth class covering &gt;90% of the AA’s inundated area (use the classes in the question above).</v>
      </c>
      <c r="D26" s="47">
        <f>F!D25</f>
        <v>0</v>
      </c>
      <c r="E26" s="49">
        <v>1</v>
      </c>
      <c r="F26" s="45">
        <f>D26*E26</f>
        <v>0</v>
      </c>
      <c r="G26" s="792"/>
      <c r="H26" s="1521"/>
    </row>
    <row r="27" spans="1:8" ht="27" customHeight="1" x14ac:dyDescent="0.25">
      <c r="A27" s="1868"/>
      <c r="B27" s="1689"/>
      <c r="C27" s="894" t="str">
        <f>F!C26</f>
        <v>One depth class covering 51-90% of the AA’s inundated area (use the classes in the question above).</v>
      </c>
      <c r="D27" s="47">
        <f>F!D26</f>
        <v>0</v>
      </c>
      <c r="E27" s="49">
        <v>2</v>
      </c>
      <c r="F27" s="45">
        <f>D27*E27</f>
        <v>0</v>
      </c>
      <c r="G27" s="793"/>
      <c r="H27" s="1521"/>
    </row>
    <row r="28" spans="1:8" ht="16.2" customHeight="1" thickBot="1" x14ac:dyDescent="0.3">
      <c r="A28" s="1869"/>
      <c r="B28" s="1690"/>
      <c r="C28" s="932" t="str">
        <f>F!C27</f>
        <v>Neither of above.  There are 3 or more depth classes and none occupy &gt;50%.</v>
      </c>
      <c r="D28" s="80">
        <f>F!D27</f>
        <v>0</v>
      </c>
      <c r="E28" s="245">
        <v>3</v>
      </c>
      <c r="F28" s="193">
        <f>D28*E28</f>
        <v>0</v>
      </c>
      <c r="G28" s="909"/>
      <c r="H28" s="1523"/>
    </row>
    <row r="29" spans="1:8" ht="45" customHeight="1" thickBot="1" x14ac:dyDescent="0.3">
      <c r="A29" s="1805" t="str">
        <f>F!A28</f>
        <v>F7</v>
      </c>
      <c r="B29" s="1582" t="str">
        <f>F!B28</f>
        <v>Emergent Plants -- Area (EmArea)</v>
      </c>
      <c r="C29" s="438" t="str">
        <f>F!C28</f>
        <v>Consider just the area that has surface water for &gt;1 week during the growing season.  Herbaceous plants (not moss, not woody) whose foliage extends above a water surface in this area (i.e., emergents) cumulatively occupy an annual maximum of:</v>
      </c>
      <c r="D29" s="549"/>
      <c r="E29" s="65"/>
      <c r="F29" s="60"/>
      <c r="G29" s="799">
        <f>IF((NeverWater+TempWet&gt;0),"",MAX(F30:F35)/MAX(E30:E35))</f>
        <v>0</v>
      </c>
      <c r="H29" s="1521" t="s">
        <v>1648</v>
      </c>
    </row>
    <row r="30" spans="1:8" ht="28.5" customHeight="1" x14ac:dyDescent="0.25">
      <c r="A30" s="1805"/>
      <c r="B30" s="1582"/>
      <c r="C30" s="449" t="str">
        <f>F!C29</f>
        <v>&lt;0.01 acre (&lt; 400 sq.ft).  Enter 1 and SKIP TO F10, unless only part of a wetland is being assessed.</v>
      </c>
      <c r="D30" s="44">
        <f>F!D29</f>
        <v>0</v>
      </c>
      <c r="E30" s="65">
        <v>1</v>
      </c>
      <c r="F30" s="45">
        <f t="shared" ref="F30:F35" si="0">D30*E30</f>
        <v>0</v>
      </c>
      <c r="G30" s="792"/>
      <c r="H30" s="1521"/>
    </row>
    <row r="31" spans="1:8" ht="16.2" customHeight="1" x14ac:dyDescent="0.25">
      <c r="A31" s="1805"/>
      <c r="B31" s="1582"/>
      <c r="C31" s="450" t="str">
        <f>F!C30</f>
        <v>0.01 to&lt; 0.10 acres (3,920 sq. ft).</v>
      </c>
      <c r="D31" s="44">
        <f>F!D30</f>
        <v>0</v>
      </c>
      <c r="E31" s="49">
        <v>2</v>
      </c>
      <c r="F31" s="45">
        <f t="shared" si="0"/>
        <v>0</v>
      </c>
      <c r="G31" s="793"/>
      <c r="H31" s="1521"/>
    </row>
    <row r="32" spans="1:8" ht="16.2" customHeight="1" x14ac:dyDescent="0.25">
      <c r="A32" s="1805"/>
      <c r="B32" s="1582"/>
      <c r="C32" s="450" t="str">
        <f>F!C31</f>
        <v>0.10 to &lt;0.50 acres (21,340 sq. ft).</v>
      </c>
      <c r="D32" s="44">
        <f>F!D31</f>
        <v>0</v>
      </c>
      <c r="E32" s="49">
        <v>3</v>
      </c>
      <c r="F32" s="45">
        <f t="shared" si="0"/>
        <v>0</v>
      </c>
      <c r="G32" s="793"/>
      <c r="H32" s="1521"/>
    </row>
    <row r="33" spans="1:8" ht="16.2" customHeight="1" x14ac:dyDescent="0.25">
      <c r="A33" s="1805"/>
      <c r="B33" s="1582"/>
      <c r="C33" s="450" t="str">
        <f>F!C32</f>
        <v>0.50 to &lt;5 acres.</v>
      </c>
      <c r="D33" s="44">
        <f>F!D32</f>
        <v>0</v>
      </c>
      <c r="E33" s="49">
        <v>4</v>
      </c>
      <c r="F33" s="45">
        <f t="shared" si="0"/>
        <v>0</v>
      </c>
      <c r="G33" s="793"/>
      <c r="H33" s="1521"/>
    </row>
    <row r="34" spans="1:8" ht="16.2" customHeight="1" x14ac:dyDescent="0.25">
      <c r="A34" s="1805"/>
      <c r="B34" s="1582"/>
      <c r="C34" s="450" t="str">
        <f>F!C33</f>
        <v>5 to 50 acres.</v>
      </c>
      <c r="D34" s="44">
        <f>F!D33</f>
        <v>0</v>
      </c>
      <c r="E34" s="49">
        <v>5</v>
      </c>
      <c r="F34" s="45">
        <f t="shared" si="0"/>
        <v>0</v>
      </c>
      <c r="G34" s="793"/>
      <c r="H34" s="1521"/>
    </row>
    <row r="35" spans="1:8" ht="16.2" customHeight="1" thickBot="1" x14ac:dyDescent="0.3">
      <c r="A35" s="1805"/>
      <c r="B35" s="1582"/>
      <c r="C35" s="286" t="str">
        <f>F!C34</f>
        <v>&gt;50 acres.</v>
      </c>
      <c r="D35" s="17">
        <f>F!D34</f>
        <v>0</v>
      </c>
      <c r="E35" s="67">
        <v>6</v>
      </c>
      <c r="F35" s="54">
        <f t="shared" si="0"/>
        <v>0</v>
      </c>
      <c r="G35" s="800"/>
      <c r="H35" s="1521"/>
    </row>
    <row r="36" spans="1:8" ht="21" customHeight="1" thickBot="1" x14ac:dyDescent="0.3">
      <c r="A36" s="1804" t="str">
        <f>F!A35</f>
        <v>F8</v>
      </c>
      <c r="B36" s="1599" t="str">
        <f>F!B35</f>
        <v>% Emergent Plants (EmPct)</v>
      </c>
      <c r="C36" s="836" t="str">
        <f>F!C35</f>
        <v>Emergent plants occupy an annual maximum of:</v>
      </c>
      <c r="D36" s="549"/>
      <c r="E36" s="210"/>
      <c r="F36" s="241"/>
      <c r="G36" s="804">
        <f>IF((NeverWater=1),"",IF((NoEm=1),"",MAX(F37:F41)/MAX(E37:E41)))</f>
        <v>0</v>
      </c>
      <c r="H36" s="1522" t="s">
        <v>1684</v>
      </c>
    </row>
    <row r="37" spans="1:8" ht="16.2" customHeight="1" x14ac:dyDescent="0.25">
      <c r="A37" s="1805"/>
      <c r="B37" s="1582"/>
      <c r="C37" s="449" t="str">
        <f>F!C36</f>
        <v>&lt;5% of the parts of the AA that are inundated for &gt;7 days at some time of the year.</v>
      </c>
      <c r="D37" s="44">
        <f>F!D36</f>
        <v>0</v>
      </c>
      <c r="E37" s="49">
        <v>1</v>
      </c>
      <c r="F37" s="45">
        <f>D37*E37</f>
        <v>0</v>
      </c>
      <c r="G37" s="793"/>
      <c r="H37" s="1521"/>
    </row>
    <row r="38" spans="1:8" ht="16.2" customHeight="1" x14ac:dyDescent="0.25">
      <c r="A38" s="1805"/>
      <c r="B38" s="1582"/>
      <c r="C38" s="450" t="str">
        <f>F!C37</f>
        <v>5 to &lt;30% of the parts of the AA that are inundated for &gt;7 days at some time of the year.</v>
      </c>
      <c r="D38" s="44">
        <f>F!D37</f>
        <v>0</v>
      </c>
      <c r="E38" s="49">
        <v>3</v>
      </c>
      <c r="F38" s="45">
        <f>D38*E38</f>
        <v>0</v>
      </c>
      <c r="G38" s="793"/>
      <c r="H38" s="1521"/>
    </row>
    <row r="39" spans="1:8" ht="16.2" customHeight="1" x14ac:dyDescent="0.25">
      <c r="A39" s="1805"/>
      <c r="B39" s="1582"/>
      <c r="C39" s="450" t="str">
        <f>F!C38</f>
        <v>30 to &lt;60% of the parts of the AA that are inundated for &gt;7 days at some time of the year.</v>
      </c>
      <c r="D39" s="44">
        <f>F!D38</f>
        <v>0</v>
      </c>
      <c r="E39" s="65">
        <v>6</v>
      </c>
      <c r="F39" s="45">
        <f>D39*E39</f>
        <v>0</v>
      </c>
      <c r="G39" s="793"/>
      <c r="H39" s="1521"/>
    </row>
    <row r="40" spans="1:8" ht="16.2" customHeight="1" x14ac:dyDescent="0.25">
      <c r="A40" s="1805"/>
      <c r="B40" s="1582"/>
      <c r="C40" s="450" t="str">
        <f>F!C39</f>
        <v>60 to 95% of the parts of the AA that are inundated for &gt;7 days at some time of the year.</v>
      </c>
      <c r="D40" s="44">
        <f>F!D39</f>
        <v>0</v>
      </c>
      <c r="E40" s="65">
        <v>4</v>
      </c>
      <c r="F40" s="45">
        <f>D40*E40</f>
        <v>0</v>
      </c>
      <c r="G40" s="793"/>
      <c r="H40" s="1521"/>
    </row>
    <row r="41" spans="1:8" ht="16.2" customHeight="1" thickBot="1" x14ac:dyDescent="0.3">
      <c r="A41" s="1806"/>
      <c r="B41" s="1600"/>
      <c r="C41" s="443" t="str">
        <f>F!C40</f>
        <v>&gt;95% of the parts of the AA that are inundated for &gt;7 days at some time of the year.</v>
      </c>
      <c r="D41" s="198">
        <f>F!D40</f>
        <v>0</v>
      </c>
      <c r="E41" s="479">
        <v>2</v>
      </c>
      <c r="F41" s="193">
        <f>D41*E41</f>
        <v>0</v>
      </c>
      <c r="G41" s="794"/>
      <c r="H41" s="1523"/>
    </row>
    <row r="42" spans="1:8" ht="30" customHeight="1" thickBot="1" x14ac:dyDescent="0.3">
      <c r="A42" s="1805" t="str">
        <f>F!A54</f>
        <v>F12</v>
      </c>
      <c r="B42" s="1582" t="str">
        <f>F!B54</f>
        <v>All Ponded Water as Percentage - Wettest (PondWpctWet)</v>
      </c>
      <c r="C42" s="4" t="str">
        <f>F!C54</f>
        <v>When water levels are highest, during a normal year, the surface water that is ponded continually for &gt;6 days occupies:</v>
      </c>
      <c r="D42" s="65"/>
      <c r="E42" s="65"/>
      <c r="F42" s="60"/>
      <c r="G42" s="799">
        <f>IF((NeverWater+TempWet&gt;0),"",MAX(F43:F48)/MAX(E43:E48))</f>
        <v>0</v>
      </c>
      <c r="H42" s="1582" t="s">
        <v>1649</v>
      </c>
    </row>
    <row r="43" spans="1:8" ht="27" customHeight="1" x14ac:dyDescent="0.25">
      <c r="A43" s="1805"/>
      <c r="B43" s="1582"/>
      <c r="C43" s="215" t="str">
        <f>F!C55</f>
        <v xml:space="preserve">&lt;1% or none of the AA.  Surface water is completely or nearly absent then, or is entirely flowing. 
Enter 1 and SKIP TO F22. </v>
      </c>
      <c r="D43" s="44">
        <f>F!D55</f>
        <v>0</v>
      </c>
      <c r="E43" s="49">
        <v>0</v>
      </c>
      <c r="F43" s="45">
        <f t="shared" ref="F43:F48" si="1">D43*E43</f>
        <v>0</v>
      </c>
      <c r="G43" s="793"/>
      <c r="H43" s="1582"/>
    </row>
    <row r="44" spans="1:8" ht="16.2" customHeight="1" x14ac:dyDescent="0.25">
      <c r="A44" s="1805"/>
      <c r="B44" s="1582"/>
      <c r="C44" s="216" t="str">
        <f>F!C56</f>
        <v>1-5% of the AA.</v>
      </c>
      <c r="D44" s="44">
        <f>F!D56</f>
        <v>0</v>
      </c>
      <c r="E44" s="49">
        <v>1</v>
      </c>
      <c r="F44" s="45">
        <f t="shared" si="1"/>
        <v>0</v>
      </c>
      <c r="G44" s="793"/>
      <c r="H44" s="1582"/>
    </row>
    <row r="45" spans="1:8" ht="16.2" customHeight="1" x14ac:dyDescent="0.25">
      <c r="A45" s="1805"/>
      <c r="B45" s="1582"/>
      <c r="C45" s="216" t="str">
        <f>F!C57</f>
        <v>5 to &lt;30% of the AA.</v>
      </c>
      <c r="D45" s="44">
        <f>F!D57</f>
        <v>0</v>
      </c>
      <c r="E45" s="49">
        <v>2</v>
      </c>
      <c r="F45" s="45">
        <f t="shared" si="1"/>
        <v>0</v>
      </c>
      <c r="G45" s="793"/>
      <c r="H45" s="1582"/>
    </row>
    <row r="46" spans="1:8" ht="16.2" customHeight="1" x14ac:dyDescent="0.25">
      <c r="A46" s="1805"/>
      <c r="B46" s="1582"/>
      <c r="C46" s="216" t="str">
        <f>F!C58</f>
        <v>30 to &lt;70% of the AA.</v>
      </c>
      <c r="D46" s="44">
        <f>F!D58</f>
        <v>0</v>
      </c>
      <c r="E46" s="49">
        <v>3</v>
      </c>
      <c r="F46" s="45">
        <f t="shared" si="1"/>
        <v>0</v>
      </c>
      <c r="G46" s="793"/>
      <c r="H46" s="1582"/>
    </row>
    <row r="47" spans="1:8" ht="16.2" customHeight="1" x14ac:dyDescent="0.25">
      <c r="A47" s="1805"/>
      <c r="B47" s="1582"/>
      <c r="C47" s="216" t="str">
        <f>F!C59</f>
        <v>70 to 95% of the AA.</v>
      </c>
      <c r="D47" s="44">
        <f>F!D59</f>
        <v>0</v>
      </c>
      <c r="E47" s="49">
        <v>3</v>
      </c>
      <c r="F47" s="45">
        <f t="shared" si="1"/>
        <v>0</v>
      </c>
      <c r="G47" s="793"/>
      <c r="H47" s="1582"/>
    </row>
    <row r="48" spans="1:8" ht="16.2" customHeight="1" thickBot="1" x14ac:dyDescent="0.3">
      <c r="A48" s="1805"/>
      <c r="B48" s="1582"/>
      <c r="C48" s="95" t="str">
        <f>F!C60</f>
        <v>&gt;95% of the AA.</v>
      </c>
      <c r="D48" s="17">
        <f>F!D60</f>
        <v>0</v>
      </c>
      <c r="E48" s="67">
        <v>1</v>
      </c>
      <c r="F48" s="54">
        <f t="shared" si="1"/>
        <v>0</v>
      </c>
      <c r="G48" s="800"/>
      <c r="H48" s="1582"/>
    </row>
    <row r="49" spans="1:8" ht="30" customHeight="1" thickBot="1" x14ac:dyDescent="0.3">
      <c r="A49" s="1804" t="str">
        <f>F!A100</f>
        <v>F18</v>
      </c>
      <c r="B49" s="1599" t="str">
        <f>F!B100</f>
        <v>Ponded Open Water Distribution - (Driest)  (WaterMixDry)</v>
      </c>
      <c r="C49" s="836" t="str">
        <f>F!C100</f>
        <v>When water levels are lowest, during a normal year, the distribution of ponded open water patches larger than 0.01 acre (400 sq. ft) within the AA is:</v>
      </c>
      <c r="D49" s="549"/>
      <c r="E49" s="210"/>
      <c r="F49" s="241"/>
      <c r="G49" s="804">
        <f>IF((NeverWater+TempWet&gt;0),"",IF((TempWet=1),"",IF((NoPond2=1),"",IF((NoPondOW2=1),"",MAX(F50:F53)/MAX(E50:E53)))))</f>
        <v>0</v>
      </c>
      <c r="H49" s="1522" t="s">
        <v>1706</v>
      </c>
    </row>
    <row r="50" spans="1:8" ht="57" customHeight="1" x14ac:dyDescent="0.25">
      <c r="A50" s="1805"/>
      <c r="B50" s="1582"/>
      <c r="C50" s="449" t="str">
        <f>F!C101</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50" s="44">
        <f>F!D101</f>
        <v>0</v>
      </c>
      <c r="E50" s="49">
        <v>4</v>
      </c>
      <c r="F50" s="45">
        <f>D50*E50</f>
        <v>0</v>
      </c>
      <c r="G50" s="793"/>
      <c r="H50" s="1521"/>
    </row>
    <row r="51" spans="1:8" ht="60" customHeight="1" x14ac:dyDescent="0.25">
      <c r="A51" s="1805"/>
      <c r="B51" s="1582"/>
      <c r="C51" s="450" t="str">
        <f>F!C102</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51" s="44">
        <f>F!D102</f>
        <v>0</v>
      </c>
      <c r="E51" s="49">
        <v>3</v>
      </c>
      <c r="F51" s="45">
        <f>D51*E51</f>
        <v>0</v>
      </c>
      <c r="G51" s="793"/>
      <c r="H51" s="1521"/>
    </row>
    <row r="52" spans="1:8" ht="42" customHeight="1" x14ac:dyDescent="0.25">
      <c r="A52" s="1805"/>
      <c r="B52" s="1582"/>
      <c r="C52" s="450" t="str">
        <f>F!C103</f>
        <v xml:space="preserve">(a) Vegetation OR open water comprise &gt;70% of the AA (and its bordering  waters) AND (b) There are several small patches of open water scattered within vegetation or several small vegetation clump "islands" scattered within  open water. </v>
      </c>
      <c r="D52" s="44">
        <f>F!D103</f>
        <v>0</v>
      </c>
      <c r="E52" s="49">
        <v>2</v>
      </c>
      <c r="F52" s="45">
        <f>D52*E52</f>
        <v>0</v>
      </c>
      <c r="G52" s="793"/>
      <c r="H52" s="1521"/>
    </row>
    <row r="53" spans="1:8" ht="73.5" customHeight="1" thickBot="1" x14ac:dyDescent="0.3">
      <c r="A53" s="1806"/>
      <c r="B53" s="1600"/>
      <c r="C53" s="443" t="str">
        <f>F!C104</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53" s="198">
        <f>F!D104</f>
        <v>0</v>
      </c>
      <c r="E53" s="245">
        <v>1</v>
      </c>
      <c r="F53" s="193">
        <f>D53*E53</f>
        <v>0</v>
      </c>
      <c r="G53" s="794"/>
      <c r="H53" s="1523"/>
    </row>
    <row r="54" spans="1:8" ht="30" customHeight="1" thickBot="1" x14ac:dyDescent="0.3">
      <c r="A54" s="1805" t="str">
        <f>F!A106</f>
        <v>F20</v>
      </c>
      <c r="B54" s="1582" t="str">
        <f>F!B106</f>
        <v xml:space="preserve">Floating-leaved &amp; Submerged Aquatic Vegetation (SAV)  </v>
      </c>
      <c r="C54" s="114" t="str">
        <f>F!C106</f>
        <v>SAV (submerged &amp; floating-leaved aquatic vegetation, excluding the species listed above) occupies an annual maximum of:</v>
      </c>
      <c r="D54" s="65"/>
      <c r="E54" s="65"/>
      <c r="F54" s="60"/>
      <c r="G54" s="799">
        <f>IF((NeverWater+TempWet&gt;0),"",IF((TempWet=1),"",IF((NoPond2=1),"",IF((NoPondOW2=1),"",IF((D60=1),"",MAX(F55:F60)/MAX(E55:E60))))))</f>
        <v>0</v>
      </c>
      <c r="H54" s="1521" t="s">
        <v>1707</v>
      </c>
    </row>
    <row r="55" spans="1:8" ht="16.2" customHeight="1" x14ac:dyDescent="0.25">
      <c r="A55" s="1805"/>
      <c r="B55" s="1582"/>
      <c r="C55" s="11" t="str">
        <f>F!C107</f>
        <v>none, or &lt;5% of the water area.</v>
      </c>
      <c r="D55" s="44">
        <f>F!D107</f>
        <v>0</v>
      </c>
      <c r="E55" s="49">
        <v>0</v>
      </c>
      <c r="F55" s="45">
        <f>D55*E55</f>
        <v>0</v>
      </c>
      <c r="G55" s="793"/>
      <c r="H55" s="1521"/>
    </row>
    <row r="56" spans="1:8" ht="16.2" customHeight="1" x14ac:dyDescent="0.25">
      <c r="A56" s="1805"/>
      <c r="B56" s="1582"/>
      <c r="C56" s="286" t="str">
        <f>F!C108</f>
        <v>5 to &lt;25% of the water area.</v>
      </c>
      <c r="D56" s="44">
        <f>F!D108</f>
        <v>0</v>
      </c>
      <c r="E56" s="49">
        <v>2</v>
      </c>
      <c r="F56" s="45">
        <f>D56*E56</f>
        <v>0</v>
      </c>
      <c r="G56" s="793"/>
      <c r="H56" s="1521"/>
    </row>
    <row r="57" spans="1:8" ht="16.2" customHeight="1" x14ac:dyDescent="0.25">
      <c r="A57" s="1805"/>
      <c r="B57" s="1582"/>
      <c r="C57" s="286" t="str">
        <f>F!C109</f>
        <v>25 to &lt;50% of the water area.</v>
      </c>
      <c r="D57" s="44">
        <f>F!D109</f>
        <v>0</v>
      </c>
      <c r="E57" s="49">
        <v>3</v>
      </c>
      <c r="F57" s="45">
        <f>D57*E57</f>
        <v>0</v>
      </c>
      <c r="G57" s="793"/>
      <c r="H57" s="1521"/>
    </row>
    <row r="58" spans="1:8" ht="16.2" customHeight="1" x14ac:dyDescent="0.25">
      <c r="A58" s="1805"/>
      <c r="B58" s="1582"/>
      <c r="C58" s="286" t="str">
        <f>F!C110</f>
        <v>50 to 95% of the water area.</v>
      </c>
      <c r="D58" s="44">
        <f>F!D110</f>
        <v>0</v>
      </c>
      <c r="E58" s="49">
        <v>4</v>
      </c>
      <c r="F58" s="45">
        <f>D58*E58</f>
        <v>0</v>
      </c>
      <c r="G58" s="793"/>
      <c r="H58" s="1521"/>
    </row>
    <row r="59" spans="1:8" ht="16.2" customHeight="1" x14ac:dyDescent="0.25">
      <c r="A59" s="1805"/>
      <c r="B59" s="1582"/>
      <c r="C59" s="286" t="str">
        <f>F!C111</f>
        <v>&gt;95% of the water area.</v>
      </c>
      <c r="D59" s="44">
        <f>F!D111</f>
        <v>0</v>
      </c>
      <c r="E59" s="49">
        <v>1</v>
      </c>
      <c r="F59" s="45">
        <f>D59*E59</f>
        <v>0</v>
      </c>
      <c r="G59" s="793"/>
      <c r="H59" s="1521"/>
    </row>
    <row r="60" spans="1:8" ht="16.2" customHeight="1" thickBot="1" x14ac:dyDescent="0.3">
      <c r="A60" s="1806"/>
      <c r="B60" s="1600"/>
      <c r="C60" s="443" t="str">
        <f>F!C112</f>
        <v>many SAV plants present, but impossible to select from the above categories.</v>
      </c>
      <c r="D60" s="17">
        <f>F!D112</f>
        <v>0</v>
      </c>
      <c r="E60" s="245"/>
      <c r="F60" s="193"/>
      <c r="G60" s="794"/>
      <c r="H60" s="1523"/>
    </row>
    <row r="61" spans="1:8" ht="21" customHeight="1" thickBot="1" x14ac:dyDescent="0.3">
      <c r="A61" s="1804" t="str">
        <f>F!A128</f>
        <v>F25</v>
      </c>
      <c r="B61" s="1599" t="str">
        <f>F!B128</f>
        <v>Water Fluctuation Range - Maximum  (Fluctu)</v>
      </c>
      <c r="C61" s="75" t="str">
        <f>F!C128</f>
        <v>The maximum vertical fluctuation in surface water within the AA, during a normal year is:</v>
      </c>
      <c r="D61" s="549"/>
      <c r="E61" s="210"/>
      <c r="F61" s="241"/>
      <c r="G61" s="804">
        <f>MAX(F62:F66)/MAX(E62:E66)</f>
        <v>0</v>
      </c>
      <c r="H61" s="1622" t="s">
        <v>1650</v>
      </c>
    </row>
    <row r="62" spans="1:8" ht="16.2" customHeight="1" x14ac:dyDescent="0.25">
      <c r="A62" s="1805"/>
      <c r="B62" s="1582"/>
      <c r="C62" s="215" t="str">
        <f>F!C129</f>
        <v>&lt;0.5 ft or stable.</v>
      </c>
      <c r="D62" s="44">
        <f>F!D129</f>
        <v>0</v>
      </c>
      <c r="E62" s="49">
        <v>1</v>
      </c>
      <c r="F62" s="45">
        <f>D62*E62</f>
        <v>0</v>
      </c>
      <c r="G62" s="792"/>
      <c r="H62" s="1623"/>
    </row>
    <row r="63" spans="1:8" ht="16.2" customHeight="1" x14ac:dyDescent="0.25">
      <c r="A63" s="1805"/>
      <c r="B63" s="1582"/>
      <c r="C63" s="216" t="str">
        <f>F!C130</f>
        <v>0.5 to &lt; 1 ft.</v>
      </c>
      <c r="D63" s="44">
        <f>F!D130</f>
        <v>0</v>
      </c>
      <c r="E63" s="49">
        <v>4</v>
      </c>
      <c r="F63" s="45">
        <f>D63*E63</f>
        <v>0</v>
      </c>
      <c r="G63" s="793"/>
      <c r="H63" s="1623"/>
    </row>
    <row r="64" spans="1:8" ht="16.2" customHeight="1" x14ac:dyDescent="0.25">
      <c r="A64" s="1805"/>
      <c r="B64" s="1582"/>
      <c r="C64" s="216" t="str">
        <f>F!C131</f>
        <v>1 to &lt;3 ft.</v>
      </c>
      <c r="D64" s="44">
        <f>F!D131</f>
        <v>0</v>
      </c>
      <c r="E64" s="49">
        <v>3</v>
      </c>
      <c r="F64" s="45">
        <f>D64*E64</f>
        <v>0</v>
      </c>
      <c r="G64" s="793"/>
      <c r="H64" s="1623"/>
    </row>
    <row r="65" spans="1:8" ht="16.2" customHeight="1" x14ac:dyDescent="0.25">
      <c r="A65" s="1805"/>
      <c r="B65" s="1582"/>
      <c r="C65" s="216" t="str">
        <f>F!C132</f>
        <v>3 to 6 ft.</v>
      </c>
      <c r="D65" s="44">
        <f>F!D132</f>
        <v>0</v>
      </c>
      <c r="E65" s="49">
        <v>2</v>
      </c>
      <c r="F65" s="45">
        <f>D65*E65</f>
        <v>0</v>
      </c>
      <c r="G65" s="793"/>
      <c r="H65" s="1623"/>
    </row>
    <row r="66" spans="1:8" ht="16.2" customHeight="1" thickBot="1" x14ac:dyDescent="0.3">
      <c r="A66" s="1806"/>
      <c r="B66" s="1600"/>
      <c r="C66" s="254" t="str">
        <f>F!C133</f>
        <v>&gt;6 ft.</v>
      </c>
      <c r="D66" s="17">
        <f>F!D133</f>
        <v>0</v>
      </c>
      <c r="E66" s="245">
        <v>2</v>
      </c>
      <c r="F66" s="193">
        <f>D66*E66</f>
        <v>0</v>
      </c>
      <c r="G66" s="909"/>
      <c r="H66" s="1624"/>
    </row>
    <row r="67" spans="1:8" ht="45" customHeight="1" thickBot="1" x14ac:dyDescent="0.3">
      <c r="A67" s="1804" t="str">
        <f>F!A134</f>
        <v>F26</v>
      </c>
      <c r="B67" s="1599" t="str">
        <f>F!B134</f>
        <v>% Only Saturated or Seasonally Flooded (SeasPct)</v>
      </c>
      <c r="C67" s="836"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67" s="549"/>
      <c r="E67" s="210"/>
      <c r="F67" s="241"/>
      <c r="G67" s="804">
        <f>MAX(F68:F72)/MAX(E68:E72)</f>
        <v>0</v>
      </c>
      <c r="H67" s="1599" t="s">
        <v>156</v>
      </c>
    </row>
    <row r="68" spans="1:8" ht="16.2" customHeight="1" x14ac:dyDescent="0.25">
      <c r="A68" s="1805"/>
      <c r="B68" s="1582"/>
      <c r="C68" s="449" t="str">
        <f>F!C135</f>
        <v>&lt;5% of the AA, or none (i.e., all water persists for &gt;4 months).</v>
      </c>
      <c r="D68" s="44">
        <f>F!D135</f>
        <v>0</v>
      </c>
      <c r="E68" s="49">
        <v>1</v>
      </c>
      <c r="F68" s="45">
        <f>D68*E68</f>
        <v>0</v>
      </c>
      <c r="G68" s="792"/>
      <c r="H68" s="1582"/>
    </row>
    <row r="69" spans="1:8" ht="16.2" customHeight="1" x14ac:dyDescent="0.25">
      <c r="A69" s="1805"/>
      <c r="B69" s="1582"/>
      <c r="C69" s="450" t="str">
        <f>F!C136</f>
        <v>5 to &lt;25% of the AA.</v>
      </c>
      <c r="D69" s="44">
        <f>F!D136</f>
        <v>0</v>
      </c>
      <c r="E69" s="49">
        <v>2</v>
      </c>
      <c r="F69" s="45">
        <f>D69*E69</f>
        <v>0</v>
      </c>
      <c r="G69" s="793"/>
      <c r="H69" s="1582"/>
    </row>
    <row r="70" spans="1:8" ht="16.2" customHeight="1" x14ac:dyDescent="0.25">
      <c r="A70" s="1805"/>
      <c r="B70" s="1582"/>
      <c r="C70" s="450" t="str">
        <f>F!C137</f>
        <v>25 to &lt;50% of the AA.</v>
      </c>
      <c r="D70" s="44">
        <f>F!D137</f>
        <v>0</v>
      </c>
      <c r="E70" s="49">
        <v>3</v>
      </c>
      <c r="F70" s="45">
        <f>D70*E70</f>
        <v>0</v>
      </c>
      <c r="G70" s="793"/>
      <c r="H70" s="1582"/>
    </row>
    <row r="71" spans="1:8" ht="16.2" customHeight="1" x14ac:dyDescent="0.25">
      <c r="A71" s="1805"/>
      <c r="B71" s="1582"/>
      <c r="C71" s="450" t="str">
        <f>F!C138</f>
        <v>50 to 75% of the AA.</v>
      </c>
      <c r="D71" s="44">
        <f>F!D138</f>
        <v>0</v>
      </c>
      <c r="E71" s="49">
        <v>5</v>
      </c>
      <c r="F71" s="45">
        <f>D71*E71</f>
        <v>0</v>
      </c>
      <c r="G71" s="793"/>
      <c r="H71" s="1582"/>
    </row>
    <row r="72" spans="1:8" ht="16.2" customHeight="1" thickBot="1" x14ac:dyDescent="0.3">
      <c r="A72" s="1806"/>
      <c r="B72" s="1600"/>
      <c r="C72" s="443" t="str">
        <f>F!C139</f>
        <v>&gt;75% of the AA.</v>
      </c>
      <c r="D72" s="198">
        <f>F!D139</f>
        <v>0</v>
      </c>
      <c r="E72" s="245">
        <v>4</v>
      </c>
      <c r="F72" s="193">
        <f>D72*E72</f>
        <v>0</v>
      </c>
      <c r="G72" s="794"/>
      <c r="H72" s="1600"/>
    </row>
    <row r="73" spans="1:8" ht="45" customHeight="1" thickBot="1" x14ac:dyDescent="0.3">
      <c r="A73" s="1804" t="str">
        <f>F!A177</f>
        <v>F35</v>
      </c>
      <c r="B73" s="1599" t="str">
        <f>F!B177</f>
        <v>Throughflow Complexity (ThruFlo)</v>
      </c>
      <c r="C73" s="75" t="str">
        <f>F!C177</f>
        <v>[Skip this question if the AA lacks both an inlet and outlet.]  During peak annual flow, water entering the AA in channels encounters which of the following conditions as it travels through the AA: Select the ONE encountered most.</v>
      </c>
      <c r="D73" s="549"/>
      <c r="E73" s="210"/>
      <c r="F73" s="241"/>
      <c r="G73" s="804">
        <f>IF(AND(Inflow=0,NoOutlet=1),"",MAX(F74:F78)/MAX(E74:E78))</f>
        <v>0</v>
      </c>
      <c r="H73" s="1599" t="s">
        <v>1720</v>
      </c>
    </row>
    <row r="74" spans="1:8" ht="42" customHeight="1" x14ac:dyDescent="0.25">
      <c r="A74" s="1805"/>
      <c r="B74" s="1582"/>
      <c r="C74" s="215"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74" s="44">
        <f>F!D178</f>
        <v>0</v>
      </c>
      <c r="E74" s="65">
        <v>0</v>
      </c>
      <c r="F74" s="46">
        <f>D74*E74</f>
        <v>0</v>
      </c>
      <c r="G74" s="792"/>
      <c r="H74" s="1582"/>
    </row>
    <row r="75" spans="1:8" ht="16.2" customHeight="1" x14ac:dyDescent="0.25">
      <c r="A75" s="1805"/>
      <c r="B75" s="1582"/>
      <c r="C75" s="216" t="str">
        <f>F!C179</f>
        <v>Bumps into herbaceous vegetation but mostly remains in fairly straight channels.</v>
      </c>
      <c r="D75" s="44">
        <f>F!D179</f>
        <v>0</v>
      </c>
      <c r="E75" s="49">
        <v>1</v>
      </c>
      <c r="F75" s="45">
        <f>D75*E75</f>
        <v>0</v>
      </c>
      <c r="G75" s="793"/>
      <c r="H75" s="1582"/>
    </row>
    <row r="76" spans="1:8" ht="27" customHeight="1" x14ac:dyDescent="0.25">
      <c r="A76" s="1805"/>
      <c r="B76" s="1582"/>
      <c r="C76" s="216" t="str">
        <f>F!C180</f>
        <v>Bumps into herbaceous vegetation and mostly spreads throughout, or follows a fairly indirect path (in widely meandering, multi-branched, or braided channels).</v>
      </c>
      <c r="D76" s="44">
        <f>F!D180</f>
        <v>0</v>
      </c>
      <c r="E76" s="49">
        <v>2</v>
      </c>
      <c r="F76" s="45">
        <f>D76*E76</f>
        <v>0</v>
      </c>
      <c r="G76" s="793"/>
      <c r="H76" s="1582"/>
    </row>
    <row r="77" spans="1:8" ht="16.2" customHeight="1" x14ac:dyDescent="0.25">
      <c r="A77" s="1805"/>
      <c r="B77" s="1582"/>
      <c r="C77" s="216" t="str">
        <f>F!C181</f>
        <v>Bumps into tree trunks and/or shrub stems but mostly remains in fairly straight channels.</v>
      </c>
      <c r="D77" s="44">
        <f>F!D181</f>
        <v>0</v>
      </c>
      <c r="E77" s="49">
        <v>1</v>
      </c>
      <c r="F77" s="45">
        <f>D77*E77</f>
        <v>0</v>
      </c>
      <c r="G77" s="793"/>
      <c r="H77" s="1582"/>
    </row>
    <row r="78" spans="1:8" ht="27" customHeight="1" thickBot="1" x14ac:dyDescent="0.3">
      <c r="A78" s="1806"/>
      <c r="B78" s="1600"/>
      <c r="C78" s="254" t="str">
        <f>F!C182</f>
        <v>Bumps into tree trunks and/or shrub stems and follows a fairly indirect path  (meandering, multi-branched, or braided) from entrance to exit.</v>
      </c>
      <c r="D78" s="17">
        <f>F!D182</f>
        <v>0</v>
      </c>
      <c r="E78" s="245">
        <v>2</v>
      </c>
      <c r="F78" s="193">
        <f>D78*E78</f>
        <v>0</v>
      </c>
      <c r="G78" s="909"/>
      <c r="H78" s="1600"/>
    </row>
    <row r="79" spans="1:8" ht="21" customHeight="1" thickBot="1" x14ac:dyDescent="0.3">
      <c r="A79" s="1804" t="str">
        <f>F!A188</f>
        <v>F37</v>
      </c>
      <c r="B79" s="1599" t="str">
        <f>F!B188</f>
        <v xml:space="preserve">Groundwater Strength of Evidence (Groundw) </v>
      </c>
      <c r="C79" s="836" t="str">
        <f>F!C188</f>
        <v>Select first one that applies:</v>
      </c>
      <c r="D79" s="549"/>
      <c r="E79" s="210"/>
      <c r="F79" s="241"/>
      <c r="G79" s="801">
        <f>MAX(F80:F83)/MAX(E80:E83)</f>
        <v>0</v>
      </c>
      <c r="H79" s="1521" t="s">
        <v>841</v>
      </c>
    </row>
    <row r="80" spans="1:8" ht="99" customHeight="1" x14ac:dyDescent="0.25">
      <c r="A80" s="1805"/>
      <c r="B80" s="1582"/>
      <c r="C80" s="449"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80" s="44">
        <f>F!D189</f>
        <v>0</v>
      </c>
      <c r="E80" s="49">
        <v>3</v>
      </c>
      <c r="F80" s="58">
        <f>D80*E80</f>
        <v>0</v>
      </c>
      <c r="G80" s="796"/>
      <c r="H80" s="1521"/>
    </row>
    <row r="81" spans="1:8" ht="99" customHeight="1" x14ac:dyDescent="0.25">
      <c r="A81" s="1805"/>
      <c r="B81" s="1582"/>
      <c r="C81" s="450"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81" s="44">
        <f>F!D190</f>
        <v>0</v>
      </c>
      <c r="E81" s="49">
        <v>2</v>
      </c>
      <c r="F81" s="58">
        <f>D81*E81</f>
        <v>0</v>
      </c>
      <c r="G81" s="797"/>
      <c r="H81" s="1521"/>
    </row>
    <row r="82" spans="1:8" ht="42" customHeight="1" x14ac:dyDescent="0.25">
      <c r="A82" s="1805"/>
      <c r="B82" s="1582"/>
      <c r="C82" s="450" t="str">
        <f>F!C191</f>
        <v>The AA is not in an Arid or Semi-arid hydrologic unit, but has persistent ponded water, no tributary, and is not fed by wastewater, concentrated stormwater, or irrigation water, or by an adjacent river or lake.</v>
      </c>
      <c r="D82" s="44">
        <f>F!D191</f>
        <v>0</v>
      </c>
      <c r="E82" s="49">
        <v>1</v>
      </c>
      <c r="F82" s="58">
        <f>D82*E82</f>
        <v>0</v>
      </c>
      <c r="G82" s="803"/>
      <c r="H82" s="1521"/>
    </row>
    <row r="83" spans="1:8" ht="27" customHeight="1" thickBot="1" x14ac:dyDescent="0.3">
      <c r="A83" s="1806"/>
      <c r="B83" s="1600"/>
      <c r="C83" s="443" t="str">
        <f>F!C192</f>
        <v>None of above is true, OR AA contains a hot spring. Some groundwater may nonetheless discharge to or flow through the wetland.</v>
      </c>
      <c r="D83" s="17">
        <f>F!D192</f>
        <v>0</v>
      </c>
      <c r="E83" s="245">
        <v>0</v>
      </c>
      <c r="F83" s="193">
        <f>D83*E83</f>
        <v>0</v>
      </c>
      <c r="G83" s="798"/>
      <c r="H83" s="1521"/>
    </row>
    <row r="84" spans="1:8" ht="45" customHeight="1" thickBot="1" x14ac:dyDescent="0.3">
      <c r="A84" s="1203" t="str">
        <f>F!A205</f>
        <v>F40</v>
      </c>
      <c r="B84" s="1689" t="str">
        <f>F!B205</f>
        <v>Species Dominance - Herbaceous (HerbDom)</v>
      </c>
      <c r="C84" s="255" t="str">
        <f>F!C205</f>
        <v>Determine which two native herbaceous (forb, fern, and graminoid) species comprise the greatest portion of the herbaceous cover that is unshaded by a woody canopy.  Then select one:</v>
      </c>
      <c r="D84" s="210"/>
      <c r="E84" s="65"/>
      <c r="F84" s="60"/>
      <c r="G84" s="799">
        <f>IF((NoHerb=1),"",MAX(F85:F86)/MAX(E85:E86))</f>
        <v>0</v>
      </c>
      <c r="H84" s="1522" t="s">
        <v>1730</v>
      </c>
    </row>
    <row r="85" spans="1:8" ht="42" customHeight="1" x14ac:dyDescent="0.25">
      <c r="A85" s="1203"/>
      <c r="B85" s="1689"/>
      <c r="C85" s="893" t="str">
        <f>F!C206</f>
        <v>Those species together comprise more than half of the areal cover of native herbaceous plants at any time during the year, i.e., one dominant species or two co-dominants.  Also mark this if &lt;20% of the vegetated cover is native species.</v>
      </c>
      <c r="D85" s="47">
        <f>F!D206</f>
        <v>0</v>
      </c>
      <c r="E85" s="49">
        <v>0</v>
      </c>
      <c r="F85" s="54">
        <f>D85*E85</f>
        <v>0</v>
      </c>
      <c r="G85" s="792"/>
      <c r="H85" s="1521"/>
    </row>
    <row r="86" spans="1:8" ht="27" customHeight="1" thickBot="1" x14ac:dyDescent="0.3">
      <c r="A86" s="1203"/>
      <c r="B86" s="1689"/>
      <c r="C86" s="1039" t="str">
        <f>F!C207</f>
        <v>Those species together comprise less than half of the areal cover of native herbaceous plants at any time during the year.</v>
      </c>
      <c r="D86" s="242">
        <f>F!D207</f>
        <v>0</v>
      </c>
      <c r="E86" s="67">
        <v>1</v>
      </c>
      <c r="F86" s="54">
        <f>D86*E86</f>
        <v>0</v>
      </c>
      <c r="G86" s="800"/>
      <c r="H86" s="1523"/>
    </row>
    <row r="87" spans="1:8" ht="30" customHeight="1" thickBot="1" x14ac:dyDescent="0.3">
      <c r="A87" s="1804" t="str">
        <f>F!A244</f>
        <v>F49</v>
      </c>
      <c r="B87" s="1599" t="str">
        <f>F!B244</f>
        <v>Downed Wood (WoodDown)</v>
      </c>
      <c r="C87" s="75" t="str">
        <f>F!C244</f>
        <v>The number of downed wood pieces longer than 6 ft and with diameter &gt;4 inches that are not submerged during most of the growing season, is:</v>
      </c>
      <c r="D87" s="549"/>
      <c r="E87" s="210"/>
      <c r="F87" s="241"/>
      <c r="G87" s="804">
        <f>IF((NoWoody=1),"",IF((HistOpenland=1),"",MAX(F88:F89)/MAX(E88:E89)))</f>
        <v>0</v>
      </c>
      <c r="H87" s="1599" t="s">
        <v>1752</v>
      </c>
    </row>
    <row r="88" spans="1:8" ht="16.2" customHeight="1" x14ac:dyDescent="0.25">
      <c r="A88" s="1805"/>
      <c r="B88" s="1582"/>
      <c r="C88" s="215" t="str">
        <f>F!C245</f>
        <v>Few or none.</v>
      </c>
      <c r="D88" s="44">
        <f>F!D245</f>
        <v>0</v>
      </c>
      <c r="E88" s="49">
        <v>0</v>
      </c>
      <c r="F88" s="45">
        <f>D88*E88</f>
        <v>0</v>
      </c>
      <c r="G88" s="792"/>
      <c r="H88" s="1582"/>
    </row>
    <row r="89" spans="1:8" ht="16.2" customHeight="1" thickBot="1" x14ac:dyDescent="0.3">
      <c r="A89" s="1806"/>
      <c r="B89" s="1600"/>
      <c r="C89" s="254" t="str">
        <f>F!C246</f>
        <v>Several.</v>
      </c>
      <c r="D89" s="17">
        <f>F!D246</f>
        <v>0</v>
      </c>
      <c r="E89" s="245">
        <v>1</v>
      </c>
      <c r="F89" s="193">
        <f>D89*E89</f>
        <v>0</v>
      </c>
      <c r="G89" s="909"/>
      <c r="H89" s="1600"/>
    </row>
    <row r="90" spans="1:8" ht="45" customHeight="1" thickBot="1" x14ac:dyDescent="0.3">
      <c r="A90" s="1821" t="str">
        <f>F!A253</f>
        <v>F51</v>
      </c>
      <c r="B90" s="1582" t="str">
        <f>F!B253</f>
        <v>N Fixers (Nfix)</v>
      </c>
      <c r="C90" s="244" t="str">
        <f>F!C253</f>
        <v>The percentage of the vegetated area in the AA or along its water edge (whichever has more) that contains nitrogen-fixing plants (e.g., alder, baltic rush, scotch broom, lupine, clover, alfalfa, other legumes) is:</v>
      </c>
      <c r="D90" s="549"/>
      <c r="E90" s="65"/>
      <c r="F90" s="60"/>
      <c r="G90" s="799">
        <f>MAX(F91:F95)/MAX(E91:E95)</f>
        <v>0</v>
      </c>
      <c r="H90" s="1582" t="s">
        <v>216</v>
      </c>
    </row>
    <row r="91" spans="1:8" ht="16.2" customHeight="1" x14ac:dyDescent="0.25">
      <c r="A91" s="1822"/>
      <c r="B91" s="1582"/>
      <c r="C91" s="215" t="str">
        <f>F!C254</f>
        <v>&lt;1% or none.</v>
      </c>
      <c r="D91" s="44">
        <f>F!D254</f>
        <v>0</v>
      </c>
      <c r="E91" s="49">
        <v>0</v>
      </c>
      <c r="F91" s="45">
        <f>D91*E91</f>
        <v>0</v>
      </c>
      <c r="G91" s="792"/>
      <c r="H91" s="1582"/>
    </row>
    <row r="92" spans="1:8" ht="16.2" customHeight="1" x14ac:dyDescent="0.25">
      <c r="A92" s="1822"/>
      <c r="B92" s="1582"/>
      <c r="C92" s="216" t="str">
        <f>F!C255</f>
        <v>1 to &lt;25%.</v>
      </c>
      <c r="D92" s="44">
        <f>F!D255</f>
        <v>0</v>
      </c>
      <c r="E92" s="49">
        <v>1</v>
      </c>
      <c r="F92" s="45">
        <f>D92*E92</f>
        <v>0</v>
      </c>
      <c r="G92" s="793"/>
      <c r="H92" s="1582"/>
    </row>
    <row r="93" spans="1:8" ht="16.2" customHeight="1" x14ac:dyDescent="0.25">
      <c r="A93" s="1822"/>
      <c r="B93" s="1582"/>
      <c r="C93" s="216" t="str">
        <f>F!C256</f>
        <v>25 to &lt;50%.</v>
      </c>
      <c r="D93" s="44">
        <f>F!D256</f>
        <v>0</v>
      </c>
      <c r="E93" s="49">
        <v>2</v>
      </c>
      <c r="F93" s="45">
        <f>D93*E93</f>
        <v>0</v>
      </c>
      <c r="G93" s="793"/>
      <c r="H93" s="1582"/>
    </row>
    <row r="94" spans="1:8" ht="16.2" customHeight="1" x14ac:dyDescent="0.25">
      <c r="A94" s="1822"/>
      <c r="B94" s="1582"/>
      <c r="C94" s="216" t="str">
        <f>F!C257</f>
        <v>50 to 75%.</v>
      </c>
      <c r="D94" s="44">
        <f>F!D257</f>
        <v>0</v>
      </c>
      <c r="E94" s="49">
        <v>3</v>
      </c>
      <c r="F94" s="45">
        <f>D94*E94</f>
        <v>0</v>
      </c>
      <c r="G94" s="793"/>
      <c r="H94" s="1582"/>
    </row>
    <row r="95" spans="1:8" ht="16.2" customHeight="1" thickBot="1" x14ac:dyDescent="0.3">
      <c r="A95" s="1825"/>
      <c r="B95" s="1582"/>
      <c r="C95" s="95" t="str">
        <f>F!C258</f>
        <v>&gt;75%.</v>
      </c>
      <c r="D95" s="17">
        <f>F!D258</f>
        <v>0</v>
      </c>
      <c r="E95" s="67">
        <v>4</v>
      </c>
      <c r="F95" s="54">
        <f>D95*E95</f>
        <v>0</v>
      </c>
      <c r="G95" s="800"/>
      <c r="H95" s="1582"/>
    </row>
    <row r="96" spans="1:8" ht="30" customHeight="1" thickBot="1" x14ac:dyDescent="0.3">
      <c r="A96" s="1821" t="str">
        <f>F!A260</f>
        <v>F52</v>
      </c>
      <c r="B96" s="1599" t="str">
        <f>F!B260</f>
        <v>Upland Perennial Cover - % of Perimeter (PerimPctPer)</v>
      </c>
      <c r="C96" s="4" t="str">
        <f>F!C260</f>
        <v xml:space="preserve">The percentage of the AA's edge (perimeter) that is comprised of a band of upland perennial cover wider than 10 ft and taller than 6 inches, during most of the growing season is:  </v>
      </c>
      <c r="D96" s="210"/>
      <c r="E96" s="210"/>
      <c r="F96" s="192"/>
      <c r="G96" s="804">
        <f>MAX(F97:F102)/MAX(E97:E102)</f>
        <v>0</v>
      </c>
      <c r="H96" s="1599" t="s">
        <v>43</v>
      </c>
    </row>
    <row r="97" spans="1:8" ht="16.2" customHeight="1" x14ac:dyDescent="0.25">
      <c r="A97" s="1822"/>
      <c r="B97" s="1582"/>
      <c r="C97" s="2" t="str">
        <f>F!C261</f>
        <v>&lt;5%.</v>
      </c>
      <c r="D97" s="44">
        <f>F!D261</f>
        <v>0</v>
      </c>
      <c r="E97" s="49">
        <v>1</v>
      </c>
      <c r="F97" s="45">
        <f t="shared" ref="F97:F102" si="2">D97*E97</f>
        <v>0</v>
      </c>
      <c r="G97" s="800"/>
      <c r="H97" s="1987"/>
    </row>
    <row r="98" spans="1:8" ht="16.2" customHeight="1" x14ac:dyDescent="0.25">
      <c r="A98" s="1822"/>
      <c r="B98" s="1582"/>
      <c r="C98" s="95" t="str">
        <f>F!C262</f>
        <v>5 to &lt;25%.</v>
      </c>
      <c r="D98" s="44">
        <f>F!D262</f>
        <v>0</v>
      </c>
      <c r="E98" s="49">
        <v>3</v>
      </c>
      <c r="F98" s="45">
        <f t="shared" si="2"/>
        <v>0</v>
      </c>
      <c r="G98" s="800"/>
      <c r="H98" s="1987"/>
    </row>
    <row r="99" spans="1:8" ht="16.2" customHeight="1" x14ac:dyDescent="0.25">
      <c r="A99" s="1822"/>
      <c r="B99" s="1582"/>
      <c r="C99" s="95" t="str">
        <f>F!C263</f>
        <v>25 to &lt;50%.</v>
      </c>
      <c r="D99" s="44">
        <f>F!D263</f>
        <v>0</v>
      </c>
      <c r="E99" s="49">
        <v>4</v>
      </c>
      <c r="F99" s="45">
        <f t="shared" si="2"/>
        <v>0</v>
      </c>
      <c r="G99" s="800"/>
      <c r="H99" s="1987"/>
    </row>
    <row r="100" spans="1:8" ht="16.2" customHeight="1" x14ac:dyDescent="0.25">
      <c r="A100" s="1822"/>
      <c r="B100" s="1582"/>
      <c r="C100" s="95" t="str">
        <f>F!C264</f>
        <v>50 to &lt;75%.</v>
      </c>
      <c r="D100" s="44">
        <f>F!D264</f>
        <v>0</v>
      </c>
      <c r="E100" s="49">
        <v>5</v>
      </c>
      <c r="F100" s="45">
        <f t="shared" si="2"/>
        <v>0</v>
      </c>
      <c r="G100" s="800"/>
      <c r="H100" s="1987"/>
    </row>
    <row r="101" spans="1:8" ht="16.2" customHeight="1" x14ac:dyDescent="0.25">
      <c r="A101" s="1822"/>
      <c r="B101" s="1582"/>
      <c r="C101" s="95" t="str">
        <f>F!C265</f>
        <v>75 to 95%.</v>
      </c>
      <c r="D101" s="44">
        <f>F!D265</f>
        <v>0</v>
      </c>
      <c r="E101" s="49">
        <v>6</v>
      </c>
      <c r="F101" s="45">
        <f t="shared" si="2"/>
        <v>0</v>
      </c>
      <c r="G101" s="800"/>
      <c r="H101" s="1987"/>
    </row>
    <row r="102" spans="1:8" ht="16.2" customHeight="1" thickBot="1" x14ac:dyDescent="0.3">
      <c r="A102" s="1825"/>
      <c r="B102" s="1600"/>
      <c r="C102" s="254" t="str">
        <f>F!C266</f>
        <v>&gt;95%.</v>
      </c>
      <c r="D102" s="17">
        <f>F!D266</f>
        <v>0</v>
      </c>
      <c r="E102" s="245">
        <v>7</v>
      </c>
      <c r="F102" s="193">
        <f t="shared" si="2"/>
        <v>0</v>
      </c>
      <c r="G102" s="909"/>
      <c r="H102" s="1988"/>
    </row>
    <row r="103" spans="1:8" ht="67.5" customHeight="1" thickBot="1" x14ac:dyDescent="0.3">
      <c r="A103" s="1821" t="str">
        <f>F!A267</f>
        <v>F53</v>
      </c>
      <c r="B103" s="1582" t="str">
        <f>F!B267</f>
        <v>Upland Perennial Cover - Width (Buffer)  (BuffWidth)</v>
      </c>
      <c r="C103" s="24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03" s="549"/>
      <c r="E103" s="65"/>
      <c r="F103" s="60"/>
      <c r="G103" s="799">
        <f>MAX(F104:F109)/MAX(E104:E109)</f>
        <v>0</v>
      </c>
      <c r="H103" s="1582" t="s">
        <v>44</v>
      </c>
    </row>
    <row r="104" spans="1:8" ht="16.2" customHeight="1" x14ac:dyDescent="0.25">
      <c r="A104" s="1822"/>
      <c r="B104" s="1582"/>
      <c r="C104" s="2" t="str">
        <f>F!C268</f>
        <v xml:space="preserve">&lt; 5 ft, or none.  </v>
      </c>
      <c r="D104" s="44">
        <f>F!D268</f>
        <v>0</v>
      </c>
      <c r="E104" s="49">
        <v>1</v>
      </c>
      <c r="F104" s="45">
        <f t="shared" ref="F104:F109" si="3">D104*E104</f>
        <v>0</v>
      </c>
      <c r="G104" s="792"/>
      <c r="H104" s="1987"/>
    </row>
    <row r="105" spans="1:8" ht="16.2" customHeight="1" x14ac:dyDescent="0.25">
      <c r="A105" s="1822"/>
      <c r="B105" s="1582"/>
      <c r="C105" s="95" t="str">
        <f>F!C269</f>
        <v>5 to &lt;30 ft.</v>
      </c>
      <c r="D105" s="44">
        <f>F!D269</f>
        <v>0</v>
      </c>
      <c r="E105" s="49">
        <v>3</v>
      </c>
      <c r="F105" s="45">
        <f t="shared" si="3"/>
        <v>0</v>
      </c>
      <c r="G105" s="793"/>
      <c r="H105" s="1987"/>
    </row>
    <row r="106" spans="1:8" ht="16.2" customHeight="1" x14ac:dyDescent="0.25">
      <c r="A106" s="1822"/>
      <c r="B106" s="1582"/>
      <c r="C106" s="95" t="str">
        <f>F!C270</f>
        <v>30 to &lt;50 ft.</v>
      </c>
      <c r="D106" s="44">
        <f>F!D270</f>
        <v>0</v>
      </c>
      <c r="E106" s="49">
        <v>4</v>
      </c>
      <c r="F106" s="45">
        <f t="shared" si="3"/>
        <v>0</v>
      </c>
      <c r="G106" s="793"/>
      <c r="H106" s="1987"/>
    </row>
    <row r="107" spans="1:8" ht="16.2" customHeight="1" x14ac:dyDescent="0.25">
      <c r="A107" s="1822"/>
      <c r="B107" s="1582"/>
      <c r="C107" s="95" t="str">
        <f>F!C271</f>
        <v>50 to &lt;100 ft.</v>
      </c>
      <c r="D107" s="44">
        <f>F!D271</f>
        <v>0</v>
      </c>
      <c r="E107" s="49">
        <v>5</v>
      </c>
      <c r="F107" s="45">
        <f t="shared" si="3"/>
        <v>0</v>
      </c>
      <c r="G107" s="793"/>
      <c r="H107" s="1987"/>
    </row>
    <row r="108" spans="1:8" ht="16.2" customHeight="1" x14ac:dyDescent="0.25">
      <c r="A108" s="1822"/>
      <c r="B108" s="1582"/>
      <c r="C108" s="95" t="str">
        <f>F!C272</f>
        <v>100  to 300 ft.</v>
      </c>
      <c r="D108" s="44">
        <f>F!D272</f>
        <v>0</v>
      </c>
      <c r="E108" s="49">
        <v>6</v>
      </c>
      <c r="F108" s="45">
        <f t="shared" si="3"/>
        <v>0</v>
      </c>
      <c r="G108" s="800"/>
      <c r="H108" s="1987"/>
    </row>
    <row r="109" spans="1:8" ht="16.2" customHeight="1" thickBot="1" x14ac:dyDescent="0.3">
      <c r="A109" s="1825"/>
      <c r="B109" s="1582"/>
      <c r="C109" s="95" t="str">
        <f>F!C273</f>
        <v xml:space="preserve">&gt; 300 ft. </v>
      </c>
      <c r="D109" s="17">
        <f>F!D273</f>
        <v>0</v>
      </c>
      <c r="E109" s="67">
        <v>7</v>
      </c>
      <c r="F109" s="54">
        <f t="shared" si="3"/>
        <v>0</v>
      </c>
      <c r="G109" s="800"/>
      <c r="H109" s="1987"/>
    </row>
    <row r="110" spans="1:8" ht="47.25" customHeight="1" thickBot="1" x14ac:dyDescent="0.3">
      <c r="A110" s="1821" t="str">
        <f>F!A288</f>
        <v>F56</v>
      </c>
      <c r="B110" s="1599" t="str">
        <f>F!B288</f>
        <v>Bare Ground &amp; Accumulated Plant Litter (Gcover)</v>
      </c>
      <c r="C110" s="4" t="str">
        <f>F!C288</f>
        <v>Consider the parts of the AA that go dry during a normal year. Viewed from 6 inches above the soil surface, the condition in most of that area just before the year's longest inundation period begins is:</v>
      </c>
      <c r="D110" s="210"/>
      <c r="E110" s="210"/>
      <c r="F110" s="241"/>
      <c r="G110" s="804">
        <f>IF((D115=1),"",MAX(F111:F114)/MAX(E111:E114))</f>
        <v>0</v>
      </c>
      <c r="H110" s="1599" t="s">
        <v>91</v>
      </c>
    </row>
    <row r="111" spans="1:8" ht="53.25" customHeight="1" x14ac:dyDescent="0.25">
      <c r="A111" s="1822"/>
      <c r="B111" s="1582"/>
      <c r="C111" s="215"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111" s="44">
        <f>F!D289</f>
        <v>0</v>
      </c>
      <c r="E111" s="49">
        <v>3</v>
      </c>
      <c r="F111" s="45">
        <f>D111*E111</f>
        <v>0</v>
      </c>
      <c r="G111" s="792"/>
      <c r="H111" s="1582"/>
    </row>
    <row r="112" spans="1:8" ht="27" customHeight="1" x14ac:dyDescent="0.25">
      <c r="A112" s="1822"/>
      <c r="B112" s="1582"/>
      <c r="C112" s="216" t="str">
        <f>F!C290</f>
        <v>Some (5-20%) bare ground or remaining thatch is visible.  Herbaceous plants have moderate stem densities and do not closely hug the ground.</v>
      </c>
      <c r="D112" s="44">
        <f>F!D290</f>
        <v>0</v>
      </c>
      <c r="E112" s="49">
        <v>2</v>
      </c>
      <c r="F112" s="45">
        <f>D112*E112</f>
        <v>0</v>
      </c>
      <c r="G112" s="793"/>
      <c r="H112" s="1582"/>
    </row>
    <row r="113" spans="1:8" ht="27" customHeight="1" x14ac:dyDescent="0.25">
      <c r="A113" s="1822"/>
      <c r="B113" s="1582"/>
      <c r="C113" s="216" t="str">
        <f>F!C291</f>
        <v>Much (20-50%) bare ground or thatch is visible.  Low stem density and/or tall plants with little living ground cover during early growing season.</v>
      </c>
      <c r="D113" s="44">
        <f>F!D291</f>
        <v>0</v>
      </c>
      <c r="E113" s="49">
        <v>1</v>
      </c>
      <c r="F113" s="45">
        <f>D113*E113</f>
        <v>0</v>
      </c>
      <c r="G113" s="793"/>
      <c r="H113" s="1582"/>
    </row>
    <row r="114" spans="1:8" ht="16.2" customHeight="1" x14ac:dyDescent="0.25">
      <c r="A114" s="1822"/>
      <c r="B114" s="1582"/>
      <c r="C114" s="216" t="str">
        <f>F!C292</f>
        <v>Mostly (&gt;50%) bare ground or thatch.</v>
      </c>
      <c r="D114" s="44">
        <f>F!D292</f>
        <v>0</v>
      </c>
      <c r="E114" s="49">
        <v>1</v>
      </c>
      <c r="F114" s="45">
        <f>D114*E114</f>
        <v>0</v>
      </c>
      <c r="G114" s="800"/>
      <c r="H114" s="1582"/>
    </row>
    <row r="115" spans="1:8" ht="16.2" customHeight="1" thickBot="1" x14ac:dyDescent="0.3">
      <c r="A115" s="1825"/>
      <c r="B115" s="1600"/>
      <c r="C115" s="254" t="str">
        <f>F!C293</f>
        <v>Not applicable.  All of the AA is inundated throughout most years.</v>
      </c>
      <c r="D115" s="17">
        <f>F!D293</f>
        <v>0</v>
      </c>
      <c r="E115" s="245"/>
      <c r="F115" s="193"/>
      <c r="G115" s="909"/>
      <c r="H115" s="1600"/>
    </row>
    <row r="116" spans="1:8" ht="42" customHeight="1" thickBot="1" x14ac:dyDescent="0.3">
      <c r="A116" s="1805" t="str">
        <f>F!A294</f>
        <v>F57</v>
      </c>
      <c r="B116" s="1599" t="str">
        <f>F!B294</f>
        <v>Ground Irregularity (Girreg)</v>
      </c>
      <c r="C116" s="75" t="str">
        <f>F!C294</f>
        <v xml:space="preserve"> In parts of the AA that lack persistent water, the number of small pits, raised mounds, hummocks, boulders, upturned trees, animal burrows, islands, natural levees, wide soil cracks, and microdepressions is:</v>
      </c>
      <c r="D116" s="549"/>
      <c r="E116" s="210"/>
      <c r="F116" s="241"/>
      <c r="G116" s="801">
        <f>MAX(F117:F119)/MAX(E117:E119)</f>
        <v>0</v>
      </c>
      <c r="H116" s="1582" t="s">
        <v>11</v>
      </c>
    </row>
    <row r="117" spans="1:8" ht="27" customHeight="1" x14ac:dyDescent="0.25">
      <c r="A117" s="1805"/>
      <c r="B117" s="1582"/>
      <c r="C117" s="215" t="str">
        <f>F!C295</f>
        <v>Few or none, or the entire AA is always water-covered.  Minimal microtopography; &lt;1% of the AA, e.g., many flat sites having a single hydroperiod.</v>
      </c>
      <c r="D117" s="44">
        <f>F!D295</f>
        <v>0</v>
      </c>
      <c r="E117" s="49">
        <v>1</v>
      </c>
      <c r="F117" s="45">
        <f>D117*E117</f>
        <v>0</v>
      </c>
      <c r="G117" s="796"/>
      <c r="H117" s="1582"/>
    </row>
    <row r="118" spans="1:8" ht="16.2" customHeight="1" x14ac:dyDescent="0.25">
      <c r="A118" s="1805"/>
      <c r="B118" s="1582"/>
      <c r="C118" s="216" t="str">
        <f>F!C296</f>
        <v>Intermediate.</v>
      </c>
      <c r="D118" s="44">
        <f>F!D296</f>
        <v>0</v>
      </c>
      <c r="E118" s="49">
        <v>2</v>
      </c>
      <c r="F118" s="45">
        <f>D118*E118</f>
        <v>0</v>
      </c>
      <c r="G118" s="797"/>
      <c r="H118" s="1582"/>
    </row>
    <row r="119" spans="1:8" ht="16.2" customHeight="1" thickBot="1" x14ac:dyDescent="0.3">
      <c r="A119" s="1805"/>
      <c r="B119" s="1600"/>
      <c r="C119" s="254" t="str">
        <f>F!C297</f>
        <v>Several (extensive micro-topography).</v>
      </c>
      <c r="D119" s="17">
        <f>F!D297</f>
        <v>0</v>
      </c>
      <c r="E119" s="245">
        <v>3</v>
      </c>
      <c r="F119" s="193">
        <f>D119*E119</f>
        <v>0</v>
      </c>
      <c r="G119" s="798"/>
      <c r="H119" s="1582"/>
    </row>
    <row r="120" spans="1:8" ht="60" customHeight="1" thickBot="1" x14ac:dyDescent="0.3">
      <c r="A120" s="1204" t="str">
        <f>S!A3</f>
        <v>S1</v>
      </c>
      <c r="B120" s="4" t="str">
        <f>S!B3</f>
        <v>Aberrant Timing of Water Inputs (AltTiming)</v>
      </c>
      <c r="C120" s="919" t="s">
        <v>781</v>
      </c>
      <c r="D120" s="1205"/>
      <c r="E120" s="880"/>
      <c r="F120" s="1205"/>
      <c r="G120" s="830">
        <f xml:space="preserve"> 1-S!F18</f>
        <v>1</v>
      </c>
      <c r="H120" s="4" t="s">
        <v>1149</v>
      </c>
    </row>
    <row r="121" spans="1:8" ht="45" customHeight="1" thickBot="1" x14ac:dyDescent="0.3">
      <c r="A121" s="1206" t="str">
        <f>S!A33</f>
        <v>S3</v>
      </c>
      <c r="B121" s="712" t="str">
        <f>S!B33</f>
        <v>Accelerated Inputs of Contaminants and/or Salts (ContamIn).</v>
      </c>
      <c r="C121" s="965" t="s">
        <v>781</v>
      </c>
      <c r="D121" s="1207"/>
      <c r="E121" s="1208"/>
      <c r="F121" s="1207"/>
      <c r="G121" s="1209">
        <f>1-S!F50</f>
        <v>1</v>
      </c>
      <c r="H121" s="712" t="s">
        <v>245</v>
      </c>
    </row>
    <row r="122" spans="1:8" ht="60" customHeight="1" thickBot="1" x14ac:dyDescent="0.3">
      <c r="A122" s="1204" t="str">
        <f>S!A51</f>
        <v>S4</v>
      </c>
      <c r="B122" s="4" t="str">
        <f>S!B51</f>
        <v>Excessive Sediment Loading from Runoff Contributing Area (SedRCA).</v>
      </c>
      <c r="C122" s="1210" t="s">
        <v>781</v>
      </c>
      <c r="D122" s="1211"/>
      <c r="E122" s="880"/>
      <c r="F122" s="1205"/>
      <c r="G122" s="830">
        <f>1-S!F68</f>
        <v>1</v>
      </c>
      <c r="H122" s="4" t="s">
        <v>1145</v>
      </c>
    </row>
    <row r="123" spans="1:8" ht="60" customHeight="1" thickBot="1" x14ac:dyDescent="0.3">
      <c r="A123" s="1206" t="str">
        <f>S!A69</f>
        <v>S5</v>
      </c>
      <c r="B123" s="712" t="str">
        <f>S!B69</f>
        <v>Soil or Sediment Alteration Within the Assessment Area (SoilDisturb).</v>
      </c>
      <c r="C123" s="1088" t="s">
        <v>781</v>
      </c>
      <c r="D123" s="1211"/>
      <c r="E123" s="1208"/>
      <c r="F123" s="1207"/>
      <c r="G123" s="1212">
        <f>1-S!F86</f>
        <v>1</v>
      </c>
      <c r="H123" s="712" t="s">
        <v>846</v>
      </c>
    </row>
    <row r="124" spans="1:8" s="361" customFormat="1" ht="36" customHeight="1" thickBot="1" x14ac:dyDescent="0.3">
      <c r="A124" s="374" t="s">
        <v>126</v>
      </c>
      <c r="B124" s="374" t="s">
        <v>1468</v>
      </c>
      <c r="C124" s="921" t="s">
        <v>1271</v>
      </c>
      <c r="D124" s="1213" t="s">
        <v>115</v>
      </c>
      <c r="E124" s="374" t="s">
        <v>771</v>
      </c>
      <c r="F124" s="374" t="s">
        <v>1461</v>
      </c>
      <c r="G124" s="818" t="s">
        <v>770</v>
      </c>
      <c r="H124" s="374" t="s">
        <v>772</v>
      </c>
    </row>
    <row r="125" spans="1:8" ht="30" customHeight="1" thickBot="1" x14ac:dyDescent="0.3">
      <c r="A125" s="1922" t="str">
        <f>T!A15</f>
        <v>T3</v>
      </c>
      <c r="B125" s="1599" t="str">
        <f>T!B15</f>
        <v>Low Marsh (LowMarshT)</v>
      </c>
      <c r="C125" s="836" t="str">
        <f>T!C15</f>
        <v>The percent of the vegetated part of the AA that is "low marsh" (covered by tidal water for part of almost every day) is:</v>
      </c>
      <c r="D125" s="875"/>
      <c r="E125" s="208"/>
      <c r="F125" s="241"/>
      <c r="G125" s="857">
        <f>MAX(F126:F132)/MAX(E126:E132)</f>
        <v>0</v>
      </c>
      <c r="H125" s="1522" t="s">
        <v>853</v>
      </c>
    </row>
    <row r="126" spans="1:8" ht="16.2" customHeight="1" x14ac:dyDescent="0.25">
      <c r="A126" s="1923"/>
      <c r="B126" s="1894"/>
      <c r="C126" s="449" t="str">
        <f>T!C16</f>
        <v>None, or &lt;1%.</v>
      </c>
      <c r="D126" s="44">
        <f>T!D16</f>
        <v>0</v>
      </c>
      <c r="E126" s="865">
        <v>0</v>
      </c>
      <c r="F126" s="45">
        <f t="shared" ref="F126:F173" si="4">D126*E126</f>
        <v>0</v>
      </c>
      <c r="G126" s="792"/>
      <c r="H126" s="1583"/>
    </row>
    <row r="127" spans="1:8" ht="16.2" customHeight="1" x14ac:dyDescent="0.25">
      <c r="A127" s="1923"/>
      <c r="B127" s="1894"/>
      <c r="C127" s="450" t="str">
        <f>T!C17</f>
        <v>1 to &lt;10%.</v>
      </c>
      <c r="D127" s="44">
        <f>T!D17</f>
        <v>0</v>
      </c>
      <c r="E127" s="865">
        <v>1</v>
      </c>
      <c r="F127" s="45">
        <f t="shared" si="4"/>
        <v>0</v>
      </c>
      <c r="G127" s="793"/>
      <c r="H127" s="1583"/>
    </row>
    <row r="128" spans="1:8" ht="16.2" customHeight="1" x14ac:dyDescent="0.25">
      <c r="A128" s="1923"/>
      <c r="B128" s="1894"/>
      <c r="C128" s="450" t="str">
        <f>T!C18</f>
        <v>10 to &lt;25%.</v>
      </c>
      <c r="D128" s="44">
        <f>T!D18</f>
        <v>0</v>
      </c>
      <c r="E128" s="865">
        <v>2</v>
      </c>
      <c r="F128" s="45">
        <f t="shared" si="4"/>
        <v>0</v>
      </c>
      <c r="G128" s="793"/>
      <c r="H128" s="1583"/>
    </row>
    <row r="129" spans="1:8" ht="16.2" customHeight="1" x14ac:dyDescent="0.25">
      <c r="A129" s="1923"/>
      <c r="B129" s="1894"/>
      <c r="C129" s="450" t="str">
        <f>T!C19</f>
        <v>25 &lt;50%.</v>
      </c>
      <c r="D129" s="44">
        <f>T!D19</f>
        <v>0</v>
      </c>
      <c r="E129" s="865">
        <v>3</v>
      </c>
      <c r="F129" s="45">
        <f t="shared" si="4"/>
        <v>0</v>
      </c>
      <c r="G129" s="793"/>
      <c r="H129" s="1583"/>
    </row>
    <row r="130" spans="1:8" ht="16.2" customHeight="1" x14ac:dyDescent="0.25">
      <c r="A130" s="1923"/>
      <c r="B130" s="1894"/>
      <c r="C130" s="450" t="str">
        <f>T!C20</f>
        <v>50 to &lt;75%.</v>
      </c>
      <c r="D130" s="44">
        <f>T!D20</f>
        <v>0</v>
      </c>
      <c r="E130" s="865">
        <v>4</v>
      </c>
      <c r="F130" s="45">
        <f t="shared" si="4"/>
        <v>0</v>
      </c>
      <c r="G130" s="793"/>
      <c r="H130" s="1583"/>
    </row>
    <row r="131" spans="1:8" ht="16.2" customHeight="1" x14ac:dyDescent="0.25">
      <c r="A131" s="1923"/>
      <c r="B131" s="1894"/>
      <c r="C131" s="450" t="str">
        <f>T!C21</f>
        <v>75 to 90%.</v>
      </c>
      <c r="D131" s="44">
        <f>T!D21</f>
        <v>0</v>
      </c>
      <c r="E131" s="865">
        <v>3</v>
      </c>
      <c r="F131" s="45">
        <f t="shared" si="4"/>
        <v>0</v>
      </c>
      <c r="G131" s="793"/>
      <c r="H131" s="1583"/>
    </row>
    <row r="132" spans="1:8" ht="16.2" customHeight="1" thickBot="1" x14ac:dyDescent="0.3">
      <c r="A132" s="1924"/>
      <c r="B132" s="1895"/>
      <c r="C132" s="443" t="str">
        <f>T!C22</f>
        <v>&gt;90%.</v>
      </c>
      <c r="D132" s="17">
        <f>T!D22</f>
        <v>0</v>
      </c>
      <c r="E132" s="992">
        <v>2</v>
      </c>
      <c r="F132" s="193">
        <f t="shared" si="4"/>
        <v>0</v>
      </c>
      <c r="G132" s="976"/>
      <c r="H132" s="1584"/>
    </row>
    <row r="133" spans="1:8" ht="30" customHeight="1" thickBot="1" x14ac:dyDescent="0.3">
      <c r="A133" s="1922" t="str">
        <f>T!A51</f>
        <v>T9</v>
      </c>
      <c r="B133" s="1582" t="str">
        <f>T!B51</f>
        <v>Blind Channels - total length and branching (BlindChT)</v>
      </c>
      <c r="C133" s="438" t="str">
        <f>T!C51</f>
        <v>Within the intertidal part of the AA, the approximate density of tidal channels that remain wetted during low tide on most days of the year (i.e., MLLW) is:</v>
      </c>
      <c r="D133" s="875"/>
      <c r="E133" s="865"/>
      <c r="F133" s="60"/>
      <c r="G133" s="857">
        <f>MAX(F134:F138)/MAX(E134:E138)</f>
        <v>0</v>
      </c>
      <c r="H133" s="1521" t="s">
        <v>1146</v>
      </c>
    </row>
    <row r="134" spans="1:8" ht="16.2" customHeight="1" x14ac:dyDescent="0.25">
      <c r="A134" s="1923"/>
      <c r="B134" s="1894"/>
      <c r="C134" s="449" t="str">
        <f>T!C52</f>
        <v>&lt;100 linear ft per acre, or none, or all have been artificially straightened.</v>
      </c>
      <c r="D134" s="44">
        <f>T!D52</f>
        <v>0</v>
      </c>
      <c r="E134" s="848">
        <v>0</v>
      </c>
      <c r="F134" s="45">
        <f t="shared" si="4"/>
        <v>0</v>
      </c>
      <c r="G134" s="792"/>
      <c r="H134" s="1583"/>
    </row>
    <row r="135" spans="1:8" ht="16.2" customHeight="1" x14ac:dyDescent="0.25">
      <c r="A135" s="1923"/>
      <c r="B135" s="1894"/>
      <c r="C135" s="450" t="str">
        <f>T!C53</f>
        <v>100-1000 linear ft per acre, and most tidal channels are unbranched.</v>
      </c>
      <c r="D135" s="44">
        <f>T!D53</f>
        <v>0</v>
      </c>
      <c r="E135" s="848">
        <v>1</v>
      </c>
      <c r="F135" s="45">
        <f t="shared" si="4"/>
        <v>0</v>
      </c>
      <c r="G135" s="793"/>
      <c r="H135" s="1583"/>
    </row>
    <row r="136" spans="1:8" ht="16.2" customHeight="1" x14ac:dyDescent="0.25">
      <c r="A136" s="1923"/>
      <c r="B136" s="1894"/>
      <c r="C136" s="450" t="str">
        <f>T!C54</f>
        <v>100-1000 linear ft per acre, and most tidal channels are branched.</v>
      </c>
      <c r="D136" s="44">
        <f>T!D54</f>
        <v>0</v>
      </c>
      <c r="E136" s="848">
        <v>2</v>
      </c>
      <c r="F136" s="45">
        <f t="shared" si="4"/>
        <v>0</v>
      </c>
      <c r="G136" s="793"/>
      <c r="H136" s="1583"/>
    </row>
    <row r="137" spans="1:8" ht="16.2" customHeight="1" x14ac:dyDescent="0.25">
      <c r="A137" s="1923"/>
      <c r="B137" s="1894"/>
      <c r="C137" s="450" t="str">
        <f>T!C55</f>
        <v>&gt;1000 linear ft per acre and most tidal channels are unbranched.</v>
      </c>
      <c r="D137" s="44">
        <f>T!D55</f>
        <v>0</v>
      </c>
      <c r="E137" s="848">
        <v>3</v>
      </c>
      <c r="F137" s="45">
        <f t="shared" si="4"/>
        <v>0</v>
      </c>
      <c r="G137" s="793"/>
      <c r="H137" s="1583"/>
    </row>
    <row r="138" spans="1:8" ht="16.2" customHeight="1" thickBot="1" x14ac:dyDescent="0.3">
      <c r="A138" s="1924"/>
      <c r="B138" s="1894"/>
      <c r="C138" s="286" t="str">
        <f>T!C56</f>
        <v>&gt;1000 linear ft per acre and most tidal channels are branched.</v>
      </c>
      <c r="D138" s="17">
        <f>T!D56</f>
        <v>0</v>
      </c>
      <c r="E138" s="868">
        <v>4</v>
      </c>
      <c r="F138" s="54">
        <f t="shared" si="4"/>
        <v>0</v>
      </c>
      <c r="G138" s="800"/>
      <c r="H138" s="1583"/>
    </row>
    <row r="139" spans="1:8" ht="18.75" customHeight="1" thickBot="1" x14ac:dyDescent="0.3">
      <c r="A139" s="1922" t="str">
        <f>T!A57</f>
        <v>T10</v>
      </c>
      <c r="B139" s="1599" t="str">
        <f>T!B57</f>
        <v>Tidal-Nontidal Hydro- connectivity (TnonT)</v>
      </c>
      <c r="C139" s="836" t="str">
        <f>T!C57</f>
        <v>This tidal wetland is : Select first one that applies.</v>
      </c>
      <c r="D139" s="875"/>
      <c r="E139" s="208"/>
      <c r="F139" s="241"/>
      <c r="G139" s="857">
        <f>MAX(F140:F145)/MAX(E140:E145)</f>
        <v>0</v>
      </c>
      <c r="H139" s="1522" t="s">
        <v>395</v>
      </c>
    </row>
    <row r="140" spans="1:8" ht="40.5" customHeight="1" x14ac:dyDescent="0.25">
      <c r="A140" s="1923"/>
      <c r="B140" s="1894"/>
      <c r="C140" s="449" t="str">
        <f>T!C58</f>
        <v xml:space="preserve">Adjacent to a nontidal palustrine wetland that contains surface water at least seasonally. Anadromous fish can access both wetlands during spring. Mostly not separated by a dike or other barrier.  </v>
      </c>
      <c r="D140" s="44">
        <f>T!D58</f>
        <v>0</v>
      </c>
      <c r="E140" s="848">
        <v>4</v>
      </c>
      <c r="F140" s="45">
        <f t="shared" si="4"/>
        <v>0</v>
      </c>
      <c r="G140" s="1044"/>
      <c r="H140" s="1894"/>
    </row>
    <row r="141" spans="1:8" ht="37.5" customHeight="1" x14ac:dyDescent="0.25">
      <c r="A141" s="1923"/>
      <c r="B141" s="1894"/>
      <c r="C141" s="450" t="str">
        <f>T!C59</f>
        <v>Adjacent to a nontidal palustrine wetland that contains surface water at least seasonally. Anadromous fish can access both wetlands during spring.  Mostly separated by a dike, road, or other partial barrier.</v>
      </c>
      <c r="D141" s="44">
        <f>T!D59</f>
        <v>0</v>
      </c>
      <c r="E141" s="848">
        <v>3</v>
      </c>
      <c r="F141" s="45">
        <f t="shared" si="4"/>
        <v>0</v>
      </c>
      <c r="G141" s="793"/>
      <c r="H141" s="1894"/>
    </row>
    <row r="142" spans="1:8" ht="27" customHeight="1" x14ac:dyDescent="0.25">
      <c r="A142" s="1923"/>
      <c r="B142" s="1894"/>
      <c r="C142" s="450" t="str">
        <f>T!C60</f>
        <v xml:space="preserve">Adjacent to a nontidal palustrine wetland that contains surface water at least seasonally. Anadromous fish cannot access both wetlands during spring.  </v>
      </c>
      <c r="D142" s="44">
        <f>T!D60</f>
        <v>0</v>
      </c>
      <c r="E142" s="848">
        <v>2</v>
      </c>
      <c r="F142" s="45">
        <f t="shared" si="4"/>
        <v>0</v>
      </c>
      <c r="G142" s="793"/>
      <c r="H142" s="1894"/>
    </row>
    <row r="143" spans="1:8" ht="30" customHeight="1" x14ac:dyDescent="0.25">
      <c r="A143" s="1923"/>
      <c r="B143" s="1894"/>
      <c r="C143" s="450" t="str">
        <f>T!C61</f>
        <v>Not adjacent to a nontidal palustrine wetland that contains surface water.  Has a freshwater tributary that allows fish passage during the springtime to a nontidal wetland &lt; 1 mile upstream.</v>
      </c>
      <c r="D143" s="44">
        <f>T!D61</f>
        <v>0</v>
      </c>
      <c r="E143" s="848">
        <v>2</v>
      </c>
      <c r="F143" s="45">
        <f t="shared" si="4"/>
        <v>0</v>
      </c>
      <c r="G143" s="793"/>
      <c r="H143" s="1894"/>
    </row>
    <row r="144" spans="1:8" ht="27" customHeight="1" x14ac:dyDescent="0.25">
      <c r="A144" s="1923"/>
      <c r="B144" s="1894"/>
      <c r="C144" s="450" t="str">
        <f>T!C62</f>
        <v>Not adjacent to a nontidal palustrine wetland that contains surface water.  Has a freshwater tributary that allows fish passage during the springtime to a nontidal wetland &gt; 1 mile upstream.</v>
      </c>
      <c r="D144" s="44">
        <f>T!D62</f>
        <v>0</v>
      </c>
      <c r="E144" s="848">
        <v>1</v>
      </c>
      <c r="F144" s="45">
        <f t="shared" si="4"/>
        <v>0</v>
      </c>
      <c r="G144" s="793"/>
      <c r="H144" s="1894"/>
    </row>
    <row r="145" spans="1:8" ht="41.25" customHeight="1" thickBot="1" x14ac:dyDescent="0.3">
      <c r="A145" s="1924"/>
      <c r="B145" s="1895"/>
      <c r="C145" s="443" t="str">
        <f>T!C63</f>
        <v>Not adjacent to a nontidal palustrine wetland that contains surface water.  Lacks a freshwater tributary that provides fish access to an upstream wetland  that contains surface water at least seasonally.</v>
      </c>
      <c r="D145" s="198">
        <f>T!D63</f>
        <v>0</v>
      </c>
      <c r="E145" s="470">
        <v>0</v>
      </c>
      <c r="F145" s="193">
        <f t="shared" si="4"/>
        <v>0</v>
      </c>
      <c r="G145" s="794"/>
      <c r="H145" s="1895"/>
    </row>
    <row r="146" spans="1:8" ht="21" customHeight="1" thickBot="1" x14ac:dyDescent="0.3">
      <c r="A146" s="1922" t="str">
        <f>T!A78</f>
        <v>T14</v>
      </c>
      <c r="B146" s="1582" t="str">
        <f>T!B78</f>
        <v>Waterborne Pests (AqPestT)</v>
      </c>
      <c r="C146" s="438" t="str">
        <f>T!C78</f>
        <v>Select only the first statement that is true:</v>
      </c>
      <c r="D146" s="875"/>
      <c r="E146" s="865"/>
      <c r="F146" s="60"/>
      <c r="G146" s="857">
        <f>1-(MAX(F147:F151)/MAX(E147:E151))</f>
        <v>1</v>
      </c>
      <c r="H146" s="1521" t="s">
        <v>396</v>
      </c>
    </row>
    <row r="147" spans="1:8" ht="27" customHeight="1" x14ac:dyDescent="0.25">
      <c r="A147" s="1923"/>
      <c r="B147" s="1582"/>
      <c r="C147" s="449" t="str">
        <f>T!C79</f>
        <v>Non-native invertebrates (e.g., New Zealand mudsnail, mitten crab, rusty crayfish, oyster drill) are known to be present in the AA or in connected waters within 300 ft.</v>
      </c>
      <c r="D147" s="44">
        <f>T!D79</f>
        <v>0</v>
      </c>
      <c r="E147" s="848">
        <v>5</v>
      </c>
      <c r="F147" s="45">
        <f t="shared" si="4"/>
        <v>0</v>
      </c>
      <c r="G147" s="792"/>
      <c r="H147" s="1521"/>
    </row>
    <row r="148" spans="1:8" ht="16.2" customHeight="1" x14ac:dyDescent="0.25">
      <c r="A148" s="1923"/>
      <c r="B148" s="1582"/>
      <c r="C148" s="450" t="str">
        <f>T!C80</f>
        <v>A regularly-used boat dock is present within or contiguous to the AA.</v>
      </c>
      <c r="D148" s="44">
        <f>T!D80</f>
        <v>0</v>
      </c>
      <c r="E148" s="848">
        <v>3</v>
      </c>
      <c r="F148" s="45">
        <f t="shared" si="4"/>
        <v>0</v>
      </c>
      <c r="G148" s="793"/>
      <c r="H148" s="1521"/>
    </row>
    <row r="149" spans="1:8" ht="27" customHeight="1" x14ac:dyDescent="0.25">
      <c r="A149" s="1923"/>
      <c r="B149" s="1582"/>
      <c r="C149" s="450" t="str">
        <f>T!C81</f>
        <v>A regularly-used boat dock is not within the AA, but there is one within 300 ft of the AA and there is a persistent or tidal surface connection between the dock and the AA.</v>
      </c>
      <c r="D149" s="44">
        <f>T!D81</f>
        <v>0</v>
      </c>
      <c r="E149" s="848">
        <v>2</v>
      </c>
      <c r="F149" s="45">
        <f t="shared" si="4"/>
        <v>0</v>
      </c>
      <c r="G149" s="793"/>
      <c r="H149" s="1521"/>
    </row>
    <row r="150" spans="1:8" ht="16.2" customHeight="1" x14ac:dyDescent="0.25">
      <c r="A150" s="1923"/>
      <c r="B150" s="1582"/>
      <c r="C150" s="450" t="str">
        <f>T!C82</f>
        <v>Large ships that empty ballast water are regularly present in nearby contiguous waters.</v>
      </c>
      <c r="D150" s="44">
        <f>T!D82</f>
        <v>0</v>
      </c>
      <c r="E150" s="848">
        <v>1</v>
      </c>
      <c r="F150" s="45">
        <f t="shared" si="4"/>
        <v>0</v>
      </c>
      <c r="G150" s="793"/>
      <c r="H150" s="1521"/>
    </row>
    <row r="151" spans="1:8" ht="16.2" customHeight="1" thickBot="1" x14ac:dyDescent="0.3">
      <c r="A151" s="1924"/>
      <c r="B151" s="1582"/>
      <c r="C151" s="286" t="str">
        <f>T!C83</f>
        <v>None of the above.</v>
      </c>
      <c r="D151" s="17">
        <f>T!D83</f>
        <v>0</v>
      </c>
      <c r="E151" s="868">
        <v>0</v>
      </c>
      <c r="F151" s="54">
        <f t="shared" si="4"/>
        <v>0</v>
      </c>
      <c r="G151" s="800"/>
      <c r="H151" s="1521"/>
    </row>
    <row r="152" spans="1:8" ht="30" customHeight="1" thickBot="1" x14ac:dyDescent="0.3">
      <c r="A152" s="1922" t="str">
        <f>T!A90</f>
        <v>T16</v>
      </c>
      <c r="B152" s="1599" t="str">
        <f>T!B90</f>
        <v>Overhanging Vegetation at Low Tide (ShadeLoT)</v>
      </c>
      <c r="C152" s="836" t="str">
        <f>T!C90</f>
        <v>At average daily low tide, the percentage of the AA's water surface that is overhung by vegetation within the AA is:</v>
      </c>
      <c r="D152" s="875"/>
      <c r="E152" s="208"/>
      <c r="F152" s="241"/>
      <c r="G152" s="857">
        <f>MAX(F153:F157)/MAX(E153:E157)</f>
        <v>0</v>
      </c>
      <c r="H152" s="1522" t="s">
        <v>397</v>
      </c>
    </row>
    <row r="153" spans="1:8" ht="16.2" customHeight="1" x14ac:dyDescent="0.25">
      <c r="A153" s="1923"/>
      <c r="B153" s="1582"/>
      <c r="C153" s="449" t="str">
        <f>T!C91</f>
        <v>&lt;5%, or no water remains in the AA at low tide.</v>
      </c>
      <c r="D153" s="44">
        <f>T!D91</f>
        <v>0</v>
      </c>
      <c r="E153" s="848">
        <v>0</v>
      </c>
      <c r="F153" s="45">
        <f t="shared" si="4"/>
        <v>0</v>
      </c>
      <c r="G153" s="792"/>
      <c r="H153" s="1521"/>
    </row>
    <row r="154" spans="1:8" ht="16.2" customHeight="1" x14ac:dyDescent="0.25">
      <c r="A154" s="1923"/>
      <c r="B154" s="1582"/>
      <c r="C154" s="450" t="str">
        <f>T!C92</f>
        <v>5 to &lt;25%.</v>
      </c>
      <c r="D154" s="44">
        <f>T!D92</f>
        <v>0</v>
      </c>
      <c r="E154" s="848">
        <v>1</v>
      </c>
      <c r="F154" s="45">
        <f t="shared" si="4"/>
        <v>0</v>
      </c>
      <c r="G154" s="793"/>
      <c r="H154" s="1521"/>
    </row>
    <row r="155" spans="1:8" ht="16.2" customHeight="1" x14ac:dyDescent="0.25">
      <c r="A155" s="1923"/>
      <c r="B155" s="1582"/>
      <c r="C155" s="450" t="str">
        <f>T!C93</f>
        <v>25 to &lt;50%.</v>
      </c>
      <c r="D155" s="44">
        <f>T!D93</f>
        <v>0</v>
      </c>
      <c r="E155" s="848">
        <v>2</v>
      </c>
      <c r="F155" s="45">
        <f t="shared" si="4"/>
        <v>0</v>
      </c>
      <c r="G155" s="793"/>
      <c r="H155" s="1521"/>
    </row>
    <row r="156" spans="1:8" ht="16.2" customHeight="1" x14ac:dyDescent="0.25">
      <c r="A156" s="1923"/>
      <c r="B156" s="1582"/>
      <c r="C156" s="450" t="str">
        <f>T!C94</f>
        <v>50 to 95%.</v>
      </c>
      <c r="D156" s="44">
        <f>T!D94</f>
        <v>0</v>
      </c>
      <c r="E156" s="848">
        <v>3</v>
      </c>
      <c r="F156" s="45">
        <f t="shared" si="4"/>
        <v>0</v>
      </c>
      <c r="G156" s="793"/>
      <c r="H156" s="1521"/>
    </row>
    <row r="157" spans="1:8" ht="16.2" customHeight="1" thickBot="1" x14ac:dyDescent="0.3">
      <c r="A157" s="1924"/>
      <c r="B157" s="1600"/>
      <c r="C157" s="443" t="str">
        <f>T!C95</f>
        <v>&gt;95%.</v>
      </c>
      <c r="D157" s="17">
        <f>T!D95</f>
        <v>0</v>
      </c>
      <c r="E157" s="470">
        <v>4</v>
      </c>
      <c r="F157" s="193">
        <f t="shared" si="4"/>
        <v>0</v>
      </c>
      <c r="G157" s="794"/>
      <c r="H157" s="1523"/>
    </row>
    <row r="158" spans="1:8" ht="30" customHeight="1" thickBot="1" x14ac:dyDescent="0.3">
      <c r="A158" s="1922" t="str">
        <f>T!A108</f>
        <v>T19</v>
      </c>
      <c r="B158" s="1582" t="str">
        <f>T!B108</f>
        <v>Vegetation Form Diversity (VegFormDivT)</v>
      </c>
      <c r="C158" s="438" t="str">
        <f>T!C108</f>
        <v>From the above list, the number of macrophyte groups that comprise &gt;5% of the vegetated area in the specified zone during late summer is:</v>
      </c>
      <c r="D158" s="875"/>
      <c r="E158" s="865"/>
      <c r="F158" s="60"/>
      <c r="G158" s="857">
        <f>MAX(F159:F161)/MAX(E159:E161)</f>
        <v>0</v>
      </c>
      <c r="H158" s="1521" t="s">
        <v>398</v>
      </c>
    </row>
    <row r="159" spans="1:8" ht="16.2" customHeight="1" x14ac:dyDescent="0.25">
      <c r="A159" s="1923"/>
      <c r="B159" s="1582"/>
      <c r="C159" s="449" t="str">
        <f>T!C109</f>
        <v>one.</v>
      </c>
      <c r="D159" s="44">
        <f>T!D109</f>
        <v>0</v>
      </c>
      <c r="E159" s="848">
        <v>0</v>
      </c>
      <c r="F159" s="45">
        <f t="shared" si="4"/>
        <v>0</v>
      </c>
      <c r="G159" s="792"/>
      <c r="H159" s="1521"/>
    </row>
    <row r="160" spans="1:8" ht="16.2" customHeight="1" x14ac:dyDescent="0.25">
      <c r="A160" s="1923"/>
      <c r="B160" s="1582"/>
      <c r="C160" s="450" t="str">
        <f>T!C110</f>
        <v>2 or 3.</v>
      </c>
      <c r="D160" s="44">
        <f>T!D110</f>
        <v>0</v>
      </c>
      <c r="E160" s="848">
        <v>1</v>
      </c>
      <c r="F160" s="45">
        <f t="shared" si="4"/>
        <v>0</v>
      </c>
      <c r="G160" s="793"/>
      <c r="H160" s="1521"/>
    </row>
    <row r="161" spans="1:8" ht="16.2" customHeight="1" thickBot="1" x14ac:dyDescent="0.3">
      <c r="A161" s="1924"/>
      <c r="B161" s="1582"/>
      <c r="C161" s="286" t="str">
        <f>T!C111</f>
        <v>&gt;3.</v>
      </c>
      <c r="D161" s="198">
        <f>T!D111</f>
        <v>0</v>
      </c>
      <c r="E161" s="868">
        <v>2</v>
      </c>
      <c r="F161" s="54">
        <f t="shared" si="4"/>
        <v>0</v>
      </c>
      <c r="G161" s="800"/>
      <c r="H161" s="1521"/>
    </row>
    <row r="162" spans="1:8" ht="30" customHeight="1" thickBot="1" x14ac:dyDescent="0.3">
      <c r="A162" s="1922" t="str">
        <f>T!A112</f>
        <v>T20</v>
      </c>
      <c r="B162" s="1599" t="str">
        <f>T!B112</f>
        <v>Species Dominance (VegSpDomT)</v>
      </c>
      <c r="C162" s="836" t="str">
        <f>T!C112</f>
        <v>Within the form identified as the predominant macrophyte, the 2 most common native species together comprise:</v>
      </c>
      <c r="D162" s="875"/>
      <c r="E162" s="208"/>
      <c r="F162" s="241"/>
      <c r="G162" s="857">
        <f>MAX(F163:F167)/MAX(E163:E167)</f>
        <v>0</v>
      </c>
      <c r="H162" s="1522" t="s">
        <v>399</v>
      </c>
    </row>
    <row r="163" spans="1:8" ht="16.2" customHeight="1" x14ac:dyDescent="0.25">
      <c r="A163" s="1923"/>
      <c r="B163" s="1582"/>
      <c r="C163" s="449" t="str">
        <f>T!C113</f>
        <v>&lt;20% of the AA's vegetated area (most species-rich, no dominants or co-dominants).</v>
      </c>
      <c r="D163" s="44">
        <f>T!D113</f>
        <v>0</v>
      </c>
      <c r="E163" s="848">
        <v>5</v>
      </c>
      <c r="F163" s="45">
        <f t="shared" si="4"/>
        <v>0</v>
      </c>
      <c r="G163" s="792"/>
      <c r="H163" s="1521"/>
    </row>
    <row r="164" spans="1:8" ht="16.2" customHeight="1" x14ac:dyDescent="0.25">
      <c r="A164" s="1923"/>
      <c r="B164" s="1582"/>
      <c r="C164" s="450" t="str">
        <f>T!C114</f>
        <v>20 to &lt;40% of the AA's vegetated area.</v>
      </c>
      <c r="D164" s="44">
        <f>T!D114</f>
        <v>0</v>
      </c>
      <c r="E164" s="848">
        <v>4</v>
      </c>
      <c r="F164" s="45">
        <f t="shared" si="4"/>
        <v>0</v>
      </c>
      <c r="G164" s="793"/>
      <c r="H164" s="1521"/>
    </row>
    <row r="165" spans="1:8" ht="16.2" customHeight="1" x14ac:dyDescent="0.25">
      <c r="A165" s="1923"/>
      <c r="B165" s="1582"/>
      <c r="C165" s="450" t="str">
        <f>T!C115</f>
        <v>40 to &lt;60% of the AA's vegetated area.</v>
      </c>
      <c r="D165" s="44">
        <f>T!D115</f>
        <v>0</v>
      </c>
      <c r="E165" s="848">
        <v>3</v>
      </c>
      <c r="F165" s="45">
        <f t="shared" si="4"/>
        <v>0</v>
      </c>
      <c r="G165" s="793"/>
      <c r="H165" s="1521"/>
    </row>
    <row r="166" spans="1:8" ht="16.2" customHeight="1" x14ac:dyDescent="0.25">
      <c r="A166" s="1923"/>
      <c r="B166" s="1582"/>
      <c r="C166" s="450" t="str">
        <f>T!C116</f>
        <v>60 to 80% of the AA's vegetated area.</v>
      </c>
      <c r="D166" s="44">
        <f>T!D116</f>
        <v>0</v>
      </c>
      <c r="E166" s="848">
        <v>2</v>
      </c>
      <c r="F166" s="45">
        <f t="shared" si="4"/>
        <v>0</v>
      </c>
      <c r="G166" s="793"/>
      <c r="H166" s="1521"/>
    </row>
    <row r="167" spans="1:8" ht="16.2" customHeight="1" thickBot="1" x14ac:dyDescent="0.3">
      <c r="A167" s="1924"/>
      <c r="B167" s="1600"/>
      <c r="C167" s="443" t="str">
        <f>T!C117</f>
        <v>&gt;80% of the AA's vegetated area (monotypic or nearly so).</v>
      </c>
      <c r="D167" s="17">
        <f>T!D117</f>
        <v>0</v>
      </c>
      <c r="E167" s="470">
        <v>1</v>
      </c>
      <c r="F167" s="193">
        <f t="shared" si="4"/>
        <v>0</v>
      </c>
      <c r="G167" s="794"/>
      <c r="H167" s="1523"/>
    </row>
    <row r="168" spans="1:8" ht="21" customHeight="1" thickBot="1" x14ac:dyDescent="0.3">
      <c r="A168" s="1922" t="str">
        <f>T!A140</f>
        <v>T25</v>
      </c>
      <c r="B168" s="1599" t="str">
        <f>T!B140</f>
        <v>Driftwood (DriftwoodT)</v>
      </c>
      <c r="C168" s="836" t="str">
        <f>T!C140</f>
        <v>The extent of driftwood on the land surface is:</v>
      </c>
      <c r="D168" s="875"/>
      <c r="E168" s="208"/>
      <c r="F168" s="241"/>
      <c r="G168" s="857">
        <f>MAX(F169:F171)/MAX(E169:E171)</f>
        <v>0</v>
      </c>
      <c r="H168" s="1522" t="s">
        <v>888</v>
      </c>
    </row>
    <row r="169" spans="1:8" ht="16.2" customHeight="1" x14ac:dyDescent="0.25">
      <c r="A169" s="1923"/>
      <c r="B169" s="1582"/>
      <c r="C169" s="449" t="str">
        <f>T!C141</f>
        <v>None or little.</v>
      </c>
      <c r="D169" s="44">
        <f>T!D141</f>
        <v>0</v>
      </c>
      <c r="E169" s="848">
        <v>0</v>
      </c>
      <c r="F169" s="45">
        <f t="shared" si="4"/>
        <v>0</v>
      </c>
      <c r="G169" s="792"/>
      <c r="H169" s="1521"/>
    </row>
    <row r="170" spans="1:8" ht="16.2" customHeight="1" x14ac:dyDescent="0.25">
      <c r="A170" s="1923"/>
      <c r="B170" s="1582"/>
      <c r="C170" s="450" t="str">
        <f>T!C142</f>
        <v>Intermediate (~ 1 piece/200 ft. of shoreline, or &gt;1,000 square feet).</v>
      </c>
      <c r="D170" s="44">
        <f>T!D142</f>
        <v>0</v>
      </c>
      <c r="E170" s="848">
        <v>1</v>
      </c>
      <c r="F170" s="45">
        <f t="shared" si="4"/>
        <v>0</v>
      </c>
      <c r="G170" s="793"/>
      <c r="H170" s="1521"/>
    </row>
    <row r="171" spans="1:8" ht="16.2" customHeight="1" thickBot="1" x14ac:dyDescent="0.3">
      <c r="A171" s="1924"/>
      <c r="B171" s="1600"/>
      <c r="C171" s="443" t="str">
        <f>T!C143</f>
        <v>High (&gt;1 piece/100 ft. of shoreline, or &gt;1,000 square feet ).</v>
      </c>
      <c r="D171" s="198">
        <f>T!D143</f>
        <v>0</v>
      </c>
      <c r="E171" s="470">
        <v>2</v>
      </c>
      <c r="F171" s="193">
        <f t="shared" si="4"/>
        <v>0</v>
      </c>
      <c r="G171" s="794"/>
      <c r="H171" s="1523"/>
    </row>
    <row r="172" spans="1:8" ht="60" customHeight="1" thickBot="1" x14ac:dyDescent="0.3">
      <c r="A172" s="1922" t="str">
        <f>T!A144</f>
        <v>T26</v>
      </c>
      <c r="B172" s="1582" t="str">
        <f>T!B144</f>
        <v>Large Woody Debris (LwdT)</v>
      </c>
      <c r="C172" s="114" t="str">
        <f>T!C144</f>
        <v>Within the part of the AA and its internal channels that remain underwater during daily low tide, the extent of fish cover provided at that time by partly submerged vegetation, inchannel pools,  incised banks, and pieces of wood (thicker than 6 inches and longer than 4 feet, or smaller pieces in dense accumulations) is:</v>
      </c>
      <c r="D172" s="865"/>
      <c r="E172" s="865"/>
      <c r="F172" s="60"/>
      <c r="G172" s="857">
        <f>MAX(F173:F175)/MAX(E173:E175)</f>
        <v>0</v>
      </c>
      <c r="H172" s="1521" t="s">
        <v>400</v>
      </c>
    </row>
    <row r="173" spans="1:8" ht="16.2" customHeight="1" x14ac:dyDescent="0.25">
      <c r="A173" s="1923"/>
      <c r="B173" s="1582"/>
      <c r="C173" s="449" t="str">
        <f>T!C145</f>
        <v>None or few.</v>
      </c>
      <c r="D173" s="44">
        <f>T!D145</f>
        <v>0</v>
      </c>
      <c r="E173" s="848">
        <v>0</v>
      </c>
      <c r="F173" s="45">
        <f t="shared" si="4"/>
        <v>0</v>
      </c>
      <c r="G173" s="792"/>
      <c r="H173" s="1521"/>
    </row>
    <row r="174" spans="1:8" ht="16.2" customHeight="1" x14ac:dyDescent="0.25">
      <c r="A174" s="1923"/>
      <c r="B174" s="1582"/>
      <c r="C174" s="450" t="str">
        <f>T!C146</f>
        <v>Intermediate.</v>
      </c>
      <c r="D174" s="44">
        <f>T!D146</f>
        <v>0</v>
      </c>
      <c r="E174" s="848">
        <v>1</v>
      </c>
      <c r="F174" s="45">
        <f t="shared" ref="F174:F186" si="5">D174*E174</f>
        <v>0</v>
      </c>
      <c r="G174" s="793"/>
      <c r="H174" s="1521"/>
    </row>
    <row r="175" spans="1:8" ht="16.2" customHeight="1" thickBot="1" x14ac:dyDescent="0.3">
      <c r="A175" s="1924"/>
      <c r="B175" s="1582"/>
      <c r="C175" s="286" t="str">
        <f>T!C147</f>
        <v>Many (&gt;1 piece per 5 acres or per 10 channel widths).</v>
      </c>
      <c r="D175" s="17">
        <f>T!D147</f>
        <v>0</v>
      </c>
      <c r="E175" s="868">
        <v>2</v>
      </c>
      <c r="F175" s="54">
        <f t="shared" si="5"/>
        <v>0</v>
      </c>
      <c r="G175" s="800"/>
      <c r="H175" s="1521"/>
    </row>
    <row r="176" spans="1:8" ht="21" customHeight="1" thickBot="1" x14ac:dyDescent="0.3">
      <c r="A176" s="1922" t="str">
        <f>T!A180</f>
        <v>T32</v>
      </c>
      <c r="B176" s="1599" t="str">
        <f>T!B180</f>
        <v>Bare Ground &amp; Accumulated Plant Litter (GcoverT)</v>
      </c>
      <c r="C176" s="114" t="str">
        <f>T!C180</f>
        <v>Viewed from 6 inches above the soil surface, the condition in most of the tidal wetland is:</v>
      </c>
      <c r="D176" s="208"/>
      <c r="E176" s="208"/>
      <c r="F176" s="241"/>
      <c r="G176" s="857">
        <f>IF((D181=1),"",MAX(F177:F180)/MAX(E177:E180))</f>
        <v>0</v>
      </c>
      <c r="H176" s="1522" t="s">
        <v>91</v>
      </c>
    </row>
    <row r="177" spans="1:9" ht="52.5" customHeight="1" x14ac:dyDescent="0.25">
      <c r="A177" s="1923"/>
      <c r="B177" s="1582"/>
      <c r="C177" s="449"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177" s="44">
        <f>T!D181</f>
        <v>0</v>
      </c>
      <c r="E177" s="848">
        <v>4</v>
      </c>
      <c r="F177" s="45">
        <f t="shared" si="5"/>
        <v>0</v>
      </c>
      <c r="G177" s="792"/>
      <c r="H177" s="1521"/>
    </row>
    <row r="178" spans="1:9" ht="27" customHeight="1" x14ac:dyDescent="0.25">
      <c r="A178" s="1923"/>
      <c r="B178" s="1582"/>
      <c r="C178" s="450" t="str">
        <f>T!C182</f>
        <v>Some (5-20%) bare ground or remaining thatch is visible.  Herbaceous plants have moderate stem densities and do not closely hug the ground.</v>
      </c>
      <c r="D178" s="44">
        <f>T!D182</f>
        <v>0</v>
      </c>
      <c r="E178" s="848">
        <v>3</v>
      </c>
      <c r="F178" s="45">
        <f t="shared" si="5"/>
        <v>0</v>
      </c>
      <c r="G178" s="793"/>
      <c r="H178" s="1521"/>
    </row>
    <row r="179" spans="1:9" ht="27" customHeight="1" x14ac:dyDescent="0.25">
      <c r="A179" s="1923"/>
      <c r="B179" s="1582"/>
      <c r="C179" s="450" t="str">
        <f>T!C183</f>
        <v>Much (20-50%) bare ground or thatch is visible.  Low stem density and/or tall plants with little living ground cover during early growing season.</v>
      </c>
      <c r="D179" s="44">
        <f>T!D183</f>
        <v>0</v>
      </c>
      <c r="E179" s="848">
        <v>2</v>
      </c>
      <c r="F179" s="45">
        <f t="shared" si="5"/>
        <v>0</v>
      </c>
      <c r="G179" s="793"/>
      <c r="H179" s="1521"/>
    </row>
    <row r="180" spans="1:9" ht="16.2" customHeight="1" x14ac:dyDescent="0.25">
      <c r="A180" s="1923"/>
      <c r="B180" s="1582"/>
      <c r="C180" s="450" t="str">
        <f>T!C184</f>
        <v>Mostly (&gt;50%) bare ground or thatch.</v>
      </c>
      <c r="D180" s="44">
        <f>T!D184</f>
        <v>0</v>
      </c>
      <c r="E180" s="848">
        <v>1</v>
      </c>
      <c r="F180" s="45">
        <f t="shared" si="5"/>
        <v>0</v>
      </c>
      <c r="G180" s="793"/>
      <c r="H180" s="1521"/>
    </row>
    <row r="181" spans="1:9" ht="16.2" customHeight="1" thickBot="1" x14ac:dyDescent="0.3">
      <c r="A181" s="1924"/>
      <c r="B181" s="1600"/>
      <c r="C181" s="443" t="str">
        <f>T!C185</f>
        <v>Not applicable.  Nearly all of the AA remains inundated even at daily low tide.</v>
      </c>
      <c r="D181" s="198">
        <f>T!D185</f>
        <v>0</v>
      </c>
      <c r="E181" s="470"/>
      <c r="F181" s="193"/>
      <c r="G181" s="794"/>
      <c r="H181" s="1523"/>
    </row>
    <row r="182" spans="1:9" ht="30" customHeight="1" thickBot="1" x14ac:dyDescent="0.3">
      <c r="A182" s="1922" t="str">
        <f>T!A190</f>
        <v>T34</v>
      </c>
      <c r="B182" s="1582" t="str">
        <f>T!B190</f>
        <v>Soil Composition (SoilTexT)</v>
      </c>
      <c r="C182" s="438" t="str">
        <f>T!C190</f>
        <v>Based on at least three pits you dig at points about equidistant across the AA, the composition of  the surface layer of the soil (2" depth) (but excluding the duff layer) is mostly:</v>
      </c>
      <c r="D182" s="875"/>
      <c r="E182" s="865"/>
      <c r="F182" s="60"/>
      <c r="G182" s="857">
        <f>MAX(F183:F186)/MAX(E183:E186)</f>
        <v>0</v>
      </c>
      <c r="H182" s="1521" t="s">
        <v>401</v>
      </c>
    </row>
    <row r="183" spans="1:9" ht="16.2" customHeight="1" x14ac:dyDescent="0.25">
      <c r="A183" s="1923"/>
      <c r="B183" s="1582"/>
      <c r="C183" s="449" t="str">
        <f>T!C191</f>
        <v>Loamy: includes silt, silt loam, loam, sandy loam.</v>
      </c>
      <c r="D183" s="44">
        <f>T!D191</f>
        <v>0</v>
      </c>
      <c r="E183" s="848">
        <v>4</v>
      </c>
      <c r="F183" s="45">
        <f t="shared" si="5"/>
        <v>0</v>
      </c>
      <c r="G183" s="792"/>
      <c r="H183" s="1521"/>
    </row>
    <row r="184" spans="1:9" ht="16.2" customHeight="1" x14ac:dyDescent="0.25">
      <c r="A184" s="1923"/>
      <c r="B184" s="1582"/>
      <c r="C184" s="450" t="str">
        <f>T!C192</f>
        <v>Clayey: includes clay, clay loam, silty clay, silty clay loam, sandy clay, sandy clay loam.</v>
      </c>
      <c r="D184" s="44">
        <f>T!D192</f>
        <v>0</v>
      </c>
      <c r="E184" s="848">
        <v>2</v>
      </c>
      <c r="F184" s="45">
        <f t="shared" si="5"/>
        <v>0</v>
      </c>
      <c r="G184" s="793"/>
      <c r="H184" s="1521"/>
    </row>
    <row r="185" spans="1:9" ht="27" customHeight="1" x14ac:dyDescent="0.25">
      <c r="A185" s="1923"/>
      <c r="B185" s="1582"/>
      <c r="C185" s="450" t="str">
        <f>T!C193</f>
        <v>Organic: includes muck, mucky peat, peat, and mucky mineral soils (blackish or grayish).  Exclude live roots unless they are moss.</v>
      </c>
      <c r="D185" s="44">
        <f>T!D193</f>
        <v>0</v>
      </c>
      <c r="E185" s="848">
        <v>3</v>
      </c>
      <c r="F185" s="45">
        <f t="shared" si="5"/>
        <v>0</v>
      </c>
      <c r="G185" s="793"/>
      <c r="H185" s="1521"/>
    </row>
    <row r="186" spans="1:9" ht="31.5" customHeight="1" thickBot="1" x14ac:dyDescent="0.3">
      <c r="A186" s="1924"/>
      <c r="B186" s="1582"/>
      <c r="C186" s="286" t="str">
        <f>T!C194</f>
        <v>Coarse: includes sand, loamy sand, gravel, cobble, stones, boulders, fluvents, fluvaquents, riverwash.</v>
      </c>
      <c r="D186" s="17">
        <f>T!D194</f>
        <v>0</v>
      </c>
      <c r="E186" s="868">
        <v>1</v>
      </c>
      <c r="F186" s="54">
        <f t="shared" si="5"/>
        <v>0</v>
      </c>
      <c r="G186" s="800"/>
      <c r="H186" s="1521"/>
    </row>
    <row r="187" spans="1:9" s="361" customFormat="1" ht="36" customHeight="1" thickBot="1" x14ac:dyDescent="0.3">
      <c r="A187" s="362" t="s">
        <v>126</v>
      </c>
      <c r="B187" s="363" t="s">
        <v>1463</v>
      </c>
      <c r="C187" s="442" t="s">
        <v>1271</v>
      </c>
      <c r="D187" s="363" t="s">
        <v>115</v>
      </c>
      <c r="E187" s="863" t="s">
        <v>771</v>
      </c>
      <c r="F187" s="363" t="s">
        <v>1461</v>
      </c>
      <c r="G187" s="824" t="s">
        <v>770</v>
      </c>
      <c r="H187" s="363" t="s">
        <v>772</v>
      </c>
    </row>
    <row r="188" spans="1:9" s="71" customFormat="1" ht="46.5" customHeight="1" thickBot="1" x14ac:dyDescent="0.3">
      <c r="A188" s="1597" t="str">
        <f>OF!A48</f>
        <v>OF8</v>
      </c>
      <c r="B188" s="2059" t="str">
        <f>OF!B48</f>
        <v>Wetland Type Local Uniqueness (UniqPatch)</v>
      </c>
      <c r="C188" s="548" t="str">
        <f>OF!C48</f>
        <v xml:space="preserve"> Select EACH of the vegetation types below that comprise more than 10% of the AA AND less than
 10% of a 0.5 mile radius around the AA. (See Column E).</v>
      </c>
      <c r="D188" s="865"/>
      <c r="E188" s="865"/>
      <c r="F188" s="867"/>
      <c r="G188" s="811">
        <f>SUM(D189:D191)/3</f>
        <v>0</v>
      </c>
      <c r="H188" s="2065" t="s">
        <v>758</v>
      </c>
    </row>
    <row r="189" spans="1:9" s="71" customFormat="1" ht="25.5" customHeight="1" x14ac:dyDescent="0.25">
      <c r="A189" s="1598"/>
      <c r="B189" s="2059"/>
      <c r="C189" s="1214" t="str">
        <f>OF!C49</f>
        <v>Herbaceous vegetation (perennial grasses, sedges, forbs; not under a woody canopy; not crops).</v>
      </c>
      <c r="D189" s="1215">
        <f>OF!D49</f>
        <v>0</v>
      </c>
      <c r="E189" s="865">
        <v>1</v>
      </c>
      <c r="F189" s="45">
        <f>D189*E189</f>
        <v>0</v>
      </c>
      <c r="G189" s="792"/>
      <c r="H189" s="2066"/>
      <c r="I189" s="74"/>
    </row>
    <row r="190" spans="1:9" s="71" customFormat="1" ht="16.2" customHeight="1" x14ac:dyDescent="0.25">
      <c r="A190" s="1598"/>
      <c r="B190" s="2059"/>
      <c r="C190" s="1217" t="str">
        <f>OF!C50</f>
        <v>Unshaded shrubland (woody plants shorter than 20 ft).</v>
      </c>
      <c r="D190" s="1218">
        <f>OF!D50</f>
        <v>0</v>
      </c>
      <c r="E190" s="865">
        <v>1</v>
      </c>
      <c r="F190" s="45">
        <f>D190*E190</f>
        <v>0</v>
      </c>
      <c r="G190" s="792"/>
      <c r="H190" s="2066"/>
      <c r="I190" s="74"/>
    </row>
    <row r="191" spans="1:9" s="71" customFormat="1" ht="16.2" customHeight="1" x14ac:dyDescent="0.25">
      <c r="A191" s="1598"/>
      <c r="B191" s="2059"/>
      <c r="C191" s="1217" t="str">
        <f>OF!C51</f>
        <v>Trees (woody plants taller than 20 ft).</v>
      </c>
      <c r="D191" s="1218">
        <f>OF!D51</f>
        <v>0</v>
      </c>
      <c r="E191" s="865">
        <v>1</v>
      </c>
      <c r="F191" s="45">
        <f>D191*E191</f>
        <v>0</v>
      </c>
      <c r="G191" s="792"/>
      <c r="H191" s="2066"/>
      <c r="I191" s="74"/>
    </row>
    <row r="192" spans="1:9" s="71" customFormat="1" ht="16.2" customHeight="1" thickBot="1" x14ac:dyDescent="0.3">
      <c r="A192" s="1627"/>
      <c r="B192" s="2059"/>
      <c r="C192" s="1219" t="str">
        <f>OF!C52</f>
        <v>None of above.</v>
      </c>
      <c r="D192" s="1220">
        <f>OF!D52</f>
        <v>0</v>
      </c>
      <c r="E192" s="1208">
        <v>0</v>
      </c>
      <c r="F192" s="54">
        <f>D192*E192</f>
        <v>0</v>
      </c>
      <c r="G192" s="806"/>
      <c r="H192" s="2067"/>
      <c r="I192" s="74"/>
    </row>
    <row r="193" spans="1:8" s="71" customFormat="1" ht="42.6" customHeight="1" thickBot="1" x14ac:dyDescent="0.3">
      <c r="A193" s="2057" t="str">
        <f>OF!A87</f>
        <v>OF15</v>
      </c>
      <c r="B193" s="2060" t="str">
        <f>OF!B87</f>
        <v>Landscape Functional Deficit (GISscore)</v>
      </c>
      <c r="C193" s="1221" t="str">
        <f>OF!C87</f>
        <v xml:space="preserve">In the ORWAP Report, find the AA's 12-digit HUC code.  Then, find that HUC code in the FuncDeficit worksheet in the accompanying Supp_Info file. Select All functions below that have a notation for that HUC code. </v>
      </c>
      <c r="D193" s="549"/>
      <c r="E193" s="208"/>
      <c r="F193" s="192"/>
      <c r="G193" s="1222"/>
      <c r="H193" s="2063" t="s">
        <v>674</v>
      </c>
    </row>
    <row r="194" spans="1:8" s="71" customFormat="1" ht="16.2" customHeight="1" thickBot="1" x14ac:dyDescent="0.3">
      <c r="A194" s="2058"/>
      <c r="B194" s="2062"/>
      <c r="C194" s="1223" t="str">
        <f>OF!C92</f>
        <v>Aquatic invertebrate habitat (INV)</v>
      </c>
      <c r="D194" s="1224">
        <f>OF!D92</f>
        <v>0</v>
      </c>
      <c r="E194" s="470"/>
      <c r="F194" s="193"/>
      <c r="G194" s="810">
        <f>IF((OF!D98=1),"",D194)</f>
        <v>0</v>
      </c>
      <c r="H194" s="2064"/>
    </row>
    <row r="195" spans="1:8" s="71" customFormat="1" ht="30" customHeight="1" thickBot="1" x14ac:dyDescent="0.3">
      <c r="A195" s="1597" t="str">
        <f>OF!A127</f>
        <v>OF22</v>
      </c>
      <c r="B195" s="2059" t="str">
        <f>OF!B127</f>
        <v>Invertebrate Species of Conservation Concern (RareInvert)</v>
      </c>
      <c r="C195" s="1225" t="str">
        <f>OF!C127</f>
        <v xml:space="preserve">According to the ORWAP Report, the score for occurrences of rare invertebrate species in the vicinity of this AA is: </v>
      </c>
      <c r="D195" s="549"/>
      <c r="E195" s="865"/>
      <c r="F195" s="825"/>
      <c r="G195" s="811">
        <f>MAX(F196:F198)/MAX(E196:E198)</f>
        <v>0</v>
      </c>
      <c r="H195" s="1226" t="s">
        <v>249</v>
      </c>
    </row>
    <row r="196" spans="1:8" s="71" customFormat="1" ht="36.75" customHeight="1" x14ac:dyDescent="0.25">
      <c r="A196" s="1598"/>
      <c r="B196" s="2059"/>
      <c r="C196" s="1227" t="str">
        <f>OF!C128</f>
        <v>High (≥ 0.75 for maximum score, or for this group's sum score), or there is a recent onsite observation of any of these species by a qualified observer under conditions similar to what now occur.</v>
      </c>
      <c r="D196" s="1215">
        <f>OF!D128</f>
        <v>0</v>
      </c>
      <c r="E196" s="865">
        <v>2</v>
      </c>
      <c r="F196" s="45">
        <f>D196*E196</f>
        <v>0</v>
      </c>
      <c r="G196" s="792"/>
      <c r="H196" s="1226"/>
    </row>
    <row r="197" spans="1:8" s="71" customFormat="1" ht="16.2" customHeight="1" x14ac:dyDescent="0.25">
      <c r="A197" s="1598"/>
      <c r="B197" s="2059"/>
      <c r="C197" s="1219" t="str">
        <f>OF!C129</f>
        <v>Low (&lt; 0.75 for maximum score AND for this group's sum score, but not 0 for both).</v>
      </c>
      <c r="D197" s="1215">
        <f>OF!D129</f>
        <v>0</v>
      </c>
      <c r="E197" s="865">
        <v>1</v>
      </c>
      <c r="F197" s="45">
        <f>D197*E197</f>
        <v>0</v>
      </c>
      <c r="G197" s="793"/>
      <c r="H197" s="1226"/>
    </row>
    <row r="198" spans="1:8" s="71" customFormat="1" ht="27" customHeight="1" thickBot="1" x14ac:dyDescent="0.3">
      <c r="A198" s="1627"/>
      <c r="B198" s="2059"/>
      <c r="C198" s="1219" t="str">
        <f>OF!C130</f>
        <v>Zero for both this group's maximum and its sum score, and no recent onsite observation of these species by a qualified observer under conditions similar to what now occur.</v>
      </c>
      <c r="D198" s="1220">
        <f>OF!D130</f>
        <v>0</v>
      </c>
      <c r="E198" s="1208">
        <v>0</v>
      </c>
      <c r="F198" s="54">
        <f>D198*E198</f>
        <v>0</v>
      </c>
      <c r="G198" s="800"/>
      <c r="H198" s="1226"/>
    </row>
    <row r="199" spans="1:8" s="71" customFormat="1" ht="42.6" customHeight="1" thickBot="1" x14ac:dyDescent="0.3">
      <c r="A199" s="2057" t="str">
        <f>OF!A220</f>
        <v>OF42</v>
      </c>
      <c r="B199" s="2060" t="str">
        <f>OF!B220</f>
        <v>Zoning (Zoning)</v>
      </c>
      <c r="C199" s="1228" t="str">
        <f>OF!C220</f>
        <v>According to ORWAP Map Viewer's Oregon Zoning layer, the dominant zoned land use designation for currently undeveloped parcels upslope from the AA and within 300 ft. of its upland edge is:</v>
      </c>
      <c r="D199" s="210"/>
      <c r="E199" s="208"/>
      <c r="F199" s="241"/>
      <c r="G199" s="810">
        <f>IF((D203=1),"",MAX(F200:F202)/MAX(E200:E202))</f>
        <v>0</v>
      </c>
      <c r="H199" s="2063" t="s">
        <v>723</v>
      </c>
    </row>
    <row r="200" spans="1:8" s="71" customFormat="1" ht="27" customHeight="1" x14ac:dyDescent="0.25">
      <c r="A200" s="2068"/>
      <c r="B200" s="2061"/>
      <c r="C200" s="1229" t="str">
        <f>OF!C221</f>
        <v>Development (Commercial, Industrial, Urban Residential, etc.), or no undeveloped parcels exist upslope from the AA.</v>
      </c>
      <c r="D200" s="1230">
        <f>OF!D221</f>
        <v>0</v>
      </c>
      <c r="E200" s="865">
        <v>3</v>
      </c>
      <c r="F200" s="45">
        <f>D200*E200</f>
        <v>0</v>
      </c>
      <c r="G200" s="793"/>
      <c r="H200" s="2059"/>
    </row>
    <row r="201" spans="1:8" s="71" customFormat="1" ht="16.2" customHeight="1" x14ac:dyDescent="0.25">
      <c r="A201" s="2068"/>
      <c r="B201" s="2061"/>
      <c r="C201" s="1229" t="str">
        <f>OF!C222</f>
        <v>Agriculture or Rural Residential.</v>
      </c>
      <c r="D201" s="1230">
        <f>OF!D222</f>
        <v>0</v>
      </c>
      <c r="E201" s="865">
        <v>2</v>
      </c>
      <c r="F201" s="45">
        <f>D201*E201</f>
        <v>0</v>
      </c>
      <c r="G201" s="793"/>
      <c r="H201" s="2059"/>
    </row>
    <row r="202" spans="1:8" s="71" customFormat="1" ht="16.2" customHeight="1" x14ac:dyDescent="0.25">
      <c r="A202" s="2068"/>
      <c r="B202" s="2061"/>
      <c r="C202" s="1229" t="str">
        <f>OF!C223</f>
        <v>Forest or Open Space, or entirely public lands.</v>
      </c>
      <c r="D202" s="1230">
        <f>OF!D223</f>
        <v>0</v>
      </c>
      <c r="E202" s="865">
        <v>1</v>
      </c>
      <c r="F202" s="45">
        <f>D202*E202</f>
        <v>0</v>
      </c>
      <c r="G202" s="793"/>
      <c r="H202" s="2059"/>
    </row>
    <row r="203" spans="1:8" s="71" customFormat="1" ht="16.2" customHeight="1" thickBot="1" x14ac:dyDescent="0.3">
      <c r="A203" s="2058"/>
      <c r="B203" s="2062"/>
      <c r="C203" s="1231" t="str">
        <f>OF!C224</f>
        <v>Not zoned, or no information.</v>
      </c>
      <c r="D203" s="1232">
        <f>OF!D224</f>
        <v>0</v>
      </c>
      <c r="E203" s="1233"/>
      <c r="F203" s="1082"/>
      <c r="G203" s="909"/>
      <c r="H203" s="2064"/>
    </row>
    <row r="204" spans="1:8" ht="33" customHeight="1" thickBot="1" x14ac:dyDescent="0.3">
      <c r="A204" s="2078" t="s">
        <v>822</v>
      </c>
      <c r="B204" s="1896" t="s">
        <v>823</v>
      </c>
      <c r="C204" s="1234" t="str">
        <f>FR!C113</f>
        <v>Function Score for Resident Fish Habitat</v>
      </c>
      <c r="D204" s="866"/>
      <c r="E204" s="1152"/>
      <c r="F204" s="60"/>
      <c r="G204" s="882">
        <f>FR!G113/10</f>
        <v>0</v>
      </c>
      <c r="H204" s="1582" t="s">
        <v>685</v>
      </c>
    </row>
    <row r="205" spans="1:8" ht="33" customHeight="1" thickBot="1" x14ac:dyDescent="0.3">
      <c r="A205" s="2079"/>
      <c r="B205" s="1623"/>
      <c r="C205" s="1235" t="str">
        <f>AM!C289</f>
        <v>Function Score for Amphibian &amp; Reptile Habitat</v>
      </c>
      <c r="D205" s="843"/>
      <c r="E205" s="1122"/>
      <c r="F205" s="59"/>
      <c r="G205" s="813">
        <f>AM!G289/10</f>
        <v>0.14444444444444446</v>
      </c>
      <c r="H205" s="1582"/>
    </row>
    <row r="206" spans="1:8" ht="33" customHeight="1" thickBot="1" x14ac:dyDescent="0.3">
      <c r="A206" s="2079"/>
      <c r="B206" s="1623"/>
      <c r="C206" s="1236" t="str">
        <f>WBF!C269</f>
        <v>Function Score for Feeding Waterbird Habitat</v>
      </c>
      <c r="D206" s="45"/>
      <c r="E206" s="45"/>
      <c r="F206" s="1029"/>
      <c r="G206" s="813">
        <f>WBF!G269/10</f>
        <v>2.0833333333333332E-2</v>
      </c>
      <c r="H206" s="1582"/>
    </row>
    <row r="207" spans="1:8" ht="33" customHeight="1" thickBot="1" x14ac:dyDescent="0.3">
      <c r="A207" s="2079"/>
      <c r="B207" s="1623"/>
      <c r="C207" s="1236" t="str">
        <f>WBN!C257</f>
        <v>Function Score for Nesting Waterbird Habitat</v>
      </c>
      <c r="D207" s="45"/>
      <c r="E207" s="45"/>
      <c r="F207" s="1029"/>
      <c r="G207" s="813">
        <f>WBN!G257/10</f>
        <v>6.4814814814814811E-2</v>
      </c>
      <c r="H207" s="1582"/>
    </row>
    <row r="208" spans="1:8" ht="33" customHeight="1" thickBot="1" x14ac:dyDescent="0.3">
      <c r="A208" s="2080"/>
      <c r="B208" s="1624"/>
      <c r="C208" s="1237" t="str">
        <f>SBM!C313</f>
        <v>Function Score for Songbird, Raptor, &amp; Mammal Habitat</v>
      </c>
      <c r="D208" s="193"/>
      <c r="E208" s="193"/>
      <c r="F208" s="1030"/>
      <c r="G208" s="813">
        <f>SBM!G313/10</f>
        <v>0</v>
      </c>
      <c r="H208" s="1600"/>
    </row>
    <row r="209" spans="1:8" ht="21" customHeight="1" thickBot="1" x14ac:dyDescent="0.3">
      <c r="A209" s="11"/>
      <c r="C209" s="7"/>
      <c r="F209" s="1238"/>
      <c r="G209" s="261"/>
    </row>
    <row r="210" spans="1:8" ht="30" customHeight="1" x14ac:dyDescent="0.25">
      <c r="A210" s="11"/>
      <c r="C210" s="2069" t="s">
        <v>608</v>
      </c>
      <c r="D210" s="2046" t="s">
        <v>129</v>
      </c>
      <c r="E210" s="2075"/>
      <c r="F210" s="2076"/>
      <c r="G210" s="897">
        <f>AVERAGE(WaterMixDry8,ThruFlo8, SAVpct8, AVERAGE(EmArea8,EmPct8,HerbDom8,DepthEven8,Gcover8,Girreg8,WoodDown8,Nfix8))</f>
        <v>0</v>
      </c>
      <c r="H210" s="1239" t="s">
        <v>1195</v>
      </c>
    </row>
    <row r="211" spans="1:8" ht="21" customHeight="1" x14ac:dyDescent="0.25">
      <c r="A211" s="11"/>
      <c r="C211" s="2070"/>
      <c r="D211" s="1950" t="s">
        <v>128</v>
      </c>
      <c r="E211" s="1951"/>
      <c r="F211" s="1951"/>
      <c r="G211" s="1242">
        <f>AVERAGE(PermW8, AVERAGE(Groundw8,SeasPct8, DepthDom8,Fluctu8,PondWpctWet8))</f>
        <v>0</v>
      </c>
      <c r="H211" s="1239" t="s">
        <v>1231</v>
      </c>
    </row>
    <row r="212" spans="1:8" ht="21" customHeight="1" x14ac:dyDescent="0.25">
      <c r="A212" s="11"/>
      <c r="C212" s="2070"/>
      <c r="D212" s="1950" t="s">
        <v>127</v>
      </c>
      <c r="E212" s="1951"/>
      <c r="F212" s="1951"/>
      <c r="G212" s="1242">
        <f>AVERAGE(ImpervRCA8,BuffWidth8,PerimPctPer8)</f>
        <v>0</v>
      </c>
      <c r="H212" s="1091" t="s">
        <v>1207</v>
      </c>
    </row>
    <row r="213" spans="1:8" ht="21" customHeight="1" thickBot="1" x14ac:dyDescent="0.3">
      <c r="A213" s="11"/>
      <c r="C213" s="2070"/>
      <c r="D213" s="1955" t="s">
        <v>646</v>
      </c>
      <c r="E213" s="2077"/>
      <c r="F213" s="2077"/>
      <c r="G213" s="1243">
        <f>AVERAGE(ContamIn8,SoilDisturb8,SedRCA8,AltTime8,WQin8,ConnecUp8)</f>
        <v>1</v>
      </c>
      <c r="H213" s="1240" t="s">
        <v>2249</v>
      </c>
    </row>
    <row r="214" spans="1:8" ht="30" customHeight="1" thickBot="1" x14ac:dyDescent="0.3">
      <c r="A214" s="11"/>
      <c r="C214" s="2071"/>
      <c r="D214" s="2072" t="s">
        <v>614</v>
      </c>
      <c r="E214" s="2073"/>
      <c r="F214" s="2074"/>
      <c r="G214" s="1199">
        <f>(3*LowMarshT8 + 2*AVERAGE(SoilTexT8,BlindChT8,TnonT8, VegFormDivT8,VegSpDomT8, AltTime8) + AVERAGE(AqPestT8,ShadeLoT8,DriftwoodT8,LwdT8,GcoverT8))/6</f>
        <v>8.8888888888888892E-2</v>
      </c>
      <c r="H214" s="1241" t="s">
        <v>1528</v>
      </c>
    </row>
    <row r="215" spans="1:8" ht="33" customHeight="1" thickBot="1" x14ac:dyDescent="0.3">
      <c r="A215" s="11"/>
      <c r="C215" s="1807" t="s">
        <v>86</v>
      </c>
      <c r="D215" s="1808"/>
      <c r="E215" s="1809"/>
      <c r="F215" s="250" t="s">
        <v>6</v>
      </c>
      <c r="G215" s="1244">
        <f>10*(IF((Tidal=1),TidalScoreINV, AVERAGE(Structure8,AVERAGE(Hydropd8,Stressors8,Lscape8))))</f>
        <v>1.6666666666666665</v>
      </c>
      <c r="H215" s="233" t="s">
        <v>1314</v>
      </c>
    </row>
    <row r="216" spans="1:8" ht="45" customHeight="1" thickBot="1" x14ac:dyDescent="0.3">
      <c r="A216" s="11"/>
      <c r="C216" s="1871" t="s">
        <v>123</v>
      </c>
      <c r="D216" s="1872"/>
      <c r="E216" s="1873"/>
      <c r="F216" s="1158" t="s">
        <v>7</v>
      </c>
      <c r="G216" s="1245">
        <f>10*(IF((Tidal=1), AVERAGE(FscoreFR8v,FscoreWBF8v,FscoreSBM8v), MAX(RareInvert8,AVERAGE(RareInvert8,UniqPatch8, (AVERAGE(FscoreFR8v,FscoreAM8v,FscoreWBF8v,FscoreSBM8v)), GISscoreINVv,Zoning8v))))</f>
        <v>8.2638888888888901E-2</v>
      </c>
      <c r="H216" s="233" t="s">
        <v>1471</v>
      </c>
    </row>
    <row r="217" spans="1:8" ht="21" customHeight="1" thickBot="1" x14ac:dyDescent="0.3"/>
    <row r="218" spans="1:8" ht="21" customHeight="1" thickBot="1" x14ac:dyDescent="0.3">
      <c r="C218" s="7"/>
      <c r="H218" s="257" t="s">
        <v>859</v>
      </c>
    </row>
    <row r="219" spans="1:8" ht="42" customHeight="1" x14ac:dyDescent="0.25">
      <c r="C219" s="7"/>
      <c r="H219" s="715" t="s">
        <v>1301</v>
      </c>
    </row>
    <row r="220" spans="1:8" ht="27" customHeight="1" x14ac:dyDescent="0.25">
      <c r="C220" s="7"/>
      <c r="H220" s="716" t="s">
        <v>1302</v>
      </c>
    </row>
    <row r="221" spans="1:8" ht="42" customHeight="1" x14ac:dyDescent="0.25">
      <c r="C221" s="7"/>
      <c r="H221" s="716" t="s">
        <v>1303</v>
      </c>
    </row>
    <row r="222" spans="1:8" ht="42" customHeight="1" x14ac:dyDescent="0.25">
      <c r="C222" s="7"/>
      <c r="H222" s="716" t="s">
        <v>1304</v>
      </c>
    </row>
    <row r="223" spans="1:8" ht="27" customHeight="1" x14ac:dyDescent="0.25">
      <c r="C223" s="7"/>
      <c r="H223" s="716" t="s">
        <v>1148</v>
      </c>
    </row>
    <row r="224" spans="1:8" ht="27" customHeight="1" x14ac:dyDescent="0.25">
      <c r="C224" s="7"/>
      <c r="H224" s="716" t="s">
        <v>1305</v>
      </c>
    </row>
    <row r="225" spans="3:8" ht="42" customHeight="1" x14ac:dyDescent="0.25">
      <c r="C225" s="7"/>
      <c r="H225" s="716" t="s">
        <v>1306</v>
      </c>
    </row>
    <row r="226" spans="3:8" ht="57" customHeight="1" x14ac:dyDescent="0.25">
      <c r="C226" s="7"/>
      <c r="H226" s="716" t="s">
        <v>1016</v>
      </c>
    </row>
    <row r="227" spans="3:8" ht="27" customHeight="1" x14ac:dyDescent="0.25">
      <c r="C227" s="7"/>
      <c r="H227" s="716" t="s">
        <v>1307</v>
      </c>
    </row>
    <row r="228" spans="3:8" ht="27" customHeight="1" x14ac:dyDescent="0.25">
      <c r="C228" s="7"/>
      <c r="H228" s="716" t="s">
        <v>1017</v>
      </c>
    </row>
    <row r="229" spans="3:8" ht="27" customHeight="1" x14ac:dyDescent="0.25">
      <c r="C229" s="7"/>
      <c r="H229" s="716" t="s">
        <v>1018</v>
      </c>
    </row>
    <row r="230" spans="3:8" ht="27" customHeight="1" x14ac:dyDescent="0.25">
      <c r="C230" s="7"/>
      <c r="H230" s="716" t="s">
        <v>1019</v>
      </c>
    </row>
    <row r="231" spans="3:8" ht="27" customHeight="1" x14ac:dyDescent="0.25">
      <c r="C231" s="7"/>
      <c r="H231" s="716" t="s">
        <v>1308</v>
      </c>
    </row>
    <row r="232" spans="3:8" ht="42" customHeight="1" x14ac:dyDescent="0.25">
      <c r="C232" s="7"/>
      <c r="H232" s="716" t="s">
        <v>1020</v>
      </c>
    </row>
    <row r="233" spans="3:8" ht="27" customHeight="1" x14ac:dyDescent="0.25">
      <c r="C233" s="7"/>
      <c r="H233" s="716" t="s">
        <v>1147</v>
      </c>
    </row>
    <row r="234" spans="3:8" ht="27" customHeight="1" x14ac:dyDescent="0.25">
      <c r="C234" s="7"/>
      <c r="H234" s="716" t="s">
        <v>1021</v>
      </c>
    </row>
    <row r="235" spans="3:8" ht="27" customHeight="1" x14ac:dyDescent="0.25">
      <c r="C235" s="7"/>
      <c r="H235" s="716" t="s">
        <v>1022</v>
      </c>
    </row>
    <row r="236" spans="3:8" ht="27" customHeight="1" x14ac:dyDescent="0.25">
      <c r="C236" s="7"/>
      <c r="H236" s="716" t="s">
        <v>1309</v>
      </c>
    </row>
    <row r="237" spans="3:8" ht="42" customHeight="1" x14ac:dyDescent="0.25">
      <c r="C237" s="7"/>
      <c r="H237" s="716" t="s">
        <v>1023</v>
      </c>
    </row>
    <row r="238" spans="3:8" ht="27" customHeight="1" x14ac:dyDescent="0.25">
      <c r="C238" s="7"/>
      <c r="H238" s="716" t="s">
        <v>1310</v>
      </c>
    </row>
    <row r="239" spans="3:8" ht="27" customHeight="1" x14ac:dyDescent="0.25">
      <c r="C239" s="7"/>
      <c r="H239" s="716" t="s">
        <v>1311</v>
      </c>
    </row>
    <row r="240" spans="3:8" ht="27" customHeight="1" x14ac:dyDescent="0.25">
      <c r="C240" s="7"/>
      <c r="H240" s="716" t="s">
        <v>1024</v>
      </c>
    </row>
    <row r="241" spans="3:8" ht="27" customHeight="1" x14ac:dyDescent="0.25">
      <c r="C241" s="7"/>
      <c r="H241" s="716" t="s">
        <v>1312</v>
      </c>
    </row>
    <row r="242" spans="3:8" ht="27" customHeight="1" x14ac:dyDescent="0.25">
      <c r="C242" s="7"/>
      <c r="H242" s="716" t="s">
        <v>1025</v>
      </c>
    </row>
    <row r="243" spans="3:8" ht="27" customHeight="1" x14ac:dyDescent="0.25">
      <c r="C243" s="7"/>
      <c r="H243" s="716" t="s">
        <v>1026</v>
      </c>
    </row>
    <row r="244" spans="3:8" ht="27" customHeight="1" x14ac:dyDescent="0.25">
      <c r="C244" s="7"/>
      <c r="H244" s="716" t="s">
        <v>1027</v>
      </c>
    </row>
    <row r="245" spans="3:8" ht="27" customHeight="1" x14ac:dyDescent="0.25">
      <c r="C245" s="7"/>
      <c r="H245" s="716" t="s">
        <v>1028</v>
      </c>
    </row>
    <row r="246" spans="3:8" ht="27" customHeight="1" x14ac:dyDescent="0.25">
      <c r="C246" s="7"/>
      <c r="H246" s="716" t="s">
        <v>1029</v>
      </c>
    </row>
    <row r="247" spans="3:8" ht="27" customHeight="1" x14ac:dyDescent="0.25">
      <c r="C247" s="7"/>
      <c r="H247" s="716" t="s">
        <v>1030</v>
      </c>
    </row>
    <row r="248" spans="3:8" ht="27" customHeight="1" x14ac:dyDescent="0.25">
      <c r="C248" s="7"/>
      <c r="H248" s="716" t="s">
        <v>959</v>
      </c>
    </row>
    <row r="249" spans="3:8" ht="27" customHeight="1" x14ac:dyDescent="0.25">
      <c r="C249" s="7"/>
      <c r="H249" s="716" t="s">
        <v>1032</v>
      </c>
    </row>
    <row r="250" spans="3:8" ht="42" customHeight="1" x14ac:dyDescent="0.25">
      <c r="C250" s="7"/>
      <c r="H250" s="734" t="s">
        <v>1031</v>
      </c>
    </row>
    <row r="251" spans="3:8" ht="27" customHeight="1" thickBot="1" x14ac:dyDescent="0.3">
      <c r="C251" s="7"/>
      <c r="H251" s="714" t="s">
        <v>1313</v>
      </c>
    </row>
    <row r="252" spans="3:8" x14ac:dyDescent="0.25">
      <c r="C252" s="7"/>
    </row>
    <row r="253" spans="3:8" x14ac:dyDescent="0.25">
      <c r="C253" s="7"/>
    </row>
    <row r="254" spans="3:8" x14ac:dyDescent="0.25">
      <c r="C254" s="7"/>
    </row>
    <row r="255" spans="3:8" x14ac:dyDescent="0.25">
      <c r="C255" s="7"/>
    </row>
    <row r="256" spans="3:8" x14ac:dyDescent="0.25">
      <c r="C256" s="7"/>
    </row>
    <row r="257" spans="3:3" x14ac:dyDescent="0.25">
      <c r="C257" s="7"/>
    </row>
  </sheetData>
  <sheetProtection password="C74A" sheet="1" objects="1" scenarios="1" formatCells="0" formatColumns="0" formatRows="0"/>
  <customSheetViews>
    <customSheetView guid="{B8E02330-2419-4DE6-AD01-7ACC7A5D18DD}" scale="75" topLeftCell="A154">
      <selection activeCell="A2" sqref="A2:H175"/>
      <pageMargins left="0.75" right="0.75" top="1" bottom="1" header="0.5" footer="0.5"/>
      <pageSetup orientation="portrait" r:id="rId1"/>
      <headerFooter alignWithMargins="0"/>
    </customSheetView>
  </customSheetViews>
  <mergeCells count="122">
    <mergeCell ref="C215:E215"/>
    <mergeCell ref="C216:E216"/>
    <mergeCell ref="C210:C214"/>
    <mergeCell ref="A1:B1"/>
    <mergeCell ref="H162:H167"/>
    <mergeCell ref="H168:H171"/>
    <mergeCell ref="H172:H175"/>
    <mergeCell ref="D214:F214"/>
    <mergeCell ref="H204:H208"/>
    <mergeCell ref="D210:F210"/>
    <mergeCell ref="D211:F211"/>
    <mergeCell ref="D213:F213"/>
    <mergeCell ref="H176:H181"/>
    <mergeCell ref="H125:H132"/>
    <mergeCell ref="H133:H138"/>
    <mergeCell ref="H139:H145"/>
    <mergeCell ref="H146:H151"/>
    <mergeCell ref="H152:H157"/>
    <mergeCell ref="H193:H194"/>
    <mergeCell ref="A204:A208"/>
    <mergeCell ref="E1:H1"/>
    <mergeCell ref="A103:A109"/>
    <mergeCell ref="B193:B194"/>
    <mergeCell ref="B10:B13"/>
    <mergeCell ref="A49:A53"/>
    <mergeCell ref="H14:H18"/>
    <mergeCell ref="B73:B78"/>
    <mergeCell ref="A10:A13"/>
    <mergeCell ref="A14:A18"/>
    <mergeCell ref="A67:A72"/>
    <mergeCell ref="A25:A28"/>
    <mergeCell ref="A54:A60"/>
    <mergeCell ref="H19:H24"/>
    <mergeCell ref="H67:H72"/>
    <mergeCell ref="H29:H35"/>
    <mergeCell ref="H36:H41"/>
    <mergeCell ref="H61:H66"/>
    <mergeCell ref="A29:A35"/>
    <mergeCell ref="H42:H48"/>
    <mergeCell ref="B49:B53"/>
    <mergeCell ref="B42:B48"/>
    <mergeCell ref="H73:H78"/>
    <mergeCell ref="B67:B72"/>
    <mergeCell ref="H10:H13"/>
    <mergeCell ref="H49:H53"/>
    <mergeCell ref="H54:H60"/>
    <mergeCell ref="A199:A203"/>
    <mergeCell ref="H3:H5"/>
    <mergeCell ref="H6:H9"/>
    <mergeCell ref="B3:B5"/>
    <mergeCell ref="B6:B9"/>
    <mergeCell ref="A6:A9"/>
    <mergeCell ref="A3:A5"/>
    <mergeCell ref="B36:B41"/>
    <mergeCell ref="A61:A66"/>
    <mergeCell ref="B29:B35"/>
    <mergeCell ref="B61:B66"/>
    <mergeCell ref="B54:B60"/>
    <mergeCell ref="A19:A24"/>
    <mergeCell ref="A42:A48"/>
    <mergeCell ref="B19:B24"/>
    <mergeCell ref="A36:A41"/>
    <mergeCell ref="B79:B83"/>
    <mergeCell ref="H25:H28"/>
    <mergeCell ref="B25:B28"/>
    <mergeCell ref="H84:H86"/>
    <mergeCell ref="B14:B18"/>
    <mergeCell ref="A195:A198"/>
    <mergeCell ref="A73:A78"/>
    <mergeCell ref="H79:H83"/>
    <mergeCell ref="D212:F212"/>
    <mergeCell ref="H87:H89"/>
    <mergeCell ref="H116:H119"/>
    <mergeCell ref="B103:B109"/>
    <mergeCell ref="H90:H95"/>
    <mergeCell ref="B125:B132"/>
    <mergeCell ref="B133:B138"/>
    <mergeCell ref="B139:B145"/>
    <mergeCell ref="B146:B151"/>
    <mergeCell ref="H96:H102"/>
    <mergeCell ref="B204:B208"/>
    <mergeCell ref="H103:H109"/>
    <mergeCell ref="H110:H115"/>
    <mergeCell ref="B188:B192"/>
    <mergeCell ref="B199:B203"/>
    <mergeCell ref="B96:B102"/>
    <mergeCell ref="B90:B95"/>
    <mergeCell ref="B195:B198"/>
    <mergeCell ref="B110:B115"/>
    <mergeCell ref="B116:B119"/>
    <mergeCell ref="H199:H203"/>
    <mergeCell ref="H182:H186"/>
    <mergeCell ref="H188:H192"/>
    <mergeCell ref="H158:H161"/>
    <mergeCell ref="A79:A83"/>
    <mergeCell ref="A116:A119"/>
    <mergeCell ref="A110:A115"/>
    <mergeCell ref="A146:A151"/>
    <mergeCell ref="A152:A157"/>
    <mergeCell ref="A125:A132"/>
    <mergeCell ref="A133:A138"/>
    <mergeCell ref="A139:A145"/>
    <mergeCell ref="A162:A167"/>
    <mergeCell ref="A96:A102"/>
    <mergeCell ref="A188:A192"/>
    <mergeCell ref="B172:B175"/>
    <mergeCell ref="A172:A175"/>
    <mergeCell ref="A193:A194"/>
    <mergeCell ref="A158:A161"/>
    <mergeCell ref="A168:A171"/>
    <mergeCell ref="B84:B86"/>
    <mergeCell ref="B87:B89"/>
    <mergeCell ref="B152:B157"/>
    <mergeCell ref="B162:B167"/>
    <mergeCell ref="B168:B171"/>
    <mergeCell ref="B182:B186"/>
    <mergeCell ref="B158:B161"/>
    <mergeCell ref="A182:A186"/>
    <mergeCell ref="A176:A181"/>
    <mergeCell ref="A90:A95"/>
    <mergeCell ref="A87:A89"/>
    <mergeCell ref="B176:B181"/>
  </mergeCells>
  <phoneticPr fontId="3" type="noConversion"/>
  <pageMargins left="0.75" right="0.75" top="1" bottom="1" header="0.5"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I447"/>
  <sheetViews>
    <sheetView zoomScaleNormal="100" workbookViewId="0">
      <selection activeCell="G315" sqref="G315:G322"/>
    </sheetView>
  </sheetViews>
  <sheetFormatPr defaultColWidth="9.33203125" defaultRowHeight="13.8" x14ac:dyDescent="0.25"/>
  <cols>
    <col min="1" max="1" width="5.77734375" style="102" customWidth="1"/>
    <col min="2" max="2" width="18.77734375" style="33" customWidth="1"/>
    <col min="3" max="3" width="75.77734375" style="33" customWidth="1"/>
    <col min="4" max="4" width="6.77734375" style="34" customWidth="1"/>
    <col min="5" max="5" width="9.44140625" style="62" customWidth="1"/>
    <col min="6" max="6" width="9.109375" style="34" customWidth="1"/>
    <col min="7" max="7" width="14" style="38" customWidth="1"/>
    <col min="8" max="8" width="75.77734375" style="33" customWidth="1"/>
    <col min="9" max="9" width="16.109375" style="55" customWidth="1"/>
    <col min="10" max="16384" width="9.33203125" style="55"/>
  </cols>
  <sheetData>
    <row r="1" spans="1:8" s="99" customFormat="1" ht="66" customHeight="1" thickBot="1" x14ac:dyDescent="0.3">
      <c r="A1" s="2093" t="s">
        <v>1565</v>
      </c>
      <c r="B1" s="2094"/>
      <c r="C1" s="151" t="s">
        <v>589</v>
      </c>
      <c r="D1" s="1246" t="s">
        <v>1573</v>
      </c>
      <c r="E1" s="1993"/>
      <c r="F1" s="1993"/>
      <c r="G1" s="1993"/>
      <c r="H1" s="1993"/>
    </row>
    <row r="2" spans="1:8" s="372" customFormat="1" ht="48.75" customHeight="1" thickBot="1" x14ac:dyDescent="0.3">
      <c r="A2" s="786" t="s">
        <v>126</v>
      </c>
      <c r="B2" s="787" t="s">
        <v>1458</v>
      </c>
      <c r="C2" s="831" t="s">
        <v>1271</v>
      </c>
      <c r="D2" s="786" t="s">
        <v>115</v>
      </c>
      <c r="E2" s="789" t="s">
        <v>771</v>
      </c>
      <c r="F2" s="787" t="s">
        <v>1461</v>
      </c>
      <c r="G2" s="790" t="s">
        <v>1273</v>
      </c>
      <c r="H2" s="786" t="s">
        <v>772</v>
      </c>
    </row>
    <row r="3" spans="1:8" s="3" customFormat="1" ht="30" customHeight="1" thickBot="1" x14ac:dyDescent="0.3">
      <c r="A3" s="2083" t="str">
        <f>OF!A4</f>
        <v>OF1</v>
      </c>
      <c r="B3" s="1582" t="str">
        <f>OF!B4</f>
        <v>Distance to Extensive Perennial Cover (DistPerCov)</v>
      </c>
      <c r="C3" s="4" t="str">
        <f>OF!C4</f>
        <v>The distance from the AA edge to the edge of the closest patch or corridor of perennial cover (see definition in column E) larger than 100 acres is:</v>
      </c>
      <c r="D3" s="1247"/>
      <c r="E3" s="1247"/>
      <c r="F3" s="1248"/>
      <c r="G3" s="814">
        <f>MAX(F4:F9)/MAX(E4:E9)</f>
        <v>0</v>
      </c>
      <c r="H3" s="1521" t="s">
        <v>1158</v>
      </c>
    </row>
    <row r="4" spans="1:8" s="3" customFormat="1" ht="16.2" customHeight="1" x14ac:dyDescent="0.25">
      <c r="A4" s="2083"/>
      <c r="B4" s="1582"/>
      <c r="C4" s="2" t="str">
        <f>OF!C5</f>
        <v>&lt;100 ft.</v>
      </c>
      <c r="D4" s="44">
        <f>OF!D5</f>
        <v>0</v>
      </c>
      <c r="E4" s="49">
        <v>8</v>
      </c>
      <c r="F4" s="45">
        <f t="shared" ref="F4:F9" si="0">D4*E4</f>
        <v>0</v>
      </c>
      <c r="G4" s="792"/>
      <c r="H4" s="1521"/>
    </row>
    <row r="5" spans="1:8" s="3" customFormat="1" ht="16.2" customHeight="1" x14ac:dyDescent="0.25">
      <c r="A5" s="2083"/>
      <c r="B5" s="1582"/>
      <c r="C5" s="95" t="str">
        <f>OF!C6</f>
        <v>100 to &lt;300 ft.</v>
      </c>
      <c r="D5" s="44">
        <f>OF!D6</f>
        <v>0</v>
      </c>
      <c r="E5" s="49">
        <v>5</v>
      </c>
      <c r="F5" s="45">
        <f t="shared" si="0"/>
        <v>0</v>
      </c>
      <c r="G5" s="793"/>
      <c r="H5" s="1521"/>
    </row>
    <row r="6" spans="1:8" s="3" customFormat="1" ht="16.2" customHeight="1" x14ac:dyDescent="0.25">
      <c r="A6" s="2083"/>
      <c r="B6" s="1582"/>
      <c r="C6" s="95" t="str">
        <f>OF!C7</f>
        <v>300 to &lt;1000 ft.</v>
      </c>
      <c r="D6" s="44">
        <f>OF!D7</f>
        <v>0</v>
      </c>
      <c r="E6" s="49">
        <v>3</v>
      </c>
      <c r="F6" s="45">
        <f t="shared" si="0"/>
        <v>0</v>
      </c>
      <c r="G6" s="793"/>
      <c r="H6" s="1521"/>
    </row>
    <row r="7" spans="1:8" s="3" customFormat="1" ht="16.2" customHeight="1" x14ac:dyDescent="0.25">
      <c r="A7" s="2083"/>
      <c r="B7" s="1582"/>
      <c r="C7" s="95" t="str">
        <f>OF!C8</f>
        <v>1000 ft. to &lt;0.5 mile.</v>
      </c>
      <c r="D7" s="44">
        <f>OF!D8</f>
        <v>0</v>
      </c>
      <c r="E7" s="49">
        <v>2</v>
      </c>
      <c r="F7" s="45">
        <f t="shared" si="0"/>
        <v>0</v>
      </c>
      <c r="G7" s="793"/>
      <c r="H7" s="1521"/>
    </row>
    <row r="8" spans="1:8" s="3" customFormat="1" ht="16.2" customHeight="1" x14ac:dyDescent="0.25">
      <c r="A8" s="2083"/>
      <c r="B8" s="1582"/>
      <c r="C8" s="95" t="str">
        <f>OF!C9</f>
        <v>0.5 mile to 2 miles.</v>
      </c>
      <c r="D8" s="44">
        <f>OF!D9</f>
        <v>0</v>
      </c>
      <c r="E8" s="49">
        <v>1</v>
      </c>
      <c r="F8" s="45">
        <f t="shared" si="0"/>
        <v>0</v>
      </c>
      <c r="G8" s="793"/>
      <c r="H8" s="1521"/>
    </row>
    <row r="9" spans="1:8" s="3" customFormat="1" ht="16.2" customHeight="1" thickBot="1" x14ac:dyDescent="0.3">
      <c r="A9" s="2083"/>
      <c r="B9" s="1582"/>
      <c r="C9" s="95" t="str">
        <f>OF!C10</f>
        <v>&gt; 2 miles.</v>
      </c>
      <c r="D9" s="198">
        <f>OF!D10</f>
        <v>0</v>
      </c>
      <c r="E9" s="67">
        <v>0</v>
      </c>
      <c r="F9" s="54">
        <f t="shared" si="0"/>
        <v>0</v>
      </c>
      <c r="G9" s="800"/>
      <c r="H9" s="1521"/>
    </row>
    <row r="10" spans="1:8" ht="30" customHeight="1" thickBot="1" x14ac:dyDescent="0.3">
      <c r="A10" s="1989" t="str">
        <f>OF!A15</f>
        <v>OF3</v>
      </c>
      <c r="B10" s="1599" t="str">
        <f>OF!B15</f>
        <v>Distance to Ponded Water (DistPond)</v>
      </c>
      <c r="C10" s="75" t="str">
        <f>OF!C15</f>
        <v>The distance from the AA edge to the closest (but separate) body of nontidal fresh water (wetland, pond, or lake) that  is ponded all or most of the year is:</v>
      </c>
      <c r="D10" s="1249"/>
      <c r="E10" s="210"/>
      <c r="F10" s="241"/>
      <c r="G10" s="791">
        <f>MAX(F11:F16)/MAX(E11:E16)</f>
        <v>0</v>
      </c>
      <c r="H10" s="1599" t="s">
        <v>1157</v>
      </c>
    </row>
    <row r="11" spans="1:8" ht="16.2" customHeight="1" x14ac:dyDescent="0.25">
      <c r="A11" s="1990"/>
      <c r="B11" s="1582"/>
      <c r="C11" s="2" t="str">
        <f>OF!C16</f>
        <v>&lt;100 ft.</v>
      </c>
      <c r="D11" s="44">
        <f>OF!D16</f>
        <v>0</v>
      </c>
      <c r="E11" s="49">
        <v>5</v>
      </c>
      <c r="F11" s="45">
        <f t="shared" ref="F11:F16" si="1">D11*E11</f>
        <v>0</v>
      </c>
      <c r="G11" s="792"/>
      <c r="H11" s="1582"/>
    </row>
    <row r="12" spans="1:8" ht="16.2" customHeight="1" x14ac:dyDescent="0.25">
      <c r="A12" s="1990"/>
      <c r="B12" s="1582"/>
      <c r="C12" s="95" t="str">
        <f>OF!C17</f>
        <v>100 to &lt;300 ft.</v>
      </c>
      <c r="D12" s="44">
        <f>OF!D17</f>
        <v>0</v>
      </c>
      <c r="E12" s="49">
        <v>4</v>
      </c>
      <c r="F12" s="45">
        <f t="shared" si="1"/>
        <v>0</v>
      </c>
      <c r="G12" s="793"/>
      <c r="H12" s="1582"/>
    </row>
    <row r="13" spans="1:8" ht="16.2" customHeight="1" x14ac:dyDescent="0.25">
      <c r="A13" s="1990"/>
      <c r="B13" s="1582"/>
      <c r="C13" s="95" t="str">
        <f>OF!C18</f>
        <v>300 to &lt;1000 ft.</v>
      </c>
      <c r="D13" s="44">
        <f>OF!D18</f>
        <v>0</v>
      </c>
      <c r="E13" s="49">
        <v>3</v>
      </c>
      <c r="F13" s="45">
        <f t="shared" si="1"/>
        <v>0</v>
      </c>
      <c r="G13" s="793"/>
      <c r="H13" s="1582"/>
    </row>
    <row r="14" spans="1:8" ht="16.2" customHeight="1" x14ac:dyDescent="0.25">
      <c r="A14" s="1990"/>
      <c r="B14" s="1582"/>
      <c r="C14" s="95" t="str">
        <f>OF!C19</f>
        <v>1000 ft. to &lt; 0.5 mile.</v>
      </c>
      <c r="D14" s="44">
        <f>OF!D19</f>
        <v>0</v>
      </c>
      <c r="E14" s="49">
        <v>2</v>
      </c>
      <c r="F14" s="45">
        <f t="shared" si="1"/>
        <v>0</v>
      </c>
      <c r="G14" s="793"/>
      <c r="H14" s="1582"/>
    </row>
    <row r="15" spans="1:8" ht="16.2" customHeight="1" x14ac:dyDescent="0.25">
      <c r="A15" s="1990"/>
      <c r="B15" s="1582"/>
      <c r="C15" s="95" t="str">
        <f>OF!C20</f>
        <v>0.5 mile to 2 miles.</v>
      </c>
      <c r="D15" s="44">
        <f>OF!D20</f>
        <v>0</v>
      </c>
      <c r="E15" s="49">
        <v>1</v>
      </c>
      <c r="F15" s="45">
        <f t="shared" si="1"/>
        <v>0</v>
      </c>
      <c r="G15" s="793"/>
      <c r="H15" s="1582"/>
    </row>
    <row r="16" spans="1:8" ht="16.2" customHeight="1" thickBot="1" x14ac:dyDescent="0.3">
      <c r="A16" s="1991"/>
      <c r="B16" s="1600"/>
      <c r="C16" s="254" t="str">
        <f>OF!C21</f>
        <v>&gt;2 miles.</v>
      </c>
      <c r="D16" s="17">
        <f>OF!D21</f>
        <v>0</v>
      </c>
      <c r="E16" s="245">
        <v>0</v>
      </c>
      <c r="F16" s="193">
        <f t="shared" si="1"/>
        <v>0</v>
      </c>
      <c r="G16" s="794"/>
      <c r="H16" s="1600"/>
    </row>
    <row r="17" spans="1:9" ht="30" customHeight="1" thickBot="1" x14ac:dyDescent="0.3">
      <c r="A17" s="2083" t="str">
        <f>OF!A33</f>
        <v>OF6</v>
      </c>
      <c r="B17" s="1582" t="str">
        <f>OF!B33</f>
        <v>Distance to Nearest Busy Road (DistRd)</v>
      </c>
      <c r="C17" s="114" t="str">
        <f>OF!C33</f>
        <v>The distance from the AA center to the nearest road with an average daytime traffic rate of at least 1 vehicle/ minute is:</v>
      </c>
      <c r="D17" s="1250"/>
      <c r="E17" s="65"/>
      <c r="F17" s="60"/>
      <c r="G17" s="814">
        <f>MAX(F18:F23)/MAX(E18:E23)</f>
        <v>0</v>
      </c>
      <c r="H17" s="1896" t="s">
        <v>193</v>
      </c>
      <c r="I17" s="3"/>
    </row>
    <row r="18" spans="1:9" ht="16.2" customHeight="1" x14ac:dyDescent="0.25">
      <c r="A18" s="2083"/>
      <c r="B18" s="1582"/>
      <c r="C18" s="785" t="str">
        <f>OF!C34</f>
        <v>&lt;100 ft.</v>
      </c>
      <c r="D18" s="1081">
        <f>OF!D34</f>
        <v>0</v>
      </c>
      <c r="E18" s="49">
        <v>0</v>
      </c>
      <c r="F18" s="54">
        <f t="shared" ref="F18:F23" si="2">D18*E18</f>
        <v>0</v>
      </c>
      <c r="G18" s="792"/>
      <c r="H18" s="1623"/>
    </row>
    <row r="19" spans="1:9" ht="16.2" customHeight="1" x14ac:dyDescent="0.25">
      <c r="A19" s="2083"/>
      <c r="B19" s="1582"/>
      <c r="C19" s="286" t="str">
        <f>OF!C35</f>
        <v>100 to &lt;300 ft.</v>
      </c>
      <c r="D19" s="44">
        <f>OF!D35</f>
        <v>0</v>
      </c>
      <c r="E19" s="49">
        <v>2</v>
      </c>
      <c r="F19" s="54">
        <f t="shared" si="2"/>
        <v>0</v>
      </c>
      <c r="G19" s="792"/>
      <c r="H19" s="1623"/>
    </row>
    <row r="20" spans="1:9" ht="16.2" customHeight="1" x14ac:dyDescent="0.25">
      <c r="A20" s="2083"/>
      <c r="B20" s="1582"/>
      <c r="C20" s="286" t="str">
        <f>OF!C36</f>
        <v>300 to &lt; 0.5 mile.</v>
      </c>
      <c r="D20" s="44">
        <f>OF!D36</f>
        <v>0</v>
      </c>
      <c r="E20" s="49">
        <v>3</v>
      </c>
      <c r="F20" s="54">
        <f t="shared" si="2"/>
        <v>0</v>
      </c>
      <c r="G20" s="792"/>
      <c r="H20" s="1623"/>
    </row>
    <row r="21" spans="1:9" ht="16.2" customHeight="1" x14ac:dyDescent="0.25">
      <c r="A21" s="2083"/>
      <c r="B21" s="1582"/>
      <c r="C21" s="286" t="str">
        <f>OF!C37</f>
        <v>0.5 to &lt;1 miles.</v>
      </c>
      <c r="D21" s="44">
        <f>OF!D37</f>
        <v>0</v>
      </c>
      <c r="E21" s="49">
        <v>4</v>
      </c>
      <c r="F21" s="54">
        <f t="shared" si="2"/>
        <v>0</v>
      </c>
      <c r="G21" s="793"/>
      <c r="H21" s="1623"/>
    </row>
    <row r="22" spans="1:9" ht="16.2" customHeight="1" x14ac:dyDescent="0.25">
      <c r="A22" s="2083"/>
      <c r="B22" s="1582"/>
      <c r="C22" s="286" t="str">
        <f>OF!C38</f>
        <v>1 to 2 miles.</v>
      </c>
      <c r="D22" s="44">
        <f>OF!D38</f>
        <v>0</v>
      </c>
      <c r="E22" s="49">
        <v>5</v>
      </c>
      <c r="F22" s="54">
        <f t="shared" si="2"/>
        <v>0</v>
      </c>
      <c r="G22" s="793"/>
      <c r="H22" s="1623"/>
    </row>
    <row r="23" spans="1:9" ht="16.2" customHeight="1" thickBot="1" x14ac:dyDescent="0.3">
      <c r="A23" s="2083"/>
      <c r="B23" s="1582"/>
      <c r="C23" s="286" t="str">
        <f>OF!C39</f>
        <v>&gt;2 miles.</v>
      </c>
      <c r="D23" s="17">
        <f>OF!D39</f>
        <v>0</v>
      </c>
      <c r="E23" s="67">
        <v>6</v>
      </c>
      <c r="F23" s="54">
        <f t="shared" si="2"/>
        <v>0</v>
      </c>
      <c r="G23" s="800"/>
      <c r="H23" s="1897"/>
    </row>
    <row r="24" spans="1:9" ht="30" customHeight="1" thickBot="1" x14ac:dyDescent="0.3">
      <c r="A24" s="1989" t="str">
        <f>OF!A40</f>
        <v>OF7</v>
      </c>
      <c r="B24" s="1599" t="str">
        <f>OF!B40</f>
        <v>Size of Largest Nearby Patch of Perennial Cover (SizePerenn)</v>
      </c>
      <c r="C24" s="4" t="str">
        <f>OF!C40</f>
        <v>Including the AA's vegetated area, the largest patch or corridor that is perennial cover and is contiguous with vegetation in the AA , occupies:</v>
      </c>
      <c r="D24" s="1250"/>
      <c r="E24" s="210"/>
      <c r="F24" s="241"/>
      <c r="G24" s="791">
        <f>MAX(F25:F31)/MAX(E25:E31)</f>
        <v>0</v>
      </c>
      <c r="H24" s="1522" t="s">
        <v>175</v>
      </c>
      <c r="I24" s="3"/>
    </row>
    <row r="25" spans="1:9" ht="16.2" customHeight="1" x14ac:dyDescent="0.25">
      <c r="A25" s="1990"/>
      <c r="B25" s="1582"/>
      <c r="C25" s="2" t="str">
        <f>OF!C41</f>
        <v>&lt;.01 acre.</v>
      </c>
      <c r="D25" s="44">
        <f>OF!D41</f>
        <v>0</v>
      </c>
      <c r="E25" s="65">
        <v>0</v>
      </c>
      <c r="F25" s="45">
        <f t="shared" ref="F25:F31" si="3">D25*E25</f>
        <v>0</v>
      </c>
      <c r="G25" s="792"/>
      <c r="H25" s="1521"/>
    </row>
    <row r="26" spans="1:9" ht="16.2" customHeight="1" x14ac:dyDescent="0.25">
      <c r="A26" s="1990"/>
      <c r="B26" s="1582"/>
      <c r="C26" s="95" t="str">
        <f>OF!C42</f>
        <v>.01 to &lt; 1 acre.</v>
      </c>
      <c r="D26" s="44">
        <f>OF!D42</f>
        <v>0</v>
      </c>
      <c r="E26" s="65">
        <v>2</v>
      </c>
      <c r="F26" s="45">
        <f t="shared" si="3"/>
        <v>0</v>
      </c>
      <c r="G26" s="793"/>
      <c r="H26" s="1521"/>
    </row>
    <row r="27" spans="1:9" ht="16.2" customHeight="1" x14ac:dyDescent="0.25">
      <c r="A27" s="1990"/>
      <c r="B27" s="1582"/>
      <c r="C27" s="95" t="str">
        <f>OF!C43</f>
        <v>1 to &lt;10 acres.</v>
      </c>
      <c r="D27" s="44">
        <f>OF!D43</f>
        <v>0</v>
      </c>
      <c r="E27" s="65">
        <v>4</v>
      </c>
      <c r="F27" s="45">
        <f t="shared" si="3"/>
        <v>0</v>
      </c>
      <c r="G27" s="793"/>
      <c r="H27" s="1521"/>
    </row>
    <row r="28" spans="1:9" ht="16.2" customHeight="1" x14ac:dyDescent="0.25">
      <c r="A28" s="1990"/>
      <c r="B28" s="1582"/>
      <c r="C28" s="95" t="str">
        <f>OF!C44</f>
        <v>10 to &lt;100 acres.</v>
      </c>
      <c r="D28" s="44">
        <f>OF!D44</f>
        <v>0</v>
      </c>
      <c r="E28" s="65">
        <v>5</v>
      </c>
      <c r="F28" s="45">
        <f t="shared" si="3"/>
        <v>0</v>
      </c>
      <c r="G28" s="793"/>
      <c r="H28" s="1521"/>
    </row>
    <row r="29" spans="1:9" ht="16.2" customHeight="1" x14ac:dyDescent="0.25">
      <c r="A29" s="1990"/>
      <c r="B29" s="1582"/>
      <c r="C29" s="95" t="str">
        <f>OF!C45</f>
        <v>100 to &lt;1000 acres.</v>
      </c>
      <c r="D29" s="44">
        <f>OF!D45</f>
        <v>0</v>
      </c>
      <c r="E29" s="65">
        <v>6</v>
      </c>
      <c r="F29" s="45">
        <f t="shared" si="3"/>
        <v>0</v>
      </c>
      <c r="G29" s="793"/>
      <c r="H29" s="1521"/>
    </row>
    <row r="30" spans="1:9" ht="16.2" customHeight="1" x14ac:dyDescent="0.25">
      <c r="A30" s="1990"/>
      <c r="B30" s="1582"/>
      <c r="C30" s="95" t="str">
        <f>OF!C46</f>
        <v>1000 to 10,000 acres.</v>
      </c>
      <c r="D30" s="44">
        <f>OF!D46</f>
        <v>0</v>
      </c>
      <c r="E30" s="65">
        <v>7</v>
      </c>
      <c r="F30" s="45">
        <f t="shared" si="3"/>
        <v>0</v>
      </c>
      <c r="G30" s="793"/>
      <c r="H30" s="1521"/>
    </row>
    <row r="31" spans="1:9" ht="16.2" customHeight="1" thickBot="1" x14ac:dyDescent="0.3">
      <c r="A31" s="1991"/>
      <c r="B31" s="1600"/>
      <c r="C31" s="254" t="str">
        <f>OF!C47</f>
        <v>&gt;10,000 acres.</v>
      </c>
      <c r="D31" s="17">
        <f>OF!D47</f>
        <v>0</v>
      </c>
      <c r="E31" s="479">
        <v>8</v>
      </c>
      <c r="F31" s="193">
        <f t="shared" si="3"/>
        <v>0</v>
      </c>
      <c r="G31" s="794"/>
      <c r="H31" s="1523"/>
    </row>
    <row r="32" spans="1:9" ht="21" customHeight="1" thickBot="1" x14ac:dyDescent="0.3">
      <c r="A32" s="1989" t="str">
        <f>OF!A76</f>
        <v>OF13</v>
      </c>
      <c r="B32" s="1599" t="str">
        <f>OF!B76</f>
        <v>Local Wetland Connectivity (ConnLocalW)</v>
      </c>
      <c r="C32" s="75" t="str">
        <f>OF!C76</f>
        <v>Within a 0.5 mile radius of the AA center:</v>
      </c>
      <c r="D32" s="1249"/>
      <c r="E32" s="210"/>
      <c r="F32" s="241"/>
      <c r="G32" s="791">
        <f>MAX(F33:F36)/MAX(E33:E36)</f>
        <v>0</v>
      </c>
      <c r="H32" s="1522" t="s">
        <v>197</v>
      </c>
    </row>
    <row r="33" spans="1:9" ht="16.2" customHeight="1" x14ac:dyDescent="0.25">
      <c r="A33" s="1990"/>
      <c r="B33" s="1582"/>
      <c r="C33" s="2" t="str">
        <f>OF!C77</f>
        <v>There are NO other wetlands.</v>
      </c>
      <c r="D33" s="44">
        <f>OF!D77</f>
        <v>0</v>
      </c>
      <c r="E33" s="49">
        <v>0</v>
      </c>
      <c r="F33" s="45">
        <f>D33*E33</f>
        <v>0</v>
      </c>
      <c r="G33" s="792"/>
      <c r="H33" s="1521"/>
    </row>
    <row r="34" spans="1:9" ht="42" customHeight="1" x14ac:dyDescent="0.25">
      <c r="A34" s="1990"/>
      <c r="B34" s="1582"/>
      <c r="C34" s="95" t="str">
        <f>OF!C78</f>
        <v>There are other wetlands (or a wetland), but NONE are connected to the AA by a corridor of perennial vegetation.  The corridor must be at least 150 ft wide along its entire length and not interrupted by roads with regular traffic.</v>
      </c>
      <c r="D34" s="44">
        <f>OF!D78</f>
        <v>0</v>
      </c>
      <c r="E34" s="49">
        <v>1</v>
      </c>
      <c r="F34" s="45">
        <f>D34*E34</f>
        <v>0</v>
      </c>
      <c r="G34" s="793"/>
      <c r="H34" s="1521"/>
    </row>
    <row r="35" spans="1:9" ht="31.5" customHeight="1" x14ac:dyDescent="0.25">
      <c r="A35" s="1990"/>
      <c r="B35" s="1582"/>
      <c r="C35" s="95" t="str">
        <f>OF!C79</f>
        <v>There are other wetlands (or a wetland), and ALL are connected to the AA by the type of corridor described.</v>
      </c>
      <c r="D35" s="44">
        <f>OF!D79</f>
        <v>0</v>
      </c>
      <c r="E35" s="49">
        <v>3</v>
      </c>
      <c r="F35" s="45">
        <f>D35*E35</f>
        <v>0</v>
      </c>
      <c r="G35" s="793"/>
      <c r="H35" s="1521"/>
    </row>
    <row r="36" spans="1:9" ht="27" customHeight="1" thickBot="1" x14ac:dyDescent="0.3">
      <c r="A36" s="1991"/>
      <c r="B36" s="1600"/>
      <c r="C36" s="254" t="str">
        <f>OF!C80</f>
        <v>There are other wetlands (or a wetland), and ONE or MORE (but not all) are connected to the AA by the type of corridor described.</v>
      </c>
      <c r="D36" s="17">
        <f>OF!D80</f>
        <v>0</v>
      </c>
      <c r="E36" s="245">
        <v>2</v>
      </c>
      <c r="F36" s="193">
        <f>D36*E36</f>
        <v>0</v>
      </c>
      <c r="G36" s="794"/>
      <c r="H36" s="1523"/>
    </row>
    <row r="37" spans="1:9" ht="30" customHeight="1" thickBot="1" x14ac:dyDescent="0.3">
      <c r="A37" s="2084" t="str">
        <f>F!A18</f>
        <v>F5</v>
      </c>
      <c r="B37" s="1582" t="str">
        <f>F!B18</f>
        <v>Depth Class (Predominant)  (DepthDom)</v>
      </c>
      <c r="C37" s="244" t="str">
        <f>F!C18</f>
        <v>When water is present in the AA, the depth most of the time in most of inundated area is: 
[Note: NOT necessarily the maximum spatial or annual depth]</v>
      </c>
      <c r="D37" s="1249"/>
      <c r="E37" s="65"/>
      <c r="F37" s="867"/>
      <c r="G37" s="801">
        <f>IF((NeverWater+TempWet&gt;0),"",IF((TempWet=1),"",MAX(F38:F42)/MAX(E38:E42)))</f>
        <v>0</v>
      </c>
      <c r="H37" s="1582" t="s">
        <v>1159</v>
      </c>
      <c r="I37" s="3"/>
    </row>
    <row r="38" spans="1:9" ht="16.2" customHeight="1" x14ac:dyDescent="0.25">
      <c r="A38" s="2084"/>
      <c r="B38" s="1582"/>
      <c r="C38" s="215" t="str">
        <f>F!C19</f>
        <v>&gt;0 to &lt;0.5 ft.</v>
      </c>
      <c r="D38" s="44">
        <f>F!D19</f>
        <v>0</v>
      </c>
      <c r="E38" s="49">
        <v>5</v>
      </c>
      <c r="F38" s="843">
        <f>D38*E38</f>
        <v>0</v>
      </c>
      <c r="G38" s="792"/>
      <c r="H38" s="1582"/>
    </row>
    <row r="39" spans="1:9" ht="16.2" customHeight="1" x14ac:dyDescent="0.25">
      <c r="A39" s="2084"/>
      <c r="B39" s="1582"/>
      <c r="C39" s="216" t="str">
        <f>F!C20</f>
        <v>0.5 to &lt; 1 ft deep.</v>
      </c>
      <c r="D39" s="44">
        <f>F!D20</f>
        <v>0</v>
      </c>
      <c r="E39" s="49">
        <v>4</v>
      </c>
      <c r="F39" s="843">
        <f>D39*E39</f>
        <v>0</v>
      </c>
      <c r="G39" s="793"/>
      <c r="H39" s="1582"/>
    </row>
    <row r="40" spans="1:9" ht="16.2" customHeight="1" x14ac:dyDescent="0.25">
      <c r="A40" s="2084"/>
      <c r="B40" s="1582"/>
      <c r="C40" s="216" t="str">
        <f>F!C21</f>
        <v>1 to &lt;3 ft deep.</v>
      </c>
      <c r="D40" s="44">
        <f>F!D21</f>
        <v>0</v>
      </c>
      <c r="E40" s="49">
        <v>2</v>
      </c>
      <c r="F40" s="843">
        <f>D40*E40</f>
        <v>0</v>
      </c>
      <c r="G40" s="793"/>
      <c r="H40" s="1582"/>
    </row>
    <row r="41" spans="1:9" ht="16.2" customHeight="1" x14ac:dyDescent="0.25">
      <c r="A41" s="2084"/>
      <c r="B41" s="1582"/>
      <c r="C41" s="216" t="str">
        <f>F!C22</f>
        <v>3 to 6 ft deep.</v>
      </c>
      <c r="D41" s="44">
        <f>F!D22</f>
        <v>0</v>
      </c>
      <c r="E41" s="49">
        <v>1</v>
      </c>
      <c r="F41" s="843">
        <f>D41*E41</f>
        <v>0</v>
      </c>
      <c r="G41" s="793"/>
      <c r="H41" s="1582"/>
    </row>
    <row r="42" spans="1:9" ht="16.2" customHeight="1" thickBot="1" x14ac:dyDescent="0.3">
      <c r="A42" s="2084"/>
      <c r="B42" s="1582"/>
      <c r="C42" s="95" t="str">
        <f>F!C23</f>
        <v>&gt;6 ft deep.</v>
      </c>
      <c r="D42" s="17">
        <f>F!D23</f>
        <v>0</v>
      </c>
      <c r="E42" s="67">
        <v>0</v>
      </c>
      <c r="F42" s="844">
        <f>D42*E42</f>
        <v>0</v>
      </c>
      <c r="G42" s="800"/>
      <c r="H42" s="1582"/>
    </row>
    <row r="43" spans="1:9" ht="30" customHeight="1" thickBot="1" x14ac:dyDescent="0.3">
      <c r="A43" s="1864" t="str">
        <f>F!A24</f>
        <v>F6</v>
      </c>
      <c r="B43" s="1599" t="str">
        <f>F!B24</f>
        <v>Depth Class Distribution (DepthEven)</v>
      </c>
      <c r="C43" s="75" t="str">
        <f>F!C24</f>
        <v>Within the area described above, and during most of the time when surface water is present, the water area has: Select only one.</v>
      </c>
      <c r="D43" s="1249"/>
      <c r="E43" s="210"/>
      <c r="F43" s="878"/>
      <c r="G43" s="801">
        <f>IF((NeverWater+TempWet&gt;0),"",IF((TempWet=1),"",MAX(F44:F46)/MAX(E44:E46)))</f>
        <v>0</v>
      </c>
      <c r="H43" s="1522" t="s">
        <v>1651</v>
      </c>
      <c r="I43" s="3"/>
    </row>
    <row r="44" spans="1:9" ht="27" customHeight="1" x14ac:dyDescent="0.25">
      <c r="A44" s="1865"/>
      <c r="B44" s="1582"/>
      <c r="C44" s="215" t="str">
        <f>F!C25</f>
        <v>One depth class covering &gt;90% of the AA’s inundated area (use the classes in the question above).</v>
      </c>
      <c r="D44" s="44">
        <f>F!D25</f>
        <v>0</v>
      </c>
      <c r="E44" s="49">
        <v>1</v>
      </c>
      <c r="F44" s="843">
        <f>D44*E44</f>
        <v>0</v>
      </c>
      <c r="G44" s="792"/>
      <c r="H44" s="1521"/>
    </row>
    <row r="45" spans="1:9" ht="27" customHeight="1" x14ac:dyDescent="0.25">
      <c r="A45" s="1865"/>
      <c r="B45" s="1582"/>
      <c r="C45" s="216" t="str">
        <f>F!C26</f>
        <v>One depth class covering 51-90% of the AA’s inundated area (use the classes in the question above).</v>
      </c>
      <c r="D45" s="44">
        <f>F!D26</f>
        <v>0</v>
      </c>
      <c r="E45" s="49">
        <v>2</v>
      </c>
      <c r="F45" s="843">
        <f>D45*E45</f>
        <v>0</v>
      </c>
      <c r="G45" s="793"/>
      <c r="H45" s="1521"/>
    </row>
    <row r="46" spans="1:9" ht="16.2" customHeight="1" thickBot="1" x14ac:dyDescent="0.3">
      <c r="A46" s="1866"/>
      <c r="B46" s="1600"/>
      <c r="C46" s="254" t="str">
        <f>F!C27</f>
        <v>Neither of above.  There are 3 or more depth classes and none occupy &gt;50%.</v>
      </c>
      <c r="D46" s="17">
        <f>F!D27</f>
        <v>0</v>
      </c>
      <c r="E46" s="245">
        <v>3</v>
      </c>
      <c r="F46" s="845">
        <f>D46*E46</f>
        <v>0</v>
      </c>
      <c r="G46" s="794"/>
      <c r="H46" s="1523"/>
    </row>
    <row r="47" spans="1:9" s="3" customFormat="1" ht="45" customHeight="1" thickBot="1" x14ac:dyDescent="0.3">
      <c r="A47" s="2084" t="str">
        <f>F!A28</f>
        <v>F7</v>
      </c>
      <c r="B47" s="1582" t="str">
        <f>F!B28</f>
        <v>Emergent Plants -- Area (EmArea)</v>
      </c>
      <c r="C47" s="114" t="str">
        <f>F!C28</f>
        <v>Consider just the area that has surface water for &gt;1 week during the growing season.  Herbaceous plants (not moss, not woody) whose foliage extends above a water surface in this area (i.e., emergents) cumulatively occupy an annual maximum of:</v>
      </c>
      <c r="D47" s="1250"/>
      <c r="E47" s="65"/>
      <c r="F47" s="867"/>
      <c r="G47" s="799">
        <f>IF((NeverWater=1),"",MAX(F48:F53)/MAX(E48:E53))</f>
        <v>0</v>
      </c>
      <c r="H47" s="1521" t="s">
        <v>1652</v>
      </c>
    </row>
    <row r="48" spans="1:9" s="3" customFormat="1" ht="28.5" customHeight="1" x14ac:dyDescent="0.25">
      <c r="A48" s="2084"/>
      <c r="B48" s="1582"/>
      <c r="C48" s="449" t="str">
        <f>F!C29</f>
        <v>&lt;0.01 acre (&lt; 400 sq.ft).  Enter 1 and SKIP TO F10, unless only part of a wetland is being assessed.</v>
      </c>
      <c r="D48" s="44">
        <f>F!D29</f>
        <v>0</v>
      </c>
      <c r="E48" s="49">
        <v>1</v>
      </c>
      <c r="F48" s="843">
        <f t="shared" ref="F48:F53" si="4">D48*E48</f>
        <v>0</v>
      </c>
      <c r="G48" s="792"/>
      <c r="H48" s="1521"/>
    </row>
    <row r="49" spans="1:9" s="3" customFormat="1" ht="16.2" customHeight="1" x14ac:dyDescent="0.25">
      <c r="A49" s="2084"/>
      <c r="B49" s="1582"/>
      <c r="C49" s="450" t="str">
        <f>F!C30</f>
        <v>0.01 to&lt; 0.10 acres (3,920 sq. ft).</v>
      </c>
      <c r="D49" s="44">
        <f>F!D30</f>
        <v>0</v>
      </c>
      <c r="E49" s="49">
        <v>2</v>
      </c>
      <c r="F49" s="843">
        <f t="shared" si="4"/>
        <v>0</v>
      </c>
      <c r="G49" s="793"/>
      <c r="H49" s="1521"/>
    </row>
    <row r="50" spans="1:9" s="3" customFormat="1" ht="16.2" customHeight="1" x14ac:dyDescent="0.25">
      <c r="A50" s="2084"/>
      <c r="B50" s="1582"/>
      <c r="C50" s="450" t="str">
        <f>F!C31</f>
        <v>0.10 to &lt;0.50 acres (21,340 sq. ft).</v>
      </c>
      <c r="D50" s="44">
        <f>F!D31</f>
        <v>0</v>
      </c>
      <c r="E50" s="49">
        <v>3</v>
      </c>
      <c r="F50" s="843">
        <f t="shared" si="4"/>
        <v>0</v>
      </c>
      <c r="G50" s="793"/>
      <c r="H50" s="1521"/>
    </row>
    <row r="51" spans="1:9" s="3" customFormat="1" ht="16.2" customHeight="1" x14ac:dyDescent="0.25">
      <c r="A51" s="2084"/>
      <c r="B51" s="1582"/>
      <c r="C51" s="450" t="str">
        <f>F!C32</f>
        <v>0.50 to &lt;5 acres.</v>
      </c>
      <c r="D51" s="44">
        <f>F!D32</f>
        <v>0</v>
      </c>
      <c r="E51" s="49">
        <v>4</v>
      </c>
      <c r="F51" s="843">
        <f t="shared" si="4"/>
        <v>0</v>
      </c>
      <c r="G51" s="793"/>
      <c r="H51" s="1521"/>
    </row>
    <row r="52" spans="1:9" s="3" customFormat="1" ht="16.2" customHeight="1" x14ac:dyDescent="0.25">
      <c r="A52" s="2084"/>
      <c r="B52" s="1582"/>
      <c r="C52" s="450" t="str">
        <f>F!C33</f>
        <v>5 to 50 acres.</v>
      </c>
      <c r="D52" s="44">
        <f>F!D33</f>
        <v>0</v>
      </c>
      <c r="E52" s="49">
        <v>5</v>
      </c>
      <c r="F52" s="843">
        <f t="shared" si="4"/>
        <v>0</v>
      </c>
      <c r="G52" s="793"/>
      <c r="H52" s="1521"/>
    </row>
    <row r="53" spans="1:9" s="3" customFormat="1" ht="16.2" customHeight="1" thickBot="1" x14ac:dyDescent="0.3">
      <c r="A53" s="2084"/>
      <c r="B53" s="1582"/>
      <c r="C53" s="286" t="str">
        <f>F!C34</f>
        <v>&gt;50 acres.</v>
      </c>
      <c r="D53" s="17">
        <f>F!D34</f>
        <v>0</v>
      </c>
      <c r="E53" s="67">
        <v>6</v>
      </c>
      <c r="F53" s="844">
        <f t="shared" si="4"/>
        <v>0</v>
      </c>
      <c r="G53" s="800"/>
      <c r="H53" s="1521"/>
    </row>
    <row r="54" spans="1:9" s="3" customFormat="1" ht="21" customHeight="1" thickBot="1" x14ac:dyDescent="0.3">
      <c r="A54" s="1864" t="str">
        <f>F!A35</f>
        <v>F8</v>
      </c>
      <c r="B54" s="1599" t="str">
        <f>F!B35</f>
        <v>% Emergent Plants (EmPct)</v>
      </c>
      <c r="C54" s="836" t="str">
        <f>F!C35</f>
        <v>Emergent plants occupy an annual maximum of:</v>
      </c>
      <c r="D54" s="1249"/>
      <c r="E54" s="210"/>
      <c r="F54" s="953"/>
      <c r="G54" s="804">
        <f>IF((NeverWater=1),"",IF((NoEm=1),"",MAX(F55:F59)/MAX(E55:E59)))</f>
        <v>0</v>
      </c>
      <c r="H54" s="1522" t="s">
        <v>1685</v>
      </c>
    </row>
    <row r="55" spans="1:9" s="3" customFormat="1" ht="16.2" customHeight="1" x14ac:dyDescent="0.25">
      <c r="A55" s="1865"/>
      <c r="B55" s="1582"/>
      <c r="C55" s="449" t="str">
        <f>F!C36</f>
        <v>&lt;5% of the parts of the AA that are inundated for &gt;7 days at some time of the year.</v>
      </c>
      <c r="D55" s="44">
        <f>F!D36</f>
        <v>0</v>
      </c>
      <c r="E55" s="49">
        <v>0</v>
      </c>
      <c r="F55" s="843">
        <f>D55*E55</f>
        <v>0</v>
      </c>
      <c r="G55" s="792"/>
      <c r="H55" s="1521"/>
    </row>
    <row r="56" spans="1:9" s="3" customFormat="1" ht="16.2" customHeight="1" x14ac:dyDescent="0.25">
      <c r="A56" s="1865"/>
      <c r="B56" s="1582"/>
      <c r="C56" s="450" t="str">
        <f>F!C37</f>
        <v>5 to &lt;30% of the parts of the AA that are inundated for &gt;7 days at some time of the year.</v>
      </c>
      <c r="D56" s="44">
        <f>F!D37</f>
        <v>0</v>
      </c>
      <c r="E56" s="49">
        <v>2</v>
      </c>
      <c r="F56" s="843">
        <f>D56*E56</f>
        <v>0</v>
      </c>
      <c r="G56" s="793"/>
      <c r="H56" s="1521"/>
    </row>
    <row r="57" spans="1:9" s="3" customFormat="1" ht="16.2" customHeight="1" x14ac:dyDescent="0.25">
      <c r="A57" s="1865"/>
      <c r="B57" s="1582"/>
      <c r="C57" s="450" t="str">
        <f>F!C38</f>
        <v>30 to &lt;60% of the parts of the AA that are inundated for &gt;7 days at some time of the year.</v>
      </c>
      <c r="D57" s="44">
        <f>F!D38</f>
        <v>0</v>
      </c>
      <c r="E57" s="49">
        <v>3</v>
      </c>
      <c r="F57" s="843">
        <f>D57*E57</f>
        <v>0</v>
      </c>
      <c r="G57" s="793"/>
      <c r="H57" s="1521"/>
    </row>
    <row r="58" spans="1:9" s="3" customFormat="1" ht="16.2" customHeight="1" x14ac:dyDescent="0.25">
      <c r="A58" s="1865"/>
      <c r="B58" s="1582"/>
      <c r="C58" s="450" t="str">
        <f>F!C39</f>
        <v>60 to 95% of the parts of the AA that are inundated for &gt;7 days at some time of the year.</v>
      </c>
      <c r="D58" s="44">
        <f>F!D39</f>
        <v>0</v>
      </c>
      <c r="E58" s="49">
        <v>4</v>
      </c>
      <c r="F58" s="843">
        <f>D58*E58</f>
        <v>0</v>
      </c>
      <c r="G58" s="793"/>
      <c r="H58" s="1521"/>
    </row>
    <row r="59" spans="1:9" s="3" customFormat="1" ht="16.2" customHeight="1" thickBot="1" x14ac:dyDescent="0.3">
      <c r="A59" s="1866"/>
      <c r="B59" s="1600"/>
      <c r="C59" s="443" t="str">
        <f>F!C40</f>
        <v>&gt;95% of the parts of the AA that are inundated for &gt;7 days at some time of the year.</v>
      </c>
      <c r="D59" s="198">
        <f>F!D40</f>
        <v>0</v>
      </c>
      <c r="E59" s="245">
        <v>1</v>
      </c>
      <c r="F59" s="845">
        <f>D59*E59</f>
        <v>0</v>
      </c>
      <c r="G59" s="909"/>
      <c r="H59" s="1523"/>
    </row>
    <row r="60" spans="1:9" ht="30" customHeight="1" thickBot="1" x14ac:dyDescent="0.3">
      <c r="A60" s="2084" t="str">
        <f>F!A71</f>
        <v>F14</v>
      </c>
      <c r="B60" s="1582" t="str">
        <f>F!B71</f>
        <v>Ponded Open Water Distribution - Wettest  (WaterMixWet)</v>
      </c>
      <c r="C60" s="438" t="str">
        <f>F!C71</f>
        <v>When water levels are highest, during a normal year, the distribution (in aerial view) of ponded open water patches larger than 0.01 acre (400 sq. ft) within the AA is:</v>
      </c>
      <c r="D60" s="1249"/>
      <c r="E60" s="65"/>
      <c r="F60" s="867"/>
      <c r="G60" s="799">
        <f>IF((NeverWater+TempWet&gt;0),"",IF((NoPond=1),"",MAX(F61:F64)/MAX(E61:E64)))</f>
        <v>0</v>
      </c>
      <c r="H60" s="1521" t="s">
        <v>1653</v>
      </c>
      <c r="I60" s="3"/>
    </row>
    <row r="61" spans="1:9" ht="57" customHeight="1" x14ac:dyDescent="0.25">
      <c r="A61" s="2084"/>
      <c r="B61" s="1582"/>
      <c r="C61" s="449" t="str">
        <f>F!C72</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61" s="44">
        <f>F!D72</f>
        <v>0</v>
      </c>
      <c r="E61" s="65">
        <v>4</v>
      </c>
      <c r="F61" s="843">
        <f>D61*E61</f>
        <v>0</v>
      </c>
      <c r="G61" s="1251"/>
      <c r="H61" s="1521"/>
      <c r="I61" s="3"/>
    </row>
    <row r="62" spans="1:9" ht="59.25" customHeight="1" x14ac:dyDescent="0.25">
      <c r="A62" s="2084"/>
      <c r="B62" s="1582"/>
      <c r="C62" s="450" t="str">
        <f>F!C73</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62" s="44">
        <f>F!D73</f>
        <v>0</v>
      </c>
      <c r="E62" s="65">
        <v>3</v>
      </c>
      <c r="F62" s="843">
        <f>D62*E62</f>
        <v>0</v>
      </c>
      <c r="G62" s="1251"/>
      <c r="H62" s="1521"/>
      <c r="I62" s="3"/>
    </row>
    <row r="63" spans="1:9" ht="42" customHeight="1" x14ac:dyDescent="0.25">
      <c r="A63" s="2084"/>
      <c r="B63" s="1582"/>
      <c r="C63" s="450" t="str">
        <f>F!C74</f>
        <v xml:space="preserve">(a) Vegetation OR open water comprise &gt;70% of the AA (and its bordering  waters) AND (b) There are several small patches of open water scattered within vegetation or several small vegetation clump "islands" scattered within open water. </v>
      </c>
      <c r="D63" s="44">
        <f>F!D74</f>
        <v>0</v>
      </c>
      <c r="E63" s="65">
        <v>2</v>
      </c>
      <c r="F63" s="843">
        <f>D63*E63</f>
        <v>0</v>
      </c>
      <c r="G63" s="1251"/>
      <c r="H63" s="1521"/>
      <c r="I63" s="3"/>
    </row>
    <row r="64" spans="1:9" ht="75.75" customHeight="1" thickBot="1" x14ac:dyDescent="0.3">
      <c r="A64" s="2084"/>
      <c r="B64" s="1582"/>
      <c r="C64" s="286" t="str">
        <f>F!C75</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64" s="17">
        <f>F!D75</f>
        <v>0</v>
      </c>
      <c r="E64" s="93">
        <v>1</v>
      </c>
      <c r="F64" s="844">
        <f>D64*E64</f>
        <v>0</v>
      </c>
      <c r="G64" s="1252"/>
      <c r="H64" s="1521"/>
      <c r="I64" s="3"/>
    </row>
    <row r="65" spans="1:9" ht="54.75" customHeight="1" thickBot="1" x14ac:dyDescent="0.3">
      <c r="A65" s="1864" t="str">
        <f>F!A76</f>
        <v>F15</v>
      </c>
      <c r="B65" s="1599" t="str">
        <f>F!B76</f>
        <v>Width of Vegetated Zone - Wettest  (WidthWet)</v>
      </c>
      <c r="C65" s="836" t="str">
        <f>F!C76</f>
        <v>When water levels are highest, during a normal year, the width of the vegetated wetland  that separates the largest patch of open water within or bordering the AA from the closest adjacent uplands, is predominantly: 
[Note: This is not asking for the maximum width.]</v>
      </c>
      <c r="D65" s="1249"/>
      <c r="E65" s="210"/>
      <c r="F65" s="878"/>
      <c r="G65" s="801">
        <f>IF((NeverWater+TempWet&gt;0),"",IF((NoPond=1),"",MAX(F66:F71)/MAX(E66:E71)))</f>
        <v>0</v>
      </c>
      <c r="H65" s="1522" t="s">
        <v>1708</v>
      </c>
      <c r="I65" s="3"/>
    </row>
    <row r="66" spans="1:9" ht="16.2" customHeight="1" x14ac:dyDescent="0.25">
      <c r="A66" s="1983"/>
      <c r="B66" s="1987"/>
      <c r="C66" s="11" t="str">
        <f>F!C77</f>
        <v>&lt;5 ft, or no vegetation between upland and open water.</v>
      </c>
      <c r="D66" s="44">
        <f>F!D77</f>
        <v>0</v>
      </c>
      <c r="E66" s="49">
        <v>0</v>
      </c>
      <c r="F66" s="843">
        <f t="shared" ref="F66:F71" si="5">D66*E66</f>
        <v>0</v>
      </c>
      <c r="G66" s="792"/>
      <c r="H66" s="1521"/>
    </row>
    <row r="67" spans="1:9" ht="16.2" customHeight="1" x14ac:dyDescent="0.25">
      <c r="A67" s="1983"/>
      <c r="B67" s="1987"/>
      <c r="C67" s="286" t="str">
        <f>F!C78</f>
        <v>5 to &lt;30 ft.</v>
      </c>
      <c r="D67" s="44">
        <f>F!D78</f>
        <v>0</v>
      </c>
      <c r="E67" s="49">
        <v>2</v>
      </c>
      <c r="F67" s="843">
        <f t="shared" si="5"/>
        <v>0</v>
      </c>
      <c r="G67" s="793"/>
      <c r="H67" s="1521"/>
    </row>
    <row r="68" spans="1:9" ht="16.2" customHeight="1" x14ac:dyDescent="0.25">
      <c r="A68" s="1983"/>
      <c r="B68" s="1987"/>
      <c r="C68" s="286" t="str">
        <f>F!C79</f>
        <v>30 to &lt;50 ft.</v>
      </c>
      <c r="D68" s="44">
        <f>F!D79</f>
        <v>0</v>
      </c>
      <c r="E68" s="49">
        <v>4</v>
      </c>
      <c r="F68" s="843">
        <f t="shared" si="5"/>
        <v>0</v>
      </c>
      <c r="G68" s="793"/>
      <c r="H68" s="1521"/>
    </row>
    <row r="69" spans="1:9" ht="16.2" customHeight="1" x14ac:dyDescent="0.25">
      <c r="A69" s="1983"/>
      <c r="B69" s="1987"/>
      <c r="C69" s="286" t="str">
        <f>F!C80</f>
        <v>50 to &lt;100 ft.</v>
      </c>
      <c r="D69" s="44">
        <f>F!D80</f>
        <v>0</v>
      </c>
      <c r="E69" s="49">
        <v>6</v>
      </c>
      <c r="F69" s="843">
        <f t="shared" si="5"/>
        <v>0</v>
      </c>
      <c r="G69" s="793"/>
      <c r="H69" s="1521"/>
    </row>
    <row r="70" spans="1:9" ht="16.2" customHeight="1" x14ac:dyDescent="0.25">
      <c r="A70" s="1983"/>
      <c r="B70" s="1987"/>
      <c r="C70" s="286" t="str">
        <f>F!C81</f>
        <v>100 to 300 ft.</v>
      </c>
      <c r="D70" s="44">
        <f>F!D81</f>
        <v>0</v>
      </c>
      <c r="E70" s="49">
        <v>7</v>
      </c>
      <c r="F70" s="843">
        <f t="shared" si="5"/>
        <v>0</v>
      </c>
      <c r="G70" s="793"/>
      <c r="H70" s="1521"/>
    </row>
    <row r="71" spans="1:9" ht="16.2" customHeight="1" thickBot="1" x14ac:dyDescent="0.3">
      <c r="A71" s="1984"/>
      <c r="B71" s="1988"/>
      <c r="C71" s="443" t="str">
        <f>F!C82</f>
        <v>&gt; 300 ft.</v>
      </c>
      <c r="D71" s="17">
        <f>F!D82</f>
        <v>0</v>
      </c>
      <c r="E71" s="245">
        <v>8</v>
      </c>
      <c r="F71" s="845">
        <f t="shared" si="5"/>
        <v>0</v>
      </c>
      <c r="G71" s="794"/>
      <c r="H71" s="1523"/>
    </row>
    <row r="72" spans="1:9" ht="21" customHeight="1" thickBot="1" x14ac:dyDescent="0.3">
      <c r="A72" s="1864" t="str">
        <f>F!A120</f>
        <v>F22</v>
      </c>
      <c r="B72" s="1599" t="str">
        <f>F!B120</f>
        <v>Beaver (Beaver)</v>
      </c>
      <c r="C72" s="75" t="str">
        <f>F!C120</f>
        <v>Use of the AA by beaver during the past 5 years is:  Select most applicable ONE.</v>
      </c>
      <c r="D72" s="1249"/>
      <c r="E72" s="210"/>
      <c r="F72" s="1222"/>
      <c r="G72" s="801">
        <f>IF((NeverWater+TempWet&gt;0),"",IF((NoPondOW2=1),"",MAX(F73:F77)/MAX(E73:E77)))</f>
        <v>0</v>
      </c>
      <c r="H72" s="1522" t="s">
        <v>1654</v>
      </c>
      <c r="I72" s="3"/>
    </row>
    <row r="73" spans="1:9" ht="16.2" customHeight="1" x14ac:dyDescent="0.25">
      <c r="A73" s="1983"/>
      <c r="B73" s="1987"/>
      <c r="C73" s="215" t="str">
        <f>F!C121</f>
        <v>Evident from direct observation or presence of gnawed limbs, dams, tracks, dens, or lodges.</v>
      </c>
      <c r="D73" s="44">
        <f>F!D121</f>
        <v>0</v>
      </c>
      <c r="E73" s="49">
        <v>5</v>
      </c>
      <c r="F73" s="843">
        <f>D73*E73</f>
        <v>0</v>
      </c>
      <c r="G73" s="792"/>
      <c r="H73" s="1521"/>
    </row>
    <row r="74" spans="1:9" ht="69.75" customHeight="1" x14ac:dyDescent="0.25">
      <c r="A74" s="1983"/>
      <c r="B74" s="1987"/>
      <c r="C74" s="216" t="str">
        <f>F!C122</f>
        <v>Very likely based on known occurrence in this part of the region and proximity to ALL of the following (a) a persistent freshwater wetland, pond, or lake, or a perennial low-gradient (&lt;5%) channel, and (b) average valley width is &gt; 150 ft and (c) &gt;20% cumulative cover of aspen, cottonwood, alder, and willow in vegetated areas within 150 ft of the AA's edge.  Or there is evidence of beaver just outside the AA.</v>
      </c>
      <c r="D74" s="44">
        <f>F!D122</f>
        <v>0</v>
      </c>
      <c r="E74" s="49">
        <v>3</v>
      </c>
      <c r="F74" s="843">
        <f>D74*E74</f>
        <v>0</v>
      </c>
      <c r="G74" s="793"/>
      <c r="H74" s="1521"/>
    </row>
    <row r="75" spans="1:9" ht="57" customHeight="1" x14ac:dyDescent="0.25">
      <c r="A75" s="1983"/>
      <c r="B75" s="1987"/>
      <c r="C75" s="216" t="str">
        <f>F!C123</f>
        <v>Somewhat likely based on known occurrence in this part of the region and proximity to ALL of the following (a) a persistent freshwater wetland, pond, or lake, or a perennial low or mid-gradient (&lt;10%) channel, and (b) average valley width is &gt;50 ft, and (c) &gt;20% cumulative cover of hardwood trees and shrubs in vegetated areas within 150 ft of the AA's edge.</v>
      </c>
      <c r="D75" s="44">
        <f>F!D123</f>
        <v>0</v>
      </c>
      <c r="E75" s="49">
        <v>2</v>
      </c>
      <c r="F75" s="843">
        <f>D75*E75</f>
        <v>0</v>
      </c>
      <c r="G75" s="793"/>
      <c r="H75" s="1521"/>
    </row>
    <row r="76" spans="1:9" ht="27" customHeight="1" x14ac:dyDescent="0.25">
      <c r="A76" s="1983"/>
      <c r="B76" s="1987"/>
      <c r="C76" s="216" t="str">
        <f>F!C124</f>
        <v>Unlikely because site characteristics above are deficient, and/or this is an area where beaver are routinely removed.  But beaver occur within 2 miles.</v>
      </c>
      <c r="D76" s="44">
        <f>F!D124</f>
        <v>0</v>
      </c>
      <c r="E76" s="49">
        <v>1</v>
      </c>
      <c r="F76" s="843">
        <f>D76*E76</f>
        <v>0</v>
      </c>
      <c r="G76" s="793"/>
      <c r="H76" s="1521"/>
    </row>
    <row r="77" spans="1:9" ht="16.2" customHeight="1" thickBot="1" x14ac:dyDescent="0.3">
      <c r="A77" s="1984"/>
      <c r="B77" s="1988"/>
      <c r="C77" s="254" t="str">
        <f>F!C125</f>
        <v>None.  Beaver are absent from this part of the region.</v>
      </c>
      <c r="D77" s="17">
        <f>F!D125</f>
        <v>0</v>
      </c>
      <c r="E77" s="245">
        <v>0</v>
      </c>
      <c r="F77" s="845">
        <f>D77*E77</f>
        <v>0</v>
      </c>
      <c r="G77" s="794"/>
      <c r="H77" s="1523"/>
    </row>
    <row r="78" spans="1:9" ht="21" customHeight="1" thickBot="1" x14ac:dyDescent="0.3">
      <c r="A78" s="2084" t="str">
        <f>F!A128</f>
        <v>F25</v>
      </c>
      <c r="B78" s="1582" t="str">
        <f>F!B128</f>
        <v>Water Fluctuation Range - Maximum  (Fluctu)</v>
      </c>
      <c r="C78" s="244" t="str">
        <f>F!C128</f>
        <v>The maximum vertical fluctuation in surface water within the AA, during a normal year is:</v>
      </c>
      <c r="D78" s="1249"/>
      <c r="E78" s="65"/>
      <c r="F78" s="792"/>
      <c r="G78" s="801">
        <f>MAX(F79:F83)/MAX(E79:E83)</f>
        <v>0</v>
      </c>
      <c r="H78" s="1521" t="s">
        <v>222</v>
      </c>
      <c r="I78" s="3"/>
    </row>
    <row r="79" spans="1:9" ht="16.2" customHeight="1" x14ac:dyDescent="0.25">
      <c r="A79" s="2084"/>
      <c r="B79" s="1582"/>
      <c r="C79" s="2" t="str">
        <f>F!C129</f>
        <v>&lt;0.5 ft or stable.</v>
      </c>
      <c r="D79" s="44">
        <f>F!D129</f>
        <v>0</v>
      </c>
      <c r="E79" s="49">
        <v>1</v>
      </c>
      <c r="F79" s="843">
        <f>D79*E79</f>
        <v>0</v>
      </c>
      <c r="G79" s="792"/>
      <c r="H79" s="1521"/>
      <c r="I79" s="3"/>
    </row>
    <row r="80" spans="1:9" ht="16.2" customHeight="1" x14ac:dyDescent="0.25">
      <c r="A80" s="2084"/>
      <c r="B80" s="1582"/>
      <c r="C80" s="95" t="str">
        <f>F!C130</f>
        <v>0.5 to &lt; 1 ft.</v>
      </c>
      <c r="D80" s="44">
        <f>F!D130</f>
        <v>0</v>
      </c>
      <c r="E80" s="49">
        <v>3</v>
      </c>
      <c r="F80" s="843">
        <f>D80*E80</f>
        <v>0</v>
      </c>
      <c r="G80" s="793"/>
      <c r="H80" s="1521"/>
      <c r="I80" s="3"/>
    </row>
    <row r="81" spans="1:9" ht="16.2" customHeight="1" x14ac:dyDescent="0.25">
      <c r="A81" s="2084"/>
      <c r="B81" s="1582"/>
      <c r="C81" s="95" t="str">
        <f>F!C131</f>
        <v>1 to &lt;3 ft.</v>
      </c>
      <c r="D81" s="44">
        <f>F!D131</f>
        <v>0</v>
      </c>
      <c r="E81" s="49">
        <v>4</v>
      </c>
      <c r="F81" s="843">
        <f>D81*E81</f>
        <v>0</v>
      </c>
      <c r="G81" s="793"/>
      <c r="H81" s="1521"/>
      <c r="I81" s="3"/>
    </row>
    <row r="82" spans="1:9" ht="16.2" customHeight="1" x14ac:dyDescent="0.25">
      <c r="A82" s="2084"/>
      <c r="B82" s="1582"/>
      <c r="C82" s="95" t="str">
        <f>F!C132</f>
        <v>3 to 6 ft.</v>
      </c>
      <c r="D82" s="44">
        <f>F!D132</f>
        <v>0</v>
      </c>
      <c r="E82" s="49">
        <v>5</v>
      </c>
      <c r="F82" s="843">
        <f>D82*E82</f>
        <v>0</v>
      </c>
      <c r="G82" s="793"/>
      <c r="H82" s="1521"/>
      <c r="I82" s="3"/>
    </row>
    <row r="83" spans="1:9" ht="16.2" customHeight="1" thickBot="1" x14ac:dyDescent="0.3">
      <c r="A83" s="2084"/>
      <c r="B83" s="1582"/>
      <c r="C83" s="95" t="str">
        <f>F!C133</f>
        <v>&gt;6 ft.</v>
      </c>
      <c r="D83" s="17">
        <f>F!D133</f>
        <v>0</v>
      </c>
      <c r="E83" s="67">
        <v>2</v>
      </c>
      <c r="F83" s="844">
        <f>D83*E83</f>
        <v>0</v>
      </c>
      <c r="G83" s="800"/>
      <c r="H83" s="1521"/>
      <c r="I83" s="3"/>
    </row>
    <row r="84" spans="1:9" ht="45" customHeight="1" thickBot="1" x14ac:dyDescent="0.3">
      <c r="A84" s="1864" t="str">
        <f>F!A134</f>
        <v>F26</v>
      </c>
      <c r="B84" s="1599" t="str">
        <f>F!B134</f>
        <v>% Only Saturated or Seasonally Flooded (SeasPct)</v>
      </c>
      <c r="C84" s="75"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84" s="1249"/>
      <c r="E84" s="210"/>
      <c r="F84" s="1222"/>
      <c r="G84" s="801">
        <f>MAX(F85:F89)/MAX(E85:E89)</f>
        <v>0</v>
      </c>
      <c r="H84" s="1522" t="s">
        <v>223</v>
      </c>
      <c r="I84" s="3"/>
    </row>
    <row r="85" spans="1:9" ht="16.2" customHeight="1" x14ac:dyDescent="0.25">
      <c r="A85" s="1865"/>
      <c r="B85" s="1582"/>
      <c r="C85" s="2" t="str">
        <f>F!C135</f>
        <v>&lt;5% of the AA, or none (i.e., all water persists for &gt;4 months).</v>
      </c>
      <c r="D85" s="44">
        <f>F!D135</f>
        <v>0</v>
      </c>
      <c r="E85" s="49">
        <v>1</v>
      </c>
      <c r="F85" s="843">
        <f>D85*E85</f>
        <v>0</v>
      </c>
      <c r="G85" s="792"/>
      <c r="H85" s="1521"/>
      <c r="I85" s="3"/>
    </row>
    <row r="86" spans="1:9" ht="16.2" customHeight="1" x14ac:dyDescent="0.25">
      <c r="A86" s="1865"/>
      <c r="B86" s="1582"/>
      <c r="C86" s="95" t="str">
        <f>F!C136</f>
        <v>5 to &lt;25% of the AA.</v>
      </c>
      <c r="D86" s="44">
        <f>F!D136</f>
        <v>0</v>
      </c>
      <c r="E86" s="49">
        <v>2</v>
      </c>
      <c r="F86" s="843">
        <f>D86*E86</f>
        <v>0</v>
      </c>
      <c r="G86" s="793"/>
      <c r="H86" s="1521"/>
      <c r="I86" s="3"/>
    </row>
    <row r="87" spans="1:9" ht="16.2" customHeight="1" x14ac:dyDescent="0.25">
      <c r="A87" s="1865"/>
      <c r="B87" s="1582"/>
      <c r="C87" s="95" t="str">
        <f>F!C137</f>
        <v>25 to &lt;50% of the AA.</v>
      </c>
      <c r="D87" s="44">
        <f>F!D137</f>
        <v>0</v>
      </c>
      <c r="E87" s="49">
        <v>3</v>
      </c>
      <c r="F87" s="843">
        <f>D87*E87</f>
        <v>0</v>
      </c>
      <c r="G87" s="793"/>
      <c r="H87" s="1521"/>
      <c r="I87" s="3"/>
    </row>
    <row r="88" spans="1:9" ht="16.2" customHeight="1" x14ac:dyDescent="0.25">
      <c r="A88" s="1865"/>
      <c r="B88" s="1582"/>
      <c r="C88" s="95" t="str">
        <f>F!C138</f>
        <v>50 to 75% of the AA.</v>
      </c>
      <c r="D88" s="44">
        <f>F!D138</f>
        <v>0</v>
      </c>
      <c r="E88" s="49">
        <v>4</v>
      </c>
      <c r="F88" s="843">
        <f>D88*E88</f>
        <v>0</v>
      </c>
      <c r="G88" s="793"/>
      <c r="H88" s="1521"/>
      <c r="I88" s="3"/>
    </row>
    <row r="89" spans="1:9" ht="16.2" customHeight="1" thickBot="1" x14ac:dyDescent="0.3">
      <c r="A89" s="1866"/>
      <c r="B89" s="1600"/>
      <c r="C89" s="254" t="str">
        <f>F!C139</f>
        <v>&gt;75% of the AA.</v>
      </c>
      <c r="D89" s="17">
        <f>F!D139</f>
        <v>0</v>
      </c>
      <c r="E89" s="245">
        <v>5</v>
      </c>
      <c r="F89" s="845">
        <f>D89*E89</f>
        <v>0</v>
      </c>
      <c r="G89" s="794"/>
      <c r="H89" s="1523"/>
      <c r="I89" s="3"/>
    </row>
    <row r="90" spans="1:9" ht="60" customHeight="1" thickBot="1" x14ac:dyDescent="0.3">
      <c r="A90" s="912" t="str">
        <f>F!A171</f>
        <v>F33</v>
      </c>
      <c r="B90" s="4" t="str">
        <f>F!B171</f>
        <v>Tributary or Overbank Inflow (Inflow)</v>
      </c>
      <c r="C90" s="226" t="str">
        <f>F!C171</f>
        <v>At least once annually, surface water from upstream or another water body moves into the AA. It may enter directly, or as unconfined overflow from a contiguous river or lake.  If it enters only via a pipe, that pipe must be fed by a mapped stream or lake further upslope.  Enter 1, if true.  If false, SKIP to F36.</v>
      </c>
      <c r="D90" s="834">
        <f>F!D171</f>
        <v>0</v>
      </c>
      <c r="E90" s="260"/>
      <c r="F90" s="881"/>
      <c r="G90" s="804">
        <f>D90</f>
        <v>0</v>
      </c>
      <c r="H90" s="114" t="s">
        <v>831</v>
      </c>
      <c r="I90" s="3"/>
    </row>
    <row r="91" spans="1:9" s="87" customFormat="1" ht="45" customHeight="1" thickBot="1" x14ac:dyDescent="0.3">
      <c r="A91" s="1864" t="str">
        <f>F!A177</f>
        <v>F35</v>
      </c>
      <c r="B91" s="2085" t="str">
        <f>F!B177</f>
        <v>Throughflow Complexity (ThruFlo)</v>
      </c>
      <c r="C91" s="1253" t="str">
        <f>F!C177</f>
        <v>[Skip this question if the AA lacks both an inlet and outlet.]  During peak annual flow, water entering the AA in channels encounters which of the following conditions as it travels through the AA: Select the ONE encountered most.</v>
      </c>
      <c r="D91" s="549"/>
      <c r="E91" s="210"/>
      <c r="F91" s="241"/>
      <c r="G91" s="804">
        <f>IF(AND(Inflow=0,NoOutlet=1),"",MAX(F92:F96)/MAX(E92:E96))</f>
        <v>0</v>
      </c>
      <c r="H91" s="2096" t="s">
        <v>1721</v>
      </c>
    </row>
    <row r="92" spans="1:9" s="87" customFormat="1" ht="42" customHeight="1" x14ac:dyDescent="0.25">
      <c r="A92" s="1865"/>
      <c r="B92" s="2086"/>
      <c r="C92" s="1254"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92" s="1218">
        <f>F!D178</f>
        <v>0</v>
      </c>
      <c r="E92" s="49">
        <v>0</v>
      </c>
      <c r="F92" s="843">
        <f>D92*E92</f>
        <v>0</v>
      </c>
      <c r="G92" s="792"/>
      <c r="H92" s="2066"/>
    </row>
    <row r="93" spans="1:9" s="87" customFormat="1" ht="16.2" customHeight="1" x14ac:dyDescent="0.25">
      <c r="A93" s="1865"/>
      <c r="B93" s="2086"/>
      <c r="C93" s="1255" t="str">
        <f>F!C179</f>
        <v>Bumps into herbaceous vegetation but mostly remains in fairly straight channels.</v>
      </c>
      <c r="D93" s="1218">
        <f>F!D179</f>
        <v>0</v>
      </c>
      <c r="E93" s="49">
        <v>1</v>
      </c>
      <c r="F93" s="843">
        <f>D93*E93</f>
        <v>0</v>
      </c>
      <c r="G93" s="793"/>
      <c r="H93" s="2066"/>
    </row>
    <row r="94" spans="1:9" s="87" customFormat="1" ht="27" customHeight="1" x14ac:dyDescent="0.25">
      <c r="A94" s="1865"/>
      <c r="B94" s="2086"/>
      <c r="C94" s="1255" t="str">
        <f>F!C180</f>
        <v>Bumps into herbaceous vegetation and mostly spreads throughout, or follows a fairly indirect path (in widely meandering, multi-branched, or braided channels).</v>
      </c>
      <c r="D94" s="1218">
        <f>F!D180</f>
        <v>0</v>
      </c>
      <c r="E94" s="49">
        <v>2</v>
      </c>
      <c r="F94" s="843">
        <f>D94*E94</f>
        <v>0</v>
      </c>
      <c r="G94" s="793"/>
      <c r="H94" s="2066"/>
    </row>
    <row r="95" spans="1:9" s="87" customFormat="1" ht="16.2" customHeight="1" x14ac:dyDescent="0.25">
      <c r="A95" s="1865"/>
      <c r="B95" s="2086"/>
      <c r="C95" s="1255" t="str">
        <f>F!C181</f>
        <v>Bumps into tree trunks and/or shrub stems but mostly remains in fairly straight channels.</v>
      </c>
      <c r="D95" s="1218">
        <f>F!D181</f>
        <v>0</v>
      </c>
      <c r="E95" s="49">
        <v>1</v>
      </c>
      <c r="F95" s="843">
        <f>D95*E95</f>
        <v>0</v>
      </c>
      <c r="G95" s="793"/>
      <c r="H95" s="2066"/>
    </row>
    <row r="96" spans="1:9" s="87" customFormat="1" ht="27" customHeight="1" thickBot="1" x14ac:dyDescent="0.3">
      <c r="A96" s="1866"/>
      <c r="B96" s="2087"/>
      <c r="C96" s="1256" t="str">
        <f>F!C182</f>
        <v>Bumps into tree trunks and/or shrub stems and follows a fairly indirect path  (meandering, multi-branched, or braided) from entrance to exit.</v>
      </c>
      <c r="D96" s="1257">
        <f>F!D182</f>
        <v>0</v>
      </c>
      <c r="E96" s="245">
        <v>2</v>
      </c>
      <c r="F96" s="845">
        <f>D96*E96</f>
        <v>0</v>
      </c>
      <c r="G96" s="794"/>
      <c r="H96" s="2097"/>
    </row>
    <row r="97" spans="1:9" ht="21" customHeight="1" thickBot="1" x14ac:dyDescent="0.3">
      <c r="A97" s="1864" t="str">
        <f>F!A188</f>
        <v>F37</v>
      </c>
      <c r="B97" s="1599" t="str">
        <f>F!B188</f>
        <v xml:space="preserve">Groundwater Strength of Evidence (Groundw) </v>
      </c>
      <c r="C97" s="75" t="str">
        <f>F!C188</f>
        <v>Select first one that applies:</v>
      </c>
      <c r="D97" s="549"/>
      <c r="E97" s="210"/>
      <c r="F97" s="1222"/>
      <c r="G97" s="801">
        <f>MAX(F98:F101)/MAX(E98:E101)</f>
        <v>0</v>
      </c>
      <c r="H97" s="1522" t="s">
        <v>117</v>
      </c>
      <c r="I97" s="3"/>
    </row>
    <row r="98" spans="1:9" ht="99" customHeight="1" x14ac:dyDescent="0.25">
      <c r="A98" s="1983"/>
      <c r="B98" s="1987"/>
      <c r="C98" s="215"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98" s="44">
        <f>F!D189</f>
        <v>0</v>
      </c>
      <c r="E98" s="49">
        <v>3</v>
      </c>
      <c r="F98" s="843">
        <f>D98*E98</f>
        <v>0</v>
      </c>
      <c r="G98" s="806"/>
      <c r="H98" s="1521"/>
    </row>
    <row r="99" spans="1:9" ht="99" customHeight="1" x14ac:dyDescent="0.25">
      <c r="A99" s="1983"/>
      <c r="B99" s="1987"/>
      <c r="C99" s="216"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99" s="44">
        <f>F!D190</f>
        <v>0</v>
      </c>
      <c r="E99" s="49">
        <v>2</v>
      </c>
      <c r="F99" s="843">
        <f>D99*E99</f>
        <v>0</v>
      </c>
      <c r="G99" s="800"/>
      <c r="H99" s="1521"/>
    </row>
    <row r="100" spans="1:9" ht="39.75" customHeight="1" x14ac:dyDescent="0.25">
      <c r="A100" s="1983"/>
      <c r="B100" s="1987"/>
      <c r="C100" s="216" t="str">
        <f>F!C191</f>
        <v>The AA is not in an Arid or Semi-arid hydrologic unit, but has persistent ponded water, no tributary, and is not fed by wastewater, concentrated stormwater, or irrigation water, or by an adjacent river or lake.</v>
      </c>
      <c r="D100" s="44">
        <f>F!D191</f>
        <v>0</v>
      </c>
      <c r="E100" s="49">
        <v>1</v>
      </c>
      <c r="F100" s="843">
        <f>D100*E100</f>
        <v>0</v>
      </c>
      <c r="G100" s="800"/>
      <c r="H100" s="1521"/>
    </row>
    <row r="101" spans="1:9" ht="27" customHeight="1" thickBot="1" x14ac:dyDescent="0.3">
      <c r="A101" s="1984"/>
      <c r="B101" s="1988"/>
      <c r="C101" s="254" t="str">
        <f>F!C192</f>
        <v>None of above is true, OR AA contains a hot spring. Some groundwater may nonetheless discharge to or flow through the wetland.</v>
      </c>
      <c r="D101" s="198">
        <f>F!D192</f>
        <v>0</v>
      </c>
      <c r="E101" s="245">
        <v>0</v>
      </c>
      <c r="F101" s="845">
        <f>D101*E101</f>
        <v>0</v>
      </c>
      <c r="G101" s="794"/>
      <c r="H101" s="1523"/>
    </row>
    <row r="102" spans="1:9" ht="30" customHeight="1" thickBot="1" x14ac:dyDescent="0.3">
      <c r="A102" s="1864" t="str">
        <f>F!A205</f>
        <v>F40</v>
      </c>
      <c r="B102" s="1599" t="str">
        <f>F!B205</f>
        <v>Species Dominance - Herbaceous (HerbDom)</v>
      </c>
      <c r="C102" s="75" t="str">
        <f>F!C205</f>
        <v>Determine which two native herbaceous (forb, fern, and graminoid) species comprise the greatest portion of the herbaceous cover that is unshaded by a woody canopy.  Then select one:</v>
      </c>
      <c r="D102" s="549"/>
      <c r="E102" s="208"/>
      <c r="F102" s="878"/>
      <c r="G102" s="801">
        <f>IF((NoHerb=1),"",MAX(F103:F104)/MAX(E103:E104))</f>
        <v>0</v>
      </c>
      <c r="H102" s="1622" t="s">
        <v>1731</v>
      </c>
      <c r="I102" s="3"/>
    </row>
    <row r="103" spans="1:9" ht="27" customHeight="1" x14ac:dyDescent="0.25">
      <c r="A103" s="1865"/>
      <c r="B103" s="1582"/>
      <c r="C103" s="215" t="str">
        <f>F!C206</f>
        <v>Those species together comprise more than half of the areal cover of native herbaceous plants at any time during the year, i.e., one dominant species or two co-dominants.  Also mark this if &lt;20% of the vegetated cover is native species.</v>
      </c>
      <c r="D103" s="44">
        <f>F!D206</f>
        <v>0</v>
      </c>
      <c r="E103" s="848">
        <v>0</v>
      </c>
      <c r="F103" s="843">
        <f>D103*E103</f>
        <v>0</v>
      </c>
      <c r="G103" s="792"/>
      <c r="H103" s="1623"/>
    </row>
    <row r="104" spans="1:9" ht="27" customHeight="1" thickBot="1" x14ac:dyDescent="0.3">
      <c r="A104" s="1866"/>
      <c r="B104" s="1600"/>
      <c r="C104" s="254" t="str">
        <f>F!C207</f>
        <v>Those species together comprise less than half of the areal cover of native herbaceous plants at any time during the year.</v>
      </c>
      <c r="D104" s="17">
        <f>F!D207</f>
        <v>0</v>
      </c>
      <c r="E104" s="470">
        <v>1</v>
      </c>
      <c r="F104" s="845">
        <f>D104*E104</f>
        <v>0</v>
      </c>
      <c r="G104" s="794"/>
      <c r="H104" s="1624"/>
    </row>
    <row r="105" spans="1:9" ht="21" customHeight="1" thickBot="1" x14ac:dyDescent="0.3">
      <c r="A105" s="2084" t="str">
        <f>F!A208</f>
        <v>F41</v>
      </c>
      <c r="B105" s="1582" t="str">
        <f>F!B208</f>
        <v>Invasive or Non-native - % of Vegetative Cover (Invas)</v>
      </c>
      <c r="C105" s="244" t="str">
        <f>F!C208</f>
        <v>Vegetative cover (annual maximum) is:</v>
      </c>
      <c r="D105" s="192"/>
      <c r="E105" s="65"/>
      <c r="F105" s="1258"/>
      <c r="G105" s="801">
        <f>IF((NoHerb=1),"",MAX(F106:F109)/MAX(E106:E109))</f>
        <v>0</v>
      </c>
      <c r="H105" s="1582" t="s">
        <v>1745</v>
      </c>
    </row>
    <row r="106" spans="1:9" ht="27" customHeight="1" x14ac:dyDescent="0.25">
      <c r="A106" s="2084"/>
      <c r="B106" s="1582"/>
      <c r="C106" s="215" t="str">
        <f>F!C209</f>
        <v>Overwhelmingly (&gt;80% cover) non-native species AND &gt;10% of the herbaceous cover is invasive species.  
(See ORWAP SuppInfo file for species designations).</v>
      </c>
      <c r="D106" s="44">
        <f>F!D209</f>
        <v>0</v>
      </c>
      <c r="E106" s="49">
        <v>0</v>
      </c>
      <c r="F106" s="843">
        <f>D106*E106</f>
        <v>0</v>
      </c>
      <c r="G106" s="792"/>
      <c r="H106" s="1582"/>
      <c r="I106" s="3"/>
    </row>
    <row r="107" spans="1:9" ht="27" customHeight="1" x14ac:dyDescent="0.25">
      <c r="A107" s="2084"/>
      <c r="B107" s="1582"/>
      <c r="C107" s="216" t="str">
        <f>F!C210</f>
        <v xml:space="preserve">Overwhelmingly (&gt;80% cover) non-native species AND &lt;10% of the herbaceous cover is invasive species; 
OR 50-80% of cover is non-native species regardless of invasiveness. </v>
      </c>
      <c r="D107" s="44">
        <f>F!D208</f>
        <v>0</v>
      </c>
      <c r="E107" s="848">
        <v>1</v>
      </c>
      <c r="F107" s="843">
        <f>D107*E107</f>
        <v>0</v>
      </c>
      <c r="G107" s="793"/>
      <c r="H107" s="1582"/>
    </row>
    <row r="108" spans="1:9" ht="16.2" customHeight="1" x14ac:dyDescent="0.25">
      <c r="A108" s="2084"/>
      <c r="B108" s="1582"/>
      <c r="C108" s="216" t="str">
        <f>F!C211</f>
        <v>Mostly (50-80%) native species.</v>
      </c>
      <c r="D108" s="44">
        <f>F!D211</f>
        <v>0</v>
      </c>
      <c r="E108" s="848">
        <v>2</v>
      </c>
      <c r="F108" s="843">
        <f>D108*E108</f>
        <v>0</v>
      </c>
      <c r="G108" s="793"/>
      <c r="H108" s="1582"/>
    </row>
    <row r="109" spans="1:9" ht="16.2" customHeight="1" thickBot="1" x14ac:dyDescent="0.3">
      <c r="A109" s="2084"/>
      <c r="B109" s="1582"/>
      <c r="C109" s="95" t="str">
        <f>F!C212</f>
        <v>Overwhelmingly (&gt;80%) native species.</v>
      </c>
      <c r="D109" s="17">
        <f>F!D212</f>
        <v>0</v>
      </c>
      <c r="E109" s="868">
        <v>3</v>
      </c>
      <c r="F109" s="876">
        <f>D109*E109</f>
        <v>0</v>
      </c>
      <c r="G109" s="806"/>
      <c r="H109" s="1582"/>
    </row>
    <row r="110" spans="1:9" ht="58.5" customHeight="1" thickBot="1" x14ac:dyDescent="0.3">
      <c r="A110" s="1864" t="str">
        <f>F!A213</f>
        <v>F42</v>
      </c>
      <c r="B110" s="1599" t="str">
        <f>F!B213</f>
        <v>Mowing, Grazing, Fire (VegCut)</v>
      </c>
      <c r="C110" s="75" t="str">
        <f>F!C213</f>
        <v>There is evidence that grazing by domestic or wild animals -- or mowing (multiple times per year), plowing, herbicides, harvesting, or fire -- has repeatedly reduced the AA's vegetation cover (plants that normally grows taller than 4") to less than 4 inches, or has created an obvious browse line, over the following extent:</v>
      </c>
      <c r="D110" s="192"/>
      <c r="E110" s="210"/>
      <c r="F110" s="878"/>
      <c r="G110" s="801">
        <f>MAX(F111:F114)/MAX(E111:E114)</f>
        <v>0</v>
      </c>
      <c r="H110" s="1622" t="s">
        <v>765</v>
      </c>
      <c r="I110" s="3"/>
    </row>
    <row r="111" spans="1:9" ht="16.2" customHeight="1" x14ac:dyDescent="0.25">
      <c r="A111" s="1865"/>
      <c r="B111" s="1582"/>
      <c r="C111" s="215" t="str">
        <f>F!C214</f>
        <v>0% (No evidence of such activities).</v>
      </c>
      <c r="D111" s="44">
        <f>F!D214</f>
        <v>0</v>
      </c>
      <c r="E111" s="848">
        <v>4</v>
      </c>
      <c r="F111" s="843">
        <f>D111*E111</f>
        <v>0</v>
      </c>
      <c r="G111" s="792"/>
      <c r="H111" s="1623"/>
    </row>
    <row r="112" spans="1:9" ht="27.6" customHeight="1" x14ac:dyDescent="0.25">
      <c r="A112" s="1865"/>
      <c r="B112" s="1582"/>
      <c r="C112" s="216" t="str">
        <f>F!C215</f>
        <v>Trace to 5% of the normally vegetated AA (grazing, mowing, or fire have occurred but vegetation height effects are mostly unnoticeable).</v>
      </c>
      <c r="D112" s="44">
        <f>F!D215</f>
        <v>0</v>
      </c>
      <c r="E112" s="848">
        <v>2</v>
      </c>
      <c r="F112" s="843">
        <f>D112*E112</f>
        <v>0</v>
      </c>
      <c r="G112" s="793"/>
      <c r="H112" s="1623"/>
    </row>
    <row r="113" spans="1:9" ht="16.2" customHeight="1" x14ac:dyDescent="0.25">
      <c r="A113" s="1865"/>
      <c r="B113" s="1582"/>
      <c r="C113" s="216" t="str">
        <f>F!C216</f>
        <v>5 to &lt;50% of the normally vegetated AA.</v>
      </c>
      <c r="D113" s="44">
        <f>F!D216</f>
        <v>0</v>
      </c>
      <c r="E113" s="848">
        <v>1</v>
      </c>
      <c r="F113" s="843">
        <f>D113*E113</f>
        <v>0</v>
      </c>
      <c r="G113" s="793"/>
      <c r="H113" s="1623"/>
    </row>
    <row r="114" spans="1:9" ht="16.2" customHeight="1" thickBot="1" x14ac:dyDescent="0.3">
      <c r="A114" s="1866"/>
      <c r="B114" s="1600"/>
      <c r="C114" s="254" t="str">
        <f>F!C217</f>
        <v>50 to 95% of the normally vegetated AA.</v>
      </c>
      <c r="D114" s="198">
        <f>F!D217</f>
        <v>0</v>
      </c>
      <c r="E114" s="470">
        <v>0</v>
      </c>
      <c r="F114" s="845">
        <f>D114*E114</f>
        <v>0</v>
      </c>
      <c r="G114" s="794"/>
      <c r="H114" s="1624"/>
    </row>
    <row r="115" spans="1:9" ht="31.5" customHeight="1" thickBot="1" x14ac:dyDescent="0.3">
      <c r="A115" s="1864" t="str">
        <f>F!A221</f>
        <v>F45</v>
      </c>
      <c r="B115" s="1599" t="str">
        <f>F!B221</f>
        <v>Woody Extent (WoodyPct)</v>
      </c>
      <c r="C115" s="4" t="str">
        <f>F!C221</f>
        <v>Within the vegetated part of the AA, woody vegetation (trees, shrubs, robust vines) taller than 3 ft occupies:</v>
      </c>
      <c r="D115" s="65"/>
      <c r="E115" s="210"/>
      <c r="F115" s="878"/>
      <c r="G115" s="801">
        <f>IF((HistOpenland=1),"",MAX(F116:F120)/MAX(E116:E120))</f>
        <v>0</v>
      </c>
      <c r="H115" s="1522" t="s">
        <v>333</v>
      </c>
      <c r="I115" s="3"/>
    </row>
    <row r="116" spans="1:9" ht="16.2" customHeight="1" x14ac:dyDescent="0.25">
      <c r="A116" s="1865"/>
      <c r="B116" s="1582"/>
      <c r="C116" s="215" t="str">
        <f>F!C222</f>
        <v>&lt;5% of the vegetated AA, and fewer than 10 trees are present.  Enter 1 and SKIP to F51.</v>
      </c>
      <c r="D116" s="44">
        <f>F!D222</f>
        <v>0</v>
      </c>
      <c r="E116" s="49">
        <v>1</v>
      </c>
      <c r="F116" s="843">
        <f t="shared" ref="F116:F126" si="6">D116*E116</f>
        <v>0</v>
      </c>
      <c r="G116" s="792"/>
      <c r="H116" s="1521"/>
    </row>
    <row r="117" spans="1:9" ht="16.2" customHeight="1" x14ac:dyDescent="0.25">
      <c r="A117" s="1865"/>
      <c r="B117" s="1582"/>
      <c r="C117" s="216" t="str">
        <f>F!C224</f>
        <v>5 to &lt;25% of the vegetated AA.</v>
      </c>
      <c r="D117" s="44">
        <f>F!D224</f>
        <v>0</v>
      </c>
      <c r="E117" s="49">
        <v>2</v>
      </c>
      <c r="F117" s="843">
        <f t="shared" si="6"/>
        <v>0</v>
      </c>
      <c r="G117" s="793"/>
      <c r="H117" s="1521"/>
    </row>
    <row r="118" spans="1:9" ht="16.2" customHeight="1" x14ac:dyDescent="0.25">
      <c r="A118" s="1865"/>
      <c r="B118" s="1582"/>
      <c r="C118" s="216" t="str">
        <f>F!C225</f>
        <v>25 to &lt;50% of the vegetated AA.</v>
      </c>
      <c r="D118" s="44">
        <f>F!D225</f>
        <v>0</v>
      </c>
      <c r="E118" s="49">
        <v>3</v>
      </c>
      <c r="F118" s="843">
        <f t="shared" si="6"/>
        <v>0</v>
      </c>
      <c r="G118" s="793"/>
      <c r="H118" s="1521"/>
    </row>
    <row r="119" spans="1:9" ht="16.2" customHeight="1" x14ac:dyDescent="0.25">
      <c r="A119" s="1865"/>
      <c r="B119" s="1582"/>
      <c r="C119" s="216" t="str">
        <f>F!C226</f>
        <v>50 to 95% of the vegetated AA.</v>
      </c>
      <c r="D119" s="44">
        <f>F!D226</f>
        <v>0</v>
      </c>
      <c r="E119" s="49">
        <v>2</v>
      </c>
      <c r="F119" s="843">
        <f t="shared" si="6"/>
        <v>0</v>
      </c>
      <c r="G119" s="793"/>
      <c r="H119" s="1521"/>
    </row>
    <row r="120" spans="1:9" ht="16.2" customHeight="1" thickBot="1" x14ac:dyDescent="0.3">
      <c r="A120" s="1866"/>
      <c r="B120" s="1600"/>
      <c r="C120" s="254" t="str">
        <f>F!C227</f>
        <v>&gt;95% of the vegetated part of the AA.</v>
      </c>
      <c r="D120" s="198">
        <f>F!D227</f>
        <v>0</v>
      </c>
      <c r="E120" s="245">
        <v>1</v>
      </c>
      <c r="F120" s="845">
        <f t="shared" si="6"/>
        <v>0</v>
      </c>
      <c r="G120" s="794"/>
      <c r="H120" s="1523"/>
    </row>
    <row r="121" spans="1:9" ht="30" customHeight="1" thickBot="1" x14ac:dyDescent="0.3">
      <c r="A121" s="2084" t="str">
        <f>F!A247</f>
        <v>F50</v>
      </c>
      <c r="B121" s="1582" t="str">
        <f>F!B247</f>
        <v>Exposed Shrub Canopy (ShrExpos)</v>
      </c>
      <c r="C121" s="4" t="str">
        <f>F!C247</f>
        <v>Within the vegetated part of the AA, shrubs shorter than 20 ft that are not overtopped by trees occupy: 
Select first statement that is true.</v>
      </c>
      <c r="D121" s="65"/>
      <c r="E121" s="65"/>
      <c r="F121" s="867"/>
      <c r="G121" s="801">
        <f>IF((NoWoody=1),"",IF((HistOpenland=1),"",MAX(F122:F126)/MAX(E122:E126)))</f>
        <v>0</v>
      </c>
      <c r="H121" s="1576" t="s">
        <v>1753</v>
      </c>
      <c r="I121" s="3"/>
    </row>
    <row r="122" spans="1:9" ht="16.2" customHeight="1" x14ac:dyDescent="0.25">
      <c r="A122" s="2084"/>
      <c r="B122" s="1582"/>
      <c r="C122" s="215" t="str">
        <f>F!C248</f>
        <v xml:space="preserve">&lt;5% of the vegetated AA and &lt;0.01 acre (400 sq ft). </v>
      </c>
      <c r="D122" s="44">
        <f>F!D248</f>
        <v>0</v>
      </c>
      <c r="E122" s="49">
        <v>1</v>
      </c>
      <c r="F122" s="843">
        <f t="shared" si="6"/>
        <v>0</v>
      </c>
      <c r="G122" s="792"/>
      <c r="H122" s="1548"/>
    </row>
    <row r="123" spans="1:9" ht="16.2" customHeight="1" x14ac:dyDescent="0.25">
      <c r="A123" s="2084"/>
      <c r="B123" s="1582"/>
      <c r="C123" s="216" t="str">
        <f>F!C249</f>
        <v>5 to &lt;25% of the vegetated AA or the water edge (whichever is greater in early summer).</v>
      </c>
      <c r="D123" s="44">
        <f>F!D249</f>
        <v>0</v>
      </c>
      <c r="E123" s="49">
        <v>2</v>
      </c>
      <c r="F123" s="843">
        <f t="shared" si="6"/>
        <v>0</v>
      </c>
      <c r="G123" s="793"/>
      <c r="H123" s="1548"/>
    </row>
    <row r="124" spans="1:9" ht="16.2" customHeight="1" x14ac:dyDescent="0.25">
      <c r="A124" s="2084"/>
      <c r="B124" s="1582"/>
      <c r="C124" s="216" t="str">
        <f>F!C250</f>
        <v>25 to &lt;50% of the vegetated AA or the water edge (whichever is greater in early summer).</v>
      </c>
      <c r="D124" s="44">
        <f>F!D250</f>
        <v>0</v>
      </c>
      <c r="E124" s="49">
        <v>3</v>
      </c>
      <c r="F124" s="843">
        <f t="shared" si="6"/>
        <v>0</v>
      </c>
      <c r="G124" s="793"/>
      <c r="H124" s="1548"/>
    </row>
    <row r="125" spans="1:9" ht="16.2" customHeight="1" x14ac:dyDescent="0.25">
      <c r="A125" s="2084"/>
      <c r="B125" s="1582"/>
      <c r="C125" s="216" t="str">
        <f>F!C251</f>
        <v>50 to 95% of the vegetated AA or the water edge (whichever is greater in early summer).</v>
      </c>
      <c r="D125" s="44">
        <f>F!D251</f>
        <v>0</v>
      </c>
      <c r="E125" s="49">
        <v>2</v>
      </c>
      <c r="F125" s="843">
        <f t="shared" si="6"/>
        <v>0</v>
      </c>
      <c r="G125" s="793"/>
      <c r="H125" s="1548"/>
    </row>
    <row r="126" spans="1:9" ht="16.2" customHeight="1" thickBot="1" x14ac:dyDescent="0.3">
      <c r="A126" s="2084"/>
      <c r="B126" s="1582"/>
      <c r="C126" s="95" t="str">
        <f>F!C252</f>
        <v>&gt;95% of the vegetated part of the AA or the water edge (whichever is greater in early summer).</v>
      </c>
      <c r="D126" s="17">
        <f>F!D252</f>
        <v>0</v>
      </c>
      <c r="E126" s="67">
        <v>1</v>
      </c>
      <c r="F126" s="844">
        <f t="shared" si="6"/>
        <v>0</v>
      </c>
      <c r="G126" s="800"/>
      <c r="H126" s="1818"/>
    </row>
    <row r="127" spans="1:9" ht="30" customHeight="1" thickBot="1" x14ac:dyDescent="0.3">
      <c r="A127" s="1821" t="str">
        <f>F!A260</f>
        <v>F52</v>
      </c>
      <c r="B127" s="1522" t="str">
        <f>F!B260</f>
        <v>Upland Perennial Cover - % of Perimeter (PerimPctPer)</v>
      </c>
      <c r="C127" s="75" t="str">
        <f>F!C260</f>
        <v xml:space="preserve">The percentage of the AA's edge (perimeter) that is comprised of a band of upland perennial cover wider than 10 ft and taller than 6 inches, during most of the growing season is:  </v>
      </c>
      <c r="D127" s="549"/>
      <c r="E127" s="208"/>
      <c r="F127" s="878"/>
      <c r="G127" s="801">
        <f>MAX(F128:F133)/MAX(E128:E133)</f>
        <v>0</v>
      </c>
      <c r="H127" s="1522" t="s">
        <v>752</v>
      </c>
    </row>
    <row r="128" spans="1:9" ht="16.2" customHeight="1" x14ac:dyDescent="0.25">
      <c r="A128" s="1822"/>
      <c r="B128" s="1521"/>
      <c r="C128" s="215" t="str">
        <f>F!C261</f>
        <v>&lt;5%.</v>
      </c>
      <c r="D128" s="44">
        <f>F!D261</f>
        <v>0</v>
      </c>
      <c r="E128" s="848">
        <v>0</v>
      </c>
      <c r="F128" s="844">
        <f t="shared" ref="F128:F133" si="7">D128*E128</f>
        <v>0</v>
      </c>
      <c r="G128" s="806"/>
      <c r="H128" s="1521"/>
    </row>
    <row r="129" spans="1:9" ht="16.2" customHeight="1" x14ac:dyDescent="0.25">
      <c r="A129" s="1822"/>
      <c r="B129" s="1521"/>
      <c r="C129" s="216" t="str">
        <f>F!C262</f>
        <v>5 to &lt;25%.</v>
      </c>
      <c r="D129" s="44">
        <f>F!D262</f>
        <v>0</v>
      </c>
      <c r="E129" s="848">
        <v>1</v>
      </c>
      <c r="F129" s="844">
        <f t="shared" si="7"/>
        <v>0</v>
      </c>
      <c r="G129" s="800"/>
      <c r="H129" s="1521"/>
    </row>
    <row r="130" spans="1:9" ht="16.2" customHeight="1" x14ac:dyDescent="0.25">
      <c r="A130" s="1822"/>
      <c r="B130" s="1521"/>
      <c r="C130" s="216" t="str">
        <f>F!C263</f>
        <v>25 to &lt;50%.</v>
      </c>
      <c r="D130" s="44">
        <f>F!D263</f>
        <v>0</v>
      </c>
      <c r="E130" s="848">
        <v>2</v>
      </c>
      <c r="F130" s="844">
        <f t="shared" si="7"/>
        <v>0</v>
      </c>
      <c r="G130" s="800"/>
      <c r="H130" s="1521"/>
    </row>
    <row r="131" spans="1:9" ht="16.2" customHeight="1" x14ac:dyDescent="0.25">
      <c r="A131" s="1822"/>
      <c r="B131" s="1521"/>
      <c r="C131" s="216" t="str">
        <f>F!C264</f>
        <v>50 to &lt;75%.</v>
      </c>
      <c r="D131" s="44">
        <f>F!D264</f>
        <v>0</v>
      </c>
      <c r="E131" s="848">
        <v>3</v>
      </c>
      <c r="F131" s="844">
        <f t="shared" si="7"/>
        <v>0</v>
      </c>
      <c r="G131" s="800"/>
      <c r="H131" s="1521"/>
    </row>
    <row r="132" spans="1:9" ht="16.2" customHeight="1" x14ac:dyDescent="0.25">
      <c r="A132" s="1822"/>
      <c r="B132" s="1521"/>
      <c r="C132" s="216" t="str">
        <f>F!C265</f>
        <v>75 to 95%.</v>
      </c>
      <c r="D132" s="44">
        <f>F!D265</f>
        <v>0</v>
      </c>
      <c r="E132" s="848">
        <v>4</v>
      </c>
      <c r="F132" s="844">
        <f t="shared" si="7"/>
        <v>0</v>
      </c>
      <c r="G132" s="800"/>
      <c r="H132" s="1521"/>
    </row>
    <row r="133" spans="1:9" ht="16.2" customHeight="1" thickBot="1" x14ac:dyDescent="0.3">
      <c r="A133" s="1825"/>
      <c r="B133" s="1523"/>
      <c r="C133" s="254" t="str">
        <f>F!C266</f>
        <v>&gt;95%.</v>
      </c>
      <c r="D133" s="17">
        <f>F!D266</f>
        <v>0</v>
      </c>
      <c r="E133" s="470">
        <v>6</v>
      </c>
      <c r="F133" s="845">
        <f t="shared" si="7"/>
        <v>0</v>
      </c>
      <c r="G133" s="794"/>
      <c r="H133" s="1523"/>
    </row>
    <row r="134" spans="1:9" ht="70.5" customHeight="1" thickBot="1" x14ac:dyDescent="0.3">
      <c r="A134" s="2084" t="str">
        <f>F!A267</f>
        <v>F53</v>
      </c>
      <c r="B134" s="1582" t="str">
        <f>F!B267</f>
        <v>Upland Perennial Cover - Width (Buffer)  (BuffWidth)</v>
      </c>
      <c r="C134" s="24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34" s="549"/>
      <c r="E134" s="65"/>
      <c r="F134" s="60"/>
      <c r="G134" s="801">
        <f>MAX(F135:F140)/MAX(E135:E140)</f>
        <v>0</v>
      </c>
      <c r="H134" s="1896" t="s">
        <v>1133</v>
      </c>
    </row>
    <row r="135" spans="1:9" ht="18" customHeight="1" x14ac:dyDescent="0.25">
      <c r="A135" s="2088"/>
      <c r="B135" s="1987"/>
      <c r="C135" s="2" t="str">
        <f>F!C268</f>
        <v xml:space="preserve">&lt; 5 ft, or none.  </v>
      </c>
      <c r="D135" s="44">
        <f>F!D268</f>
        <v>0</v>
      </c>
      <c r="E135" s="49">
        <v>0</v>
      </c>
      <c r="F135" s="45">
        <f t="shared" ref="F135:F140" si="8">D135*E135</f>
        <v>0</v>
      </c>
      <c r="G135" s="792"/>
      <c r="H135" s="1623"/>
    </row>
    <row r="136" spans="1:9" ht="18" customHeight="1" x14ac:dyDescent="0.25">
      <c r="A136" s="2088"/>
      <c r="B136" s="1987"/>
      <c r="C136" s="95" t="str">
        <f>F!C269</f>
        <v>5 to &lt;30 ft.</v>
      </c>
      <c r="D136" s="44">
        <f>F!D269</f>
        <v>0</v>
      </c>
      <c r="E136" s="49">
        <v>2</v>
      </c>
      <c r="F136" s="45">
        <f t="shared" si="8"/>
        <v>0</v>
      </c>
      <c r="G136" s="793"/>
      <c r="H136" s="1623"/>
    </row>
    <row r="137" spans="1:9" ht="18" customHeight="1" x14ac:dyDescent="0.25">
      <c r="A137" s="2088"/>
      <c r="B137" s="1987"/>
      <c r="C137" s="95" t="str">
        <f>F!C270</f>
        <v>30 to &lt;50 ft.</v>
      </c>
      <c r="D137" s="44">
        <f>F!D270</f>
        <v>0</v>
      </c>
      <c r="E137" s="49">
        <v>4</v>
      </c>
      <c r="F137" s="45">
        <f t="shared" si="8"/>
        <v>0</v>
      </c>
      <c r="G137" s="793"/>
      <c r="H137" s="1623"/>
    </row>
    <row r="138" spans="1:9" ht="18" customHeight="1" x14ac:dyDescent="0.25">
      <c r="A138" s="2088"/>
      <c r="B138" s="1987"/>
      <c r="C138" s="95" t="str">
        <f>F!C271</f>
        <v>50 to &lt;100 ft.</v>
      </c>
      <c r="D138" s="44">
        <f>F!D271</f>
        <v>0</v>
      </c>
      <c r="E138" s="49">
        <v>5</v>
      </c>
      <c r="F138" s="45">
        <f t="shared" si="8"/>
        <v>0</v>
      </c>
      <c r="G138" s="793"/>
      <c r="H138" s="1623"/>
    </row>
    <row r="139" spans="1:9" ht="18" customHeight="1" x14ac:dyDescent="0.25">
      <c r="A139" s="2088"/>
      <c r="B139" s="1987"/>
      <c r="C139" s="95" t="str">
        <f>F!C272</f>
        <v>100  to 300 ft.</v>
      </c>
      <c r="D139" s="44">
        <f>F!D272</f>
        <v>0</v>
      </c>
      <c r="E139" s="848">
        <v>6</v>
      </c>
      <c r="F139" s="45">
        <f t="shared" si="8"/>
        <v>0</v>
      </c>
      <c r="G139" s="800"/>
      <c r="H139" s="1623"/>
    </row>
    <row r="140" spans="1:9" ht="18" customHeight="1" thickBot="1" x14ac:dyDescent="0.3">
      <c r="A140" s="2088"/>
      <c r="B140" s="1987"/>
      <c r="C140" s="95" t="str">
        <f>F!C273</f>
        <v xml:space="preserve">&gt; 300 ft. </v>
      </c>
      <c r="D140" s="17">
        <f>F!D273</f>
        <v>0</v>
      </c>
      <c r="E140" s="868">
        <v>7</v>
      </c>
      <c r="F140" s="54">
        <f t="shared" si="8"/>
        <v>0</v>
      </c>
      <c r="G140" s="800"/>
      <c r="H140" s="1897"/>
    </row>
    <row r="141" spans="1:9" ht="42.75" customHeight="1" thickBot="1" x14ac:dyDescent="0.3">
      <c r="A141" s="1864" t="str">
        <f>F!A281</f>
        <v>F55</v>
      </c>
      <c r="B141" s="1599" t="str">
        <f>F!B281</f>
        <v>Weeds - % of Upland Edge (UpWeed)</v>
      </c>
      <c r="C141" s="75" t="str">
        <f>F!C281</f>
        <v>Along the AA's edge (perimeter), the cover of invasive woody or herbaceous plants occupies: 
[If vegetation is so senesced that apparently-dominant edge species cannot be identified even to genus, answer "none"].</v>
      </c>
      <c r="D141" s="549"/>
      <c r="E141" s="210"/>
      <c r="F141" s="241"/>
      <c r="G141" s="801">
        <f>MAX(F142:F145)/MAX(E142:E145)</f>
        <v>0</v>
      </c>
      <c r="H141" s="1622" t="s">
        <v>173</v>
      </c>
      <c r="I141" s="3"/>
    </row>
    <row r="142" spans="1:9" ht="16.2" customHeight="1" x14ac:dyDescent="0.25">
      <c r="A142" s="1865"/>
      <c r="B142" s="1582"/>
      <c r="C142" s="215" t="str">
        <f>F!C282</f>
        <v>&lt;5%, or none.</v>
      </c>
      <c r="D142" s="44">
        <f>F!D282</f>
        <v>0</v>
      </c>
      <c r="E142" s="49">
        <v>3</v>
      </c>
      <c r="F142" s="45">
        <f>D142*E142</f>
        <v>0</v>
      </c>
      <c r="G142" s="792"/>
      <c r="H142" s="1623"/>
    </row>
    <row r="143" spans="1:9" ht="16.2" customHeight="1" x14ac:dyDescent="0.25">
      <c r="A143" s="1865"/>
      <c r="B143" s="1582"/>
      <c r="C143" s="216" t="str">
        <f>F!C283</f>
        <v>5 to &lt;25%.</v>
      </c>
      <c r="D143" s="44">
        <f>F!D283</f>
        <v>0</v>
      </c>
      <c r="E143" s="49">
        <v>2</v>
      </c>
      <c r="F143" s="45">
        <f>D143*E143</f>
        <v>0</v>
      </c>
      <c r="G143" s="793"/>
      <c r="H143" s="1623"/>
    </row>
    <row r="144" spans="1:9" ht="16.2" customHeight="1" x14ac:dyDescent="0.25">
      <c r="A144" s="1865"/>
      <c r="B144" s="1582"/>
      <c r="C144" s="216" t="str">
        <f>F!C284</f>
        <v>25 to &lt;50%.</v>
      </c>
      <c r="D144" s="44">
        <f>F!D284</f>
        <v>0</v>
      </c>
      <c r="E144" s="49">
        <v>1</v>
      </c>
      <c r="F144" s="45">
        <f>D144*E144</f>
        <v>0</v>
      </c>
      <c r="G144" s="793"/>
      <c r="H144" s="1623"/>
    </row>
    <row r="145" spans="1:9" ht="16.2" customHeight="1" thickBot="1" x14ac:dyDescent="0.3">
      <c r="A145" s="1866"/>
      <c r="B145" s="1600"/>
      <c r="C145" s="254" t="str">
        <f>F!C287</f>
        <v>&gt;95%.</v>
      </c>
      <c r="D145" s="17">
        <f>F!D287</f>
        <v>0</v>
      </c>
      <c r="E145" s="245">
        <v>0</v>
      </c>
      <c r="F145" s="193">
        <f>D145*E145</f>
        <v>0</v>
      </c>
      <c r="G145" s="794"/>
      <c r="H145" s="1624"/>
    </row>
    <row r="146" spans="1:9" ht="45.75" customHeight="1" thickBot="1" x14ac:dyDescent="0.3">
      <c r="A146" s="2084" t="str">
        <f>F!A294</f>
        <v>F57</v>
      </c>
      <c r="B146" s="1582" t="str">
        <f>F!B294</f>
        <v>Ground Irregularity (Girreg)</v>
      </c>
      <c r="C146" s="244" t="str">
        <f>F!C294</f>
        <v xml:space="preserve"> In parts of the AA that lack persistent water, the number of small pits, raised mounds, hummocks, boulders, upturned trees, animal burrows, islands, natural levees, wide soil cracks, and microdepressions is:</v>
      </c>
      <c r="D146" s="549"/>
      <c r="E146" s="65"/>
      <c r="F146" s="867"/>
      <c r="G146" s="801">
        <f>MAX(F147:F149)/MAX(E147:E149)</f>
        <v>0</v>
      </c>
      <c r="H146" s="1582" t="s">
        <v>224</v>
      </c>
      <c r="I146" s="3"/>
    </row>
    <row r="147" spans="1:9" ht="27" customHeight="1" x14ac:dyDescent="0.25">
      <c r="A147" s="2084"/>
      <c r="B147" s="1582"/>
      <c r="C147" s="215" t="str">
        <f>F!C295</f>
        <v>Few or none, or the entire AA is always water-covered.  Minimal microtopography; &lt;1% of the AA, e.g., many flat sites having a single hydroperiod.</v>
      </c>
      <c r="D147" s="44">
        <f>F!D295</f>
        <v>0</v>
      </c>
      <c r="E147" s="49">
        <v>0</v>
      </c>
      <c r="F147" s="843">
        <f>D147*E147</f>
        <v>0</v>
      </c>
      <c r="G147" s="792"/>
      <c r="H147" s="1582"/>
    </row>
    <row r="148" spans="1:9" ht="16.2" customHeight="1" x14ac:dyDescent="0.25">
      <c r="A148" s="2084"/>
      <c r="B148" s="1582"/>
      <c r="C148" s="216" t="str">
        <f>F!C296</f>
        <v>Intermediate.</v>
      </c>
      <c r="D148" s="44">
        <f>F!D296</f>
        <v>0</v>
      </c>
      <c r="E148" s="49">
        <v>1</v>
      </c>
      <c r="F148" s="843">
        <f>D148*E148</f>
        <v>0</v>
      </c>
      <c r="G148" s="793"/>
      <c r="H148" s="1582"/>
    </row>
    <row r="149" spans="1:9" ht="16.2" customHeight="1" thickBot="1" x14ac:dyDescent="0.3">
      <c r="A149" s="2084"/>
      <c r="B149" s="1582"/>
      <c r="C149" s="95" t="str">
        <f>F!C297</f>
        <v>Several (extensive micro-topography).</v>
      </c>
      <c r="D149" s="198">
        <f>F!D297</f>
        <v>0</v>
      </c>
      <c r="E149" s="67">
        <v>2</v>
      </c>
      <c r="F149" s="844">
        <f>D149*E149</f>
        <v>0</v>
      </c>
      <c r="G149" s="800"/>
      <c r="H149" s="1582"/>
    </row>
    <row r="150" spans="1:9" ht="30" customHeight="1" thickBot="1" x14ac:dyDescent="0.3">
      <c r="A150" s="1864" t="str">
        <f>F!A298</f>
        <v>F58</v>
      </c>
      <c r="B150" s="1599" t="str">
        <f>F!B298</f>
        <v>Soil Composition (SoilTex)</v>
      </c>
      <c r="C150" s="75" t="str">
        <f>F!C298</f>
        <v>Based on digging into the substrate and examining the surface layer of the soil (2 inch depth) that was mapped as being predominant, its composition (excluding duff and living roots) is mostly:</v>
      </c>
      <c r="D150" s="549"/>
      <c r="E150" s="210"/>
      <c r="F150" s="878"/>
      <c r="G150" s="801">
        <f>MAX(F151:F154)/MAX(E151:E154)</f>
        <v>0</v>
      </c>
      <c r="H150" s="1599" t="s">
        <v>172</v>
      </c>
      <c r="I150" s="3"/>
    </row>
    <row r="151" spans="1:9" ht="16.2" customHeight="1" x14ac:dyDescent="0.25">
      <c r="A151" s="1865"/>
      <c r="B151" s="1582"/>
      <c r="C151" s="215" t="str">
        <f>F!C299</f>
        <v>Loamy: includes silt, silt loam, loam, sandy loam.</v>
      </c>
      <c r="D151" s="44">
        <f>F!D299</f>
        <v>0</v>
      </c>
      <c r="E151" s="49">
        <v>2</v>
      </c>
      <c r="F151" s="843">
        <f>D151*E151</f>
        <v>0</v>
      </c>
      <c r="G151" s="792"/>
      <c r="H151" s="1582"/>
    </row>
    <row r="152" spans="1:9" ht="16.2" customHeight="1" x14ac:dyDescent="0.25">
      <c r="A152" s="1865"/>
      <c r="B152" s="1582"/>
      <c r="C152" s="216" t="str">
        <f>F!C300</f>
        <v>Clayey: includes clay, clay loam, silty clay, silty clay loam, sandy clay, sandy clay loam.</v>
      </c>
      <c r="D152" s="44">
        <f>F!D300</f>
        <v>0</v>
      </c>
      <c r="E152" s="49">
        <v>2</v>
      </c>
      <c r="F152" s="843">
        <f>D152*E152</f>
        <v>0</v>
      </c>
      <c r="G152" s="793"/>
      <c r="H152" s="1582"/>
    </row>
    <row r="153" spans="1:9" ht="27" customHeight="1" x14ac:dyDescent="0.25">
      <c r="A153" s="1865"/>
      <c r="B153" s="1582"/>
      <c r="C153" s="216" t="str">
        <f>F!C301</f>
        <v>Organic: includes muck, mucky peat, peat, and mucky mineral soils (blackish or grayish).  Exclude live roots unless they are moss.</v>
      </c>
      <c r="D153" s="44">
        <f>F!D301</f>
        <v>0</v>
      </c>
      <c r="E153" s="49">
        <v>3</v>
      </c>
      <c r="F153" s="843">
        <f>D153*E153</f>
        <v>0</v>
      </c>
      <c r="G153" s="793"/>
      <c r="H153" s="1582"/>
    </row>
    <row r="154" spans="1:9" ht="32.25" customHeight="1" thickBot="1" x14ac:dyDescent="0.3">
      <c r="A154" s="1866"/>
      <c r="B154" s="1600"/>
      <c r="C154" s="254" t="str">
        <f>F!C302</f>
        <v>Coarse: includes sand, loamy sand, gravel, cobble, stones, boulders, fluvents, fluvaquents, riverwash.</v>
      </c>
      <c r="D154" s="17">
        <f>F!D302</f>
        <v>0</v>
      </c>
      <c r="E154" s="245">
        <v>1</v>
      </c>
      <c r="F154" s="845">
        <f>D154*E154</f>
        <v>0</v>
      </c>
      <c r="G154" s="794"/>
      <c r="H154" s="1600"/>
    </row>
    <row r="155" spans="1:9" ht="71.25" customHeight="1" thickBot="1" x14ac:dyDescent="0.3">
      <c r="A155" s="2095" t="str">
        <f>F!A304</f>
        <v>F60</v>
      </c>
      <c r="B155" s="1649" t="str">
        <f>F!B304</f>
        <v>Restored or Created Wetland (NewWet)</v>
      </c>
      <c r="C155" s="438" t="str">
        <f>F!C304</f>
        <v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v>
      </c>
      <c r="D155" s="549"/>
      <c r="E155" s="65"/>
      <c r="F155" s="60"/>
      <c r="G155" s="801">
        <f>IF((D161=1),"",MAX(F156:F161)/MAX(E156:E161))</f>
        <v>0</v>
      </c>
      <c r="H155" s="1521" t="s">
        <v>844</v>
      </c>
      <c r="I155" s="3"/>
    </row>
    <row r="156" spans="1:9" ht="16.2" customHeight="1" x14ac:dyDescent="0.25">
      <c r="A156" s="2095"/>
      <c r="B156" s="1649"/>
      <c r="C156" s="913" t="str">
        <f>F!C305</f>
        <v>Yes, and constructed or restored mostly within last 3 years.</v>
      </c>
      <c r="D156" s="914">
        <f>F!D305</f>
        <v>0</v>
      </c>
      <c r="E156" s="49">
        <v>1</v>
      </c>
      <c r="F156" s="45">
        <f>D156*E156</f>
        <v>0</v>
      </c>
      <c r="G156" s="792"/>
      <c r="H156" s="1521"/>
    </row>
    <row r="157" spans="1:9" ht="16.2" customHeight="1" x14ac:dyDescent="0.25">
      <c r="A157" s="2095"/>
      <c r="B157" s="1649"/>
      <c r="C157" s="915" t="str">
        <f>F!C306</f>
        <v>Yes, and constructed or restored mostly 3-7 years ago.</v>
      </c>
      <c r="D157" s="914">
        <f>F!D306</f>
        <v>0</v>
      </c>
      <c r="E157" s="49">
        <v>0</v>
      </c>
      <c r="F157" s="45">
        <f>D157*E157</f>
        <v>0</v>
      </c>
      <c r="G157" s="793"/>
      <c r="H157" s="1521"/>
    </row>
    <row r="158" spans="1:9" ht="16.2" customHeight="1" x14ac:dyDescent="0.25">
      <c r="A158" s="2095"/>
      <c r="B158" s="1649"/>
      <c r="C158" s="915" t="str">
        <f>F!C307</f>
        <v>Yes, and constructed or restored mostly &gt; 7 years ago.</v>
      </c>
      <c r="D158" s="914">
        <f>F!D307</f>
        <v>0</v>
      </c>
      <c r="E158" s="49">
        <v>1</v>
      </c>
      <c r="F158" s="45">
        <f>D158*E158</f>
        <v>0</v>
      </c>
      <c r="G158" s="793"/>
      <c r="H158" s="1521"/>
    </row>
    <row r="159" spans="1:9" ht="16.2" customHeight="1" x14ac:dyDescent="0.25">
      <c r="A159" s="2095"/>
      <c r="B159" s="1649"/>
      <c r="C159" s="915" t="str">
        <f>F!C308</f>
        <v>Yes, but time of origin or restoration unknown.</v>
      </c>
      <c r="D159" s="914">
        <f>F!D308</f>
        <v>0</v>
      </c>
      <c r="E159" s="49">
        <v>2</v>
      </c>
      <c r="F159" s="45">
        <f>D159*E159</f>
        <v>0</v>
      </c>
      <c r="G159" s="793"/>
      <c r="H159" s="1521"/>
    </row>
    <row r="160" spans="1:9" ht="16.2" customHeight="1" x14ac:dyDescent="0.25">
      <c r="A160" s="2095"/>
      <c r="B160" s="1649"/>
      <c r="C160" s="915" t="str">
        <f>F!C309</f>
        <v>No.</v>
      </c>
      <c r="D160" s="914">
        <f>F!D309</f>
        <v>0</v>
      </c>
      <c r="E160" s="49">
        <v>5</v>
      </c>
      <c r="F160" s="45">
        <f>D160*E160</f>
        <v>0</v>
      </c>
      <c r="G160" s="793"/>
      <c r="H160" s="1521"/>
    </row>
    <row r="161" spans="1:9" ht="16.2" customHeight="1" thickBot="1" x14ac:dyDescent="0.3">
      <c r="A161" s="2095"/>
      <c r="B161" s="1649"/>
      <c r="C161" s="916" t="str">
        <f>F!C310</f>
        <v>Unknown if wetland is constructed, restored, or natural.</v>
      </c>
      <c r="D161" s="917">
        <f>F!D310</f>
        <v>0</v>
      </c>
      <c r="E161" s="67"/>
      <c r="F161" s="54"/>
      <c r="G161" s="800"/>
      <c r="H161" s="1521"/>
    </row>
    <row r="162" spans="1:9" ht="60" customHeight="1" thickBot="1" x14ac:dyDescent="0.3">
      <c r="A162" s="1864" t="str">
        <f>F!A328</f>
        <v>F68</v>
      </c>
      <c r="B162" s="1599" t="str">
        <f>F!B328</f>
        <v>Core Area 1 (VisitNo)</v>
      </c>
      <c r="C162" s="75"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162" s="549"/>
      <c r="E162" s="210"/>
      <c r="F162" s="241"/>
      <c r="G162" s="801">
        <f>MAX(F163:F168)/MAX(E163:E168)</f>
        <v>0</v>
      </c>
      <c r="H162" s="1522" t="s">
        <v>174</v>
      </c>
    </row>
    <row r="163" spans="1:9" ht="16.2" customHeight="1" x14ac:dyDescent="0.25">
      <c r="A163" s="1865"/>
      <c r="B163" s="1582"/>
      <c r="C163" s="215" t="str">
        <f>F!C329</f>
        <v>&lt;5% and no inhabited building is within 300 ft of the AA.</v>
      </c>
      <c r="D163" s="44">
        <f>F!D329</f>
        <v>0</v>
      </c>
      <c r="E163" s="49">
        <v>1</v>
      </c>
      <c r="F163" s="45">
        <f t="shared" ref="F163:F168" si="9">D163*E163</f>
        <v>0</v>
      </c>
      <c r="G163" s="792"/>
      <c r="H163" s="1521"/>
    </row>
    <row r="164" spans="1:9" ht="16.2" customHeight="1" x14ac:dyDescent="0.25">
      <c r="A164" s="1865"/>
      <c r="B164" s="1582"/>
      <c r="C164" s="216" t="str">
        <f>F!C330</f>
        <v>&lt;5% and inhabited building is within 300 ft of the AA.</v>
      </c>
      <c r="D164" s="44">
        <f>F!D330</f>
        <v>0</v>
      </c>
      <c r="E164" s="49">
        <v>0</v>
      </c>
      <c r="F164" s="45">
        <f t="shared" si="9"/>
        <v>0</v>
      </c>
      <c r="G164" s="793"/>
      <c r="H164" s="1521"/>
    </row>
    <row r="165" spans="1:9" ht="16.2" customHeight="1" x14ac:dyDescent="0.25">
      <c r="A165" s="1865"/>
      <c r="B165" s="1582"/>
      <c r="C165" s="216" t="str">
        <f>F!C331</f>
        <v>5 to &lt;50% and no inhabited building is within 300 ft of the AA.</v>
      </c>
      <c r="D165" s="44">
        <f>F!D331</f>
        <v>0</v>
      </c>
      <c r="E165" s="49">
        <v>3</v>
      </c>
      <c r="F165" s="45">
        <f t="shared" si="9"/>
        <v>0</v>
      </c>
      <c r="G165" s="793"/>
      <c r="H165" s="1521"/>
    </row>
    <row r="166" spans="1:9" ht="16.2" customHeight="1" x14ac:dyDescent="0.25">
      <c r="A166" s="1865"/>
      <c r="B166" s="1582"/>
      <c r="C166" s="216" t="str">
        <f>F!C332</f>
        <v>5 to &lt;50% and inhabited building is within 300 ft of the AA.</v>
      </c>
      <c r="D166" s="44">
        <f>F!D332</f>
        <v>0</v>
      </c>
      <c r="E166" s="49">
        <v>2</v>
      </c>
      <c r="F166" s="45">
        <f t="shared" si="9"/>
        <v>0</v>
      </c>
      <c r="G166" s="800"/>
      <c r="H166" s="1521"/>
    </row>
    <row r="167" spans="1:9" ht="16.2" customHeight="1" x14ac:dyDescent="0.25">
      <c r="A167" s="1865"/>
      <c r="B167" s="1582"/>
      <c r="C167" s="216" t="str">
        <f>F!C333</f>
        <v>50 to 95% with or without inhabited building nearby.</v>
      </c>
      <c r="D167" s="44">
        <f>F!D333</f>
        <v>0</v>
      </c>
      <c r="E167" s="49">
        <v>4</v>
      </c>
      <c r="F167" s="45">
        <f t="shared" si="9"/>
        <v>0</v>
      </c>
      <c r="G167" s="800"/>
      <c r="H167" s="1521"/>
    </row>
    <row r="168" spans="1:9" ht="16.2" customHeight="1" thickBot="1" x14ac:dyDescent="0.3">
      <c r="A168" s="1866"/>
      <c r="B168" s="1600"/>
      <c r="C168" s="254" t="str">
        <f>F!C334</f>
        <v>&gt;95% of the AA with or without inhabited building nearby.</v>
      </c>
      <c r="D168" s="17">
        <f>F!D334</f>
        <v>0</v>
      </c>
      <c r="E168" s="245">
        <v>5</v>
      </c>
      <c r="F168" s="193">
        <f t="shared" si="9"/>
        <v>0</v>
      </c>
      <c r="G168" s="794"/>
      <c r="H168" s="1523"/>
    </row>
    <row r="169" spans="1:9" ht="30" customHeight="1" thickBot="1" x14ac:dyDescent="0.3">
      <c r="A169" s="1864" t="str">
        <f>F!A335</f>
        <v>F69</v>
      </c>
      <c r="B169" s="1599" t="str">
        <f>F!B335</f>
        <v>Core Area 2 (VisitOften)</v>
      </c>
      <c r="C169" s="75" t="str">
        <f>F!C335</f>
        <v>The part of the AA visited by humans almost daily for several weeks during an average growing season probably comprises:  [The Note in the preceding question applies here as well].</v>
      </c>
      <c r="D169" s="549"/>
      <c r="E169" s="210"/>
      <c r="F169" s="241"/>
      <c r="G169" s="801">
        <f>MAX(F170:F173)/MAX(E170:E173)</f>
        <v>0</v>
      </c>
      <c r="H169" s="1622" t="s">
        <v>124</v>
      </c>
      <c r="I169" s="3"/>
    </row>
    <row r="170" spans="1:9" ht="16.2" customHeight="1" x14ac:dyDescent="0.25">
      <c r="A170" s="1865"/>
      <c r="B170" s="1582"/>
      <c r="C170" s="215" t="str">
        <f>F!C336</f>
        <v>&lt;5%.</v>
      </c>
      <c r="D170" s="44">
        <f>F!D336</f>
        <v>0</v>
      </c>
      <c r="E170" s="49">
        <v>3</v>
      </c>
      <c r="F170" s="45">
        <f>D170*E170</f>
        <v>0</v>
      </c>
      <c r="G170" s="792"/>
      <c r="H170" s="1623"/>
    </row>
    <row r="171" spans="1:9" ht="16.2" customHeight="1" x14ac:dyDescent="0.25">
      <c r="A171" s="1865"/>
      <c r="B171" s="1582"/>
      <c r="C171" s="216" t="str">
        <f>F!C337</f>
        <v>5 to &lt;50%.</v>
      </c>
      <c r="D171" s="44">
        <f>F!D337</f>
        <v>0</v>
      </c>
      <c r="E171" s="49">
        <v>2</v>
      </c>
      <c r="F171" s="45">
        <f>D171*E171</f>
        <v>0</v>
      </c>
      <c r="G171" s="793"/>
      <c r="H171" s="1623"/>
    </row>
    <row r="172" spans="1:9" ht="16.2" customHeight="1" x14ac:dyDescent="0.25">
      <c r="A172" s="1865"/>
      <c r="B172" s="1582"/>
      <c r="C172" s="216" t="str">
        <f>F!C338</f>
        <v>50 to 95%.</v>
      </c>
      <c r="D172" s="44">
        <f>F!D338</f>
        <v>0</v>
      </c>
      <c r="E172" s="49">
        <v>1</v>
      </c>
      <c r="F172" s="45">
        <f>D172*E172</f>
        <v>0</v>
      </c>
      <c r="G172" s="793"/>
      <c r="H172" s="1623"/>
    </row>
    <row r="173" spans="1:9" ht="16.2" customHeight="1" thickBot="1" x14ac:dyDescent="0.3">
      <c r="A173" s="1866"/>
      <c r="B173" s="1600"/>
      <c r="C173" s="254" t="str">
        <f>F!C339</f>
        <v>&gt;95% of the AA.</v>
      </c>
      <c r="D173" s="17">
        <f>F!D339</f>
        <v>0</v>
      </c>
      <c r="E173" s="245">
        <v>0</v>
      </c>
      <c r="F173" s="193">
        <f>D173*E173</f>
        <v>0</v>
      </c>
      <c r="G173" s="794"/>
      <c r="H173" s="1624"/>
    </row>
    <row r="174" spans="1:9" ht="168" customHeight="1" thickBot="1" x14ac:dyDescent="0.3">
      <c r="A174" s="1259" t="str">
        <f>S!A3</f>
        <v>S1</v>
      </c>
      <c r="B174" s="219" t="str">
        <f>S!B3</f>
        <v>Aberrant Timing of Water Inputs (AltTiming)</v>
      </c>
      <c r="C174" s="1210" t="s">
        <v>893</v>
      </c>
      <c r="D174" s="1260">
        <f>S!F18</f>
        <v>0</v>
      </c>
      <c r="E174" s="260"/>
      <c r="F174" s="881"/>
      <c r="G174" s="830">
        <f>1-(D174)</f>
        <v>1</v>
      </c>
      <c r="H174" s="4" t="s">
        <v>220</v>
      </c>
      <c r="I174" s="3"/>
    </row>
    <row r="175" spans="1:9" ht="60" customHeight="1" thickBot="1" x14ac:dyDescent="0.3">
      <c r="A175" s="1261" t="str">
        <f>S!A69</f>
        <v>S5</v>
      </c>
      <c r="B175" s="712" t="str">
        <f>S!B69</f>
        <v>Soil or Sediment Alteration Within the Assessment Area (SoilDisturb).</v>
      </c>
      <c r="C175" s="1088" t="s">
        <v>893</v>
      </c>
      <c r="D175" s="248">
        <f>S!F86</f>
        <v>0</v>
      </c>
      <c r="E175" s="93"/>
      <c r="F175" s="825"/>
      <c r="G175" s="1262">
        <f>1-(D175)</f>
        <v>1</v>
      </c>
      <c r="H175" s="712" t="s">
        <v>57</v>
      </c>
      <c r="I175" s="3"/>
    </row>
    <row r="176" spans="1:9" s="361" customFormat="1" ht="36" customHeight="1" thickBot="1" x14ac:dyDescent="0.3">
      <c r="A176" s="374" t="s">
        <v>126</v>
      </c>
      <c r="B176" s="374" t="s">
        <v>1468</v>
      </c>
      <c r="C176" s="921" t="s">
        <v>1271</v>
      </c>
      <c r="D176" s="374" t="s">
        <v>115</v>
      </c>
      <c r="E176" s="374" t="s">
        <v>771</v>
      </c>
      <c r="F176" s="374" t="s">
        <v>1462</v>
      </c>
      <c r="G176" s="1263" t="s">
        <v>770</v>
      </c>
      <c r="H176" s="374" t="s">
        <v>772</v>
      </c>
    </row>
    <row r="177" spans="1:9" ht="21" customHeight="1" thickBot="1" x14ac:dyDescent="0.3">
      <c r="A177" s="1922" t="str">
        <f>T!A5</f>
        <v>T1</v>
      </c>
      <c r="B177" s="1689" t="str">
        <f>T!B5</f>
        <v>Estuarine Position (EstPosT)</v>
      </c>
      <c r="C177" s="452" t="str">
        <f>T!C5</f>
        <v>The AA's relative position in the estuary is:</v>
      </c>
      <c r="D177" s="549"/>
      <c r="E177" s="93"/>
      <c r="F177" s="877"/>
      <c r="G177" s="857">
        <f>MAX(F178:F180)/MAX(E178:E180)</f>
        <v>0</v>
      </c>
      <c r="H177" s="1691" t="s">
        <v>834</v>
      </c>
      <c r="I177" s="3"/>
    </row>
    <row r="178" spans="1:9" ht="27" customHeight="1" x14ac:dyDescent="0.25">
      <c r="A178" s="1923"/>
      <c r="B178" s="1689"/>
      <c r="C178" s="439" t="str">
        <f>T!C6</f>
        <v>Lower 1/3 (often on a bay and distant from the head-of-tide of a major river; includes most saline tidal wetlands).</v>
      </c>
      <c r="D178" s="47">
        <f>T!D6</f>
        <v>0</v>
      </c>
      <c r="E178" s="67">
        <v>3</v>
      </c>
      <c r="F178" s="45">
        <f>D178*E178</f>
        <v>0</v>
      </c>
      <c r="G178" s="806"/>
      <c r="H178" s="1691"/>
      <c r="I178" s="3"/>
    </row>
    <row r="179" spans="1:9" ht="16.2" customHeight="1" x14ac:dyDescent="0.25">
      <c r="A179" s="1923"/>
      <c r="B179" s="1689"/>
      <c r="C179" s="440" t="str">
        <f>T!C7</f>
        <v>Mid 1/3.</v>
      </c>
      <c r="D179" s="47">
        <f>T!D7</f>
        <v>0</v>
      </c>
      <c r="E179" s="67">
        <v>2</v>
      </c>
      <c r="F179" s="45">
        <f>D179*E179</f>
        <v>0</v>
      </c>
      <c r="G179" s="800"/>
      <c r="H179" s="1691"/>
    </row>
    <row r="180" spans="1:9" ht="31.5" customHeight="1" thickBot="1" x14ac:dyDescent="0.3">
      <c r="A180" s="1924"/>
      <c r="B180" s="1689"/>
      <c r="C180" s="453" t="str">
        <f>T!C8</f>
        <v>Upper 1/3 (near the head-of-tide of a major river; includes most brackish and fresh tidal wetlands).</v>
      </c>
      <c r="D180" s="242">
        <f>T!D8</f>
        <v>0</v>
      </c>
      <c r="E180" s="67">
        <v>1</v>
      </c>
      <c r="F180" s="54">
        <f>D180*E180</f>
        <v>0</v>
      </c>
      <c r="G180" s="800"/>
      <c r="H180" s="1691"/>
    </row>
    <row r="181" spans="1:9" ht="21" customHeight="1" thickBot="1" x14ac:dyDescent="0.3">
      <c r="A181" s="1922" t="str">
        <f>T!A9</f>
        <v>T2</v>
      </c>
      <c r="B181" s="1688" t="str">
        <f>T!B9</f>
        <v>Salinity (SalinT)</v>
      </c>
      <c r="C181" s="219" t="str">
        <f>T!C9</f>
        <v>At high tide during most of the year, the daily salinity in most of the inundated part of the AA is:</v>
      </c>
      <c r="D181" s="65"/>
      <c r="E181" s="239"/>
      <c r="F181" s="972"/>
      <c r="G181" s="857">
        <f>IF((D186=1),"",MAX(F182:F185)/MAX(E182:E185))</f>
        <v>0</v>
      </c>
      <c r="H181" s="1669" t="s">
        <v>891</v>
      </c>
    </row>
    <row r="182" spans="1:9" ht="16.2" customHeight="1" x14ac:dyDescent="0.25">
      <c r="A182" s="1923"/>
      <c r="B182" s="1689"/>
      <c r="C182" s="439" t="str">
        <f>T!C10</f>
        <v xml:space="preserve">Saline (&gt;25 ppt salinity, undiluted seawater).  </v>
      </c>
      <c r="D182" s="47">
        <f>T!D10</f>
        <v>0</v>
      </c>
      <c r="E182" s="67">
        <v>3</v>
      </c>
      <c r="F182" s="45">
        <f>D182*E182</f>
        <v>0</v>
      </c>
      <c r="G182" s="806"/>
      <c r="H182" s="1691"/>
    </row>
    <row r="183" spans="1:9" ht="16.2" customHeight="1" x14ac:dyDescent="0.25">
      <c r="A183" s="1923"/>
      <c r="B183" s="1689"/>
      <c r="C183" s="440" t="str">
        <f>T!C11</f>
        <v>Moderately saline (5 to 25 ppt salinity).</v>
      </c>
      <c r="D183" s="47">
        <f>T!D11</f>
        <v>0</v>
      </c>
      <c r="E183" s="67">
        <v>4</v>
      </c>
      <c r="F183" s="45">
        <f>D183*E183</f>
        <v>0</v>
      </c>
      <c r="G183" s="800"/>
      <c r="H183" s="1691"/>
    </row>
    <row r="184" spans="1:9" ht="16.2" customHeight="1" x14ac:dyDescent="0.25">
      <c r="A184" s="1923"/>
      <c r="B184" s="1689"/>
      <c r="C184" s="440" t="str">
        <f>T!C12</f>
        <v>Brackish (0.5 to &lt;5 ppt salinity, "oligohaline").</v>
      </c>
      <c r="D184" s="47">
        <f>T!D12</f>
        <v>0</v>
      </c>
      <c r="E184" s="67">
        <v>2</v>
      </c>
      <c r="F184" s="45">
        <f>D184*E184</f>
        <v>0</v>
      </c>
      <c r="G184" s="800"/>
      <c r="H184" s="1691"/>
    </row>
    <row r="185" spans="1:9" ht="16.2" customHeight="1" x14ac:dyDescent="0.25">
      <c r="A185" s="1923"/>
      <c r="B185" s="1689"/>
      <c r="C185" s="440" t="str">
        <f>T!C13</f>
        <v>Fresh (&lt;0.5 ppt salinity).</v>
      </c>
      <c r="D185" s="47">
        <f>T!D13</f>
        <v>0</v>
      </c>
      <c r="E185" s="67">
        <v>1</v>
      </c>
      <c r="F185" s="45">
        <f>D185*E185</f>
        <v>0</v>
      </c>
      <c r="G185" s="800"/>
      <c r="H185" s="1691"/>
    </row>
    <row r="186" spans="1:9" ht="16.2" customHeight="1" thickBot="1" x14ac:dyDescent="0.3">
      <c r="A186" s="1924"/>
      <c r="B186" s="1690"/>
      <c r="C186" s="451" t="str">
        <f>T!C14</f>
        <v>Unknown.</v>
      </c>
      <c r="D186" s="80">
        <f>T!D14</f>
        <v>0</v>
      </c>
      <c r="E186" s="245"/>
      <c r="F186" s="193"/>
      <c r="G186" s="800"/>
      <c r="H186" s="1692"/>
    </row>
    <row r="187" spans="1:9" ht="30" customHeight="1" thickBot="1" x14ac:dyDescent="0.3">
      <c r="A187" s="1922" t="str">
        <f>T!A15</f>
        <v>T3</v>
      </c>
      <c r="B187" s="1689" t="str">
        <f>T!B15</f>
        <v>Low Marsh (LowMarshT)</v>
      </c>
      <c r="C187" s="452" t="str">
        <f>T!C15</f>
        <v>The percent of the vegetated part of the AA that is "low marsh" (covered by tidal water for part of almost every day) is:</v>
      </c>
      <c r="D187" s="549"/>
      <c r="E187" s="93"/>
      <c r="F187" s="877"/>
      <c r="G187" s="857">
        <f>MAX(F188:F194)/MAX(E188:E194)</f>
        <v>0</v>
      </c>
      <c r="H187" s="1691" t="s">
        <v>1151</v>
      </c>
    </row>
    <row r="188" spans="1:9" ht="16.2" customHeight="1" x14ac:dyDescent="0.25">
      <c r="A188" s="1923"/>
      <c r="B188" s="1689"/>
      <c r="C188" s="439" t="str">
        <f>T!C16</f>
        <v>None, or &lt;1%.</v>
      </c>
      <c r="D188" s="47">
        <f>T!D16</f>
        <v>0</v>
      </c>
      <c r="E188" s="67">
        <v>3</v>
      </c>
      <c r="F188" s="45">
        <f t="shared" ref="F188:F194" si="10">D188*E188</f>
        <v>0</v>
      </c>
      <c r="G188" s="806"/>
      <c r="H188" s="1691"/>
    </row>
    <row r="189" spans="1:9" ht="16.2" customHeight="1" x14ac:dyDescent="0.25">
      <c r="A189" s="1923"/>
      <c r="B189" s="1689"/>
      <c r="C189" s="440" t="str">
        <f>T!C17</f>
        <v>1 to &lt;10%.</v>
      </c>
      <c r="D189" s="47">
        <f>T!D17</f>
        <v>0</v>
      </c>
      <c r="E189" s="67">
        <v>6</v>
      </c>
      <c r="F189" s="45">
        <f t="shared" si="10"/>
        <v>0</v>
      </c>
      <c r="G189" s="800"/>
      <c r="H189" s="1691"/>
    </row>
    <row r="190" spans="1:9" ht="16.2" customHeight="1" x14ac:dyDescent="0.25">
      <c r="A190" s="1923"/>
      <c r="B190" s="1689"/>
      <c r="C190" s="440" t="str">
        <f>T!C18</f>
        <v>10 to &lt;25%.</v>
      </c>
      <c r="D190" s="47">
        <f>T!D18</f>
        <v>0</v>
      </c>
      <c r="E190" s="67">
        <v>5</v>
      </c>
      <c r="F190" s="45">
        <f t="shared" si="10"/>
        <v>0</v>
      </c>
      <c r="G190" s="800"/>
      <c r="H190" s="1691"/>
    </row>
    <row r="191" spans="1:9" ht="16.2" customHeight="1" x14ac:dyDescent="0.25">
      <c r="A191" s="1923"/>
      <c r="B191" s="1689"/>
      <c r="C191" s="440" t="str">
        <f>T!C19</f>
        <v>25 &lt;50%.</v>
      </c>
      <c r="D191" s="47">
        <f>T!D19</f>
        <v>0</v>
      </c>
      <c r="E191" s="67">
        <v>4</v>
      </c>
      <c r="F191" s="45">
        <f t="shared" si="10"/>
        <v>0</v>
      </c>
      <c r="G191" s="800"/>
      <c r="H191" s="1691"/>
    </row>
    <row r="192" spans="1:9" ht="16.2" customHeight="1" x14ac:dyDescent="0.25">
      <c r="A192" s="1923"/>
      <c r="B192" s="1689"/>
      <c r="C192" s="440" t="str">
        <f>T!C20</f>
        <v>50 to &lt;75%.</v>
      </c>
      <c r="D192" s="47">
        <f>T!D20</f>
        <v>0</v>
      </c>
      <c r="E192" s="67">
        <v>3</v>
      </c>
      <c r="F192" s="45">
        <f t="shared" si="10"/>
        <v>0</v>
      </c>
      <c r="G192" s="800"/>
      <c r="H192" s="1691"/>
    </row>
    <row r="193" spans="1:8" ht="16.2" customHeight="1" x14ac:dyDescent="0.25">
      <c r="A193" s="1923"/>
      <c r="B193" s="1689"/>
      <c r="C193" s="440" t="str">
        <f>T!C21</f>
        <v>75 to 90%.</v>
      </c>
      <c r="D193" s="47">
        <f>T!D21</f>
        <v>0</v>
      </c>
      <c r="E193" s="67">
        <v>2</v>
      </c>
      <c r="F193" s="45">
        <f t="shared" si="10"/>
        <v>0</v>
      </c>
      <c r="G193" s="800"/>
      <c r="H193" s="1691"/>
    </row>
    <row r="194" spans="1:8" ht="16.2" customHeight="1" thickBot="1" x14ac:dyDescent="0.3">
      <c r="A194" s="1924"/>
      <c r="B194" s="1689"/>
      <c r="C194" s="453" t="str">
        <f>T!C22</f>
        <v>&gt;90%.</v>
      </c>
      <c r="D194" s="80">
        <f>T!D22</f>
        <v>0</v>
      </c>
      <c r="E194" s="67">
        <v>1</v>
      </c>
      <c r="F194" s="54">
        <f t="shared" si="10"/>
        <v>0</v>
      </c>
      <c r="G194" s="800"/>
      <c r="H194" s="1691"/>
    </row>
    <row r="195" spans="1:8" ht="30" customHeight="1" thickBot="1" x14ac:dyDescent="0.3">
      <c r="A195" s="1922" t="str">
        <f>T!A23</f>
        <v>T4</v>
      </c>
      <c r="B195" s="1688" t="str">
        <f>T!B23</f>
        <v>Width of Vegetated Zone at Daily High Tide (WidthHiT)</v>
      </c>
      <c r="C195" s="441" t="str">
        <f>T!C23</f>
        <v>At average daily HIGH tide condition, the width of the vegetated wetland that separates adjoining uplands (if any) from subtidal water within or adjoining the AA, is predominantly:</v>
      </c>
      <c r="D195" s="549"/>
      <c r="E195" s="239"/>
      <c r="F195" s="972"/>
      <c r="G195" s="857">
        <f>MAX(F196:F201)/MAX(E196:E201)</f>
        <v>0</v>
      </c>
      <c r="H195" s="1669" t="s">
        <v>836</v>
      </c>
    </row>
    <row r="196" spans="1:8" ht="16.2" customHeight="1" x14ac:dyDescent="0.25">
      <c r="A196" s="1923"/>
      <c r="B196" s="1689"/>
      <c r="C196" s="439" t="str">
        <f>T!C24</f>
        <v>&lt;5 ft, or no vegetation between upland and subtidal water.</v>
      </c>
      <c r="D196" s="47">
        <f>T!D24</f>
        <v>0</v>
      </c>
      <c r="E196" s="67">
        <v>1</v>
      </c>
      <c r="F196" s="45">
        <f t="shared" ref="F196:F201" si="11">D196*E196</f>
        <v>0</v>
      </c>
      <c r="G196" s="806"/>
      <c r="H196" s="1691"/>
    </row>
    <row r="197" spans="1:8" ht="16.2" customHeight="1" x14ac:dyDescent="0.25">
      <c r="A197" s="1923"/>
      <c r="B197" s="1689"/>
      <c r="C197" s="440" t="str">
        <f>T!C25</f>
        <v>5 to &lt;30 ft.</v>
      </c>
      <c r="D197" s="47">
        <f>T!D25</f>
        <v>0</v>
      </c>
      <c r="E197" s="67">
        <v>2</v>
      </c>
      <c r="F197" s="45">
        <f t="shared" si="11"/>
        <v>0</v>
      </c>
      <c r="G197" s="800"/>
      <c r="H197" s="1691"/>
    </row>
    <row r="198" spans="1:8" ht="16.2" customHeight="1" x14ac:dyDescent="0.25">
      <c r="A198" s="1923"/>
      <c r="B198" s="1689"/>
      <c r="C198" s="440" t="str">
        <f>T!C26</f>
        <v>30 to &lt;50 ft.</v>
      </c>
      <c r="D198" s="47">
        <f>T!D26</f>
        <v>0</v>
      </c>
      <c r="E198" s="67">
        <v>3</v>
      </c>
      <c r="F198" s="45">
        <f t="shared" si="11"/>
        <v>0</v>
      </c>
      <c r="G198" s="800"/>
      <c r="H198" s="1691"/>
    </row>
    <row r="199" spans="1:8" ht="16.2" customHeight="1" x14ac:dyDescent="0.25">
      <c r="A199" s="1923"/>
      <c r="B199" s="1689"/>
      <c r="C199" s="440" t="str">
        <f>T!C27</f>
        <v>50 to &lt;100 ft.</v>
      </c>
      <c r="D199" s="47">
        <f>T!D27</f>
        <v>0</v>
      </c>
      <c r="E199" s="67">
        <v>4</v>
      </c>
      <c r="F199" s="45">
        <f t="shared" si="11"/>
        <v>0</v>
      </c>
      <c r="G199" s="800"/>
      <c r="H199" s="1691"/>
    </row>
    <row r="200" spans="1:8" ht="16.2" customHeight="1" x14ac:dyDescent="0.25">
      <c r="A200" s="1923"/>
      <c r="B200" s="1689"/>
      <c r="C200" s="440" t="str">
        <f>T!C28</f>
        <v>100 to 300 ft.</v>
      </c>
      <c r="D200" s="47">
        <f>T!D28</f>
        <v>0</v>
      </c>
      <c r="E200" s="67">
        <v>5</v>
      </c>
      <c r="F200" s="45">
        <f t="shared" si="11"/>
        <v>0</v>
      </c>
      <c r="G200" s="800"/>
      <c r="H200" s="1691"/>
    </row>
    <row r="201" spans="1:8" ht="16.2" customHeight="1" thickBot="1" x14ac:dyDescent="0.3">
      <c r="A201" s="1924"/>
      <c r="B201" s="1690"/>
      <c r="C201" s="451" t="str">
        <f>T!C29</f>
        <v>&gt; 300 ft.</v>
      </c>
      <c r="D201" s="80">
        <f>T!D29</f>
        <v>0</v>
      </c>
      <c r="E201" s="245">
        <v>6</v>
      </c>
      <c r="F201" s="193">
        <f t="shared" si="11"/>
        <v>0</v>
      </c>
      <c r="G201" s="800"/>
      <c r="H201" s="1692"/>
    </row>
    <row r="202" spans="1:8" ht="30" customHeight="1" thickBot="1" x14ac:dyDescent="0.3">
      <c r="A202" s="1922" t="str">
        <f>T!A51</f>
        <v>T9</v>
      </c>
      <c r="B202" s="1689" t="str">
        <f>T!B51</f>
        <v>Blind Channels - total length and branching (BlindChT)</v>
      </c>
      <c r="C202" s="452" t="str">
        <f>T!C51</f>
        <v>Within the intertidal part of the AA, the approximate density of tidal channels that remain wetted during low tide on most days of the year (i.e., MLLW) is:</v>
      </c>
      <c r="D202" s="549"/>
      <c r="E202" s="93"/>
      <c r="F202" s="877"/>
      <c r="G202" s="857">
        <f>MAX(F203:F207)/MAX(E203:E207)</f>
        <v>0</v>
      </c>
      <c r="H202" s="1691" t="s">
        <v>833</v>
      </c>
    </row>
    <row r="203" spans="1:8" ht="16.2" customHeight="1" x14ac:dyDescent="0.25">
      <c r="A203" s="1923"/>
      <c r="B203" s="1689"/>
      <c r="C203" s="439" t="str">
        <f>T!C52</f>
        <v>&lt;100 linear ft per acre, or none, or all have been artificially straightened.</v>
      </c>
      <c r="D203" s="47">
        <f>T!D52</f>
        <v>0</v>
      </c>
      <c r="E203" s="67">
        <v>1</v>
      </c>
      <c r="F203" s="45">
        <f>D203*E203</f>
        <v>0</v>
      </c>
      <c r="G203" s="806"/>
      <c r="H203" s="1691"/>
    </row>
    <row r="204" spans="1:8" ht="16.2" customHeight="1" x14ac:dyDescent="0.25">
      <c r="A204" s="1923"/>
      <c r="B204" s="1689"/>
      <c r="C204" s="440" t="str">
        <f>T!C53</f>
        <v>100-1000 linear ft per acre, and most tidal channels are unbranched.</v>
      </c>
      <c r="D204" s="47">
        <f>T!D53</f>
        <v>0</v>
      </c>
      <c r="E204" s="67">
        <v>2</v>
      </c>
      <c r="F204" s="45">
        <f>D204*E204</f>
        <v>0</v>
      </c>
      <c r="G204" s="800"/>
      <c r="H204" s="1691"/>
    </row>
    <row r="205" spans="1:8" ht="16.2" customHeight="1" x14ac:dyDescent="0.25">
      <c r="A205" s="1923"/>
      <c r="B205" s="1689"/>
      <c r="C205" s="440" t="str">
        <f>T!C54</f>
        <v>100-1000 linear ft per acre, and most tidal channels are branched.</v>
      </c>
      <c r="D205" s="47">
        <f>T!D54</f>
        <v>0</v>
      </c>
      <c r="E205" s="67">
        <v>3</v>
      </c>
      <c r="F205" s="45">
        <f>D205*E205</f>
        <v>0</v>
      </c>
      <c r="G205" s="800"/>
      <c r="H205" s="1691"/>
    </row>
    <row r="206" spans="1:8" ht="16.2" customHeight="1" x14ac:dyDescent="0.25">
      <c r="A206" s="1923"/>
      <c r="B206" s="1689"/>
      <c r="C206" s="440" t="str">
        <f>T!C55</f>
        <v>&gt;1000 linear ft per acre and most tidal channels are unbranched.</v>
      </c>
      <c r="D206" s="47">
        <f>T!D55</f>
        <v>0</v>
      </c>
      <c r="E206" s="67">
        <v>4</v>
      </c>
      <c r="F206" s="45">
        <f>D206*E206</f>
        <v>0</v>
      </c>
      <c r="G206" s="800"/>
      <c r="H206" s="1691"/>
    </row>
    <row r="207" spans="1:8" ht="16.2" customHeight="1" thickBot="1" x14ac:dyDescent="0.3">
      <c r="A207" s="1924"/>
      <c r="B207" s="1689"/>
      <c r="C207" s="453" t="str">
        <f>T!C56</f>
        <v>&gt;1000 linear ft per acre and most tidal channels are branched.</v>
      </c>
      <c r="D207" s="80">
        <f>T!D56</f>
        <v>0</v>
      </c>
      <c r="E207" s="67">
        <v>5</v>
      </c>
      <c r="F207" s="54">
        <f>D207*E207</f>
        <v>0</v>
      </c>
      <c r="G207" s="800"/>
      <c r="H207" s="1691"/>
    </row>
    <row r="208" spans="1:8" ht="30" customHeight="1" thickBot="1" x14ac:dyDescent="0.3">
      <c r="A208" s="1922" t="str">
        <f>T!A108</f>
        <v>T19</v>
      </c>
      <c r="B208" s="1688" t="str">
        <f>T!B108</f>
        <v>Vegetation Form Diversity (VegFormDivT)</v>
      </c>
      <c r="C208" s="441" t="str">
        <f>T!C108</f>
        <v>From the above list, the number of macrophyte groups that comprise &gt;5% of the vegetated area in the specified zone during late summer is:</v>
      </c>
      <c r="D208" s="549"/>
      <c r="E208" s="239"/>
      <c r="F208" s="972"/>
      <c r="G208" s="857">
        <f>MAX(F209:F211)/MAX(E209:E211)</f>
        <v>0</v>
      </c>
      <c r="H208" s="1669" t="s">
        <v>750</v>
      </c>
    </row>
    <row r="209" spans="1:8" ht="16.2" customHeight="1" x14ac:dyDescent="0.25">
      <c r="A209" s="1923"/>
      <c r="B209" s="1689"/>
      <c r="C209" s="439" t="str">
        <f>T!C109</f>
        <v>one.</v>
      </c>
      <c r="D209" s="47">
        <f>T!D109</f>
        <v>0</v>
      </c>
      <c r="E209" s="67">
        <v>1</v>
      </c>
      <c r="F209" s="45">
        <f>D209*E209</f>
        <v>0</v>
      </c>
      <c r="G209" s="806"/>
      <c r="H209" s="1691"/>
    </row>
    <row r="210" spans="1:8" ht="16.2" customHeight="1" x14ac:dyDescent="0.25">
      <c r="A210" s="1923"/>
      <c r="B210" s="1689"/>
      <c r="C210" s="440" t="str">
        <f>T!C110</f>
        <v>2 or 3.</v>
      </c>
      <c r="D210" s="47">
        <f>T!D110</f>
        <v>0</v>
      </c>
      <c r="E210" s="67">
        <v>2</v>
      </c>
      <c r="F210" s="45">
        <f>D210*E210</f>
        <v>0</v>
      </c>
      <c r="G210" s="800"/>
      <c r="H210" s="1691"/>
    </row>
    <row r="211" spans="1:8" ht="16.2" customHeight="1" thickBot="1" x14ac:dyDescent="0.3">
      <c r="A211" s="1924"/>
      <c r="B211" s="1690"/>
      <c r="C211" s="451" t="str">
        <f>T!C111</f>
        <v>&gt;3.</v>
      </c>
      <c r="D211" s="80">
        <f>T!D111</f>
        <v>0</v>
      </c>
      <c r="E211" s="245">
        <v>3</v>
      </c>
      <c r="F211" s="193">
        <f>D211*E211</f>
        <v>0</v>
      </c>
      <c r="G211" s="800"/>
      <c r="H211" s="1692"/>
    </row>
    <row r="212" spans="1:8" ht="30" customHeight="1" thickBot="1" x14ac:dyDescent="0.3">
      <c r="A212" s="1922" t="str">
        <f>T!A112</f>
        <v>T20</v>
      </c>
      <c r="B212" s="1689" t="str">
        <f>T!B112</f>
        <v>Species Dominance (VegSpDomT)</v>
      </c>
      <c r="C212" s="452" t="str">
        <f>T!C112</f>
        <v>Within the form identified as the predominant macrophyte, the 2 most common native species together comprise:</v>
      </c>
      <c r="D212" s="549"/>
      <c r="E212" s="93"/>
      <c r="F212" s="877"/>
      <c r="G212" s="857">
        <f>MAX(F213:F217)/MAX(E213:E217)</f>
        <v>0</v>
      </c>
      <c r="H212" s="1691" t="s">
        <v>751</v>
      </c>
    </row>
    <row r="213" spans="1:8" ht="16.2" customHeight="1" x14ac:dyDescent="0.25">
      <c r="A213" s="1923"/>
      <c r="B213" s="1689"/>
      <c r="C213" s="439" t="str">
        <f>T!C113</f>
        <v>&lt;20% of the AA's vegetated area (most species-rich, no dominants or co-dominants).</v>
      </c>
      <c r="D213" s="47">
        <f>T!D113</f>
        <v>0</v>
      </c>
      <c r="E213" s="67">
        <v>5</v>
      </c>
      <c r="F213" s="45">
        <f>D213*E213</f>
        <v>0</v>
      </c>
      <c r="G213" s="806"/>
      <c r="H213" s="1691"/>
    </row>
    <row r="214" spans="1:8" ht="16.2" customHeight="1" x14ac:dyDescent="0.25">
      <c r="A214" s="1923"/>
      <c r="B214" s="1689"/>
      <c r="C214" s="440" t="str">
        <f>T!C114</f>
        <v>20 to &lt;40% of the AA's vegetated area.</v>
      </c>
      <c r="D214" s="47">
        <f>T!D114</f>
        <v>0</v>
      </c>
      <c r="E214" s="67">
        <v>4</v>
      </c>
      <c r="F214" s="45">
        <f>D214*E214</f>
        <v>0</v>
      </c>
      <c r="G214" s="800"/>
      <c r="H214" s="1691"/>
    </row>
    <row r="215" spans="1:8" ht="16.2" customHeight="1" x14ac:dyDescent="0.25">
      <c r="A215" s="1923"/>
      <c r="B215" s="1689"/>
      <c r="C215" s="440" t="str">
        <f>T!C115</f>
        <v>40 to &lt;60% of the AA's vegetated area.</v>
      </c>
      <c r="D215" s="47">
        <f>T!D115</f>
        <v>0</v>
      </c>
      <c r="E215" s="67">
        <v>3</v>
      </c>
      <c r="F215" s="45">
        <f>D215*E215</f>
        <v>0</v>
      </c>
      <c r="G215" s="800"/>
      <c r="H215" s="1691"/>
    </row>
    <row r="216" spans="1:8" ht="16.2" customHeight="1" x14ac:dyDescent="0.25">
      <c r="A216" s="1923"/>
      <c r="B216" s="1689"/>
      <c r="C216" s="440" t="str">
        <f>T!C116</f>
        <v>60 to 80% of the AA's vegetated area.</v>
      </c>
      <c r="D216" s="47">
        <f>T!D116</f>
        <v>0</v>
      </c>
      <c r="E216" s="67">
        <v>2</v>
      </c>
      <c r="F216" s="45">
        <f>D216*E216</f>
        <v>0</v>
      </c>
      <c r="G216" s="800"/>
      <c r="H216" s="1691"/>
    </row>
    <row r="217" spans="1:8" ht="16.2" customHeight="1" thickBot="1" x14ac:dyDescent="0.3">
      <c r="A217" s="1924"/>
      <c r="B217" s="1689"/>
      <c r="C217" s="453" t="str">
        <f>T!C117</f>
        <v>&gt;80% of the AA's vegetated area (monotypic or nearly so).</v>
      </c>
      <c r="D217" s="80">
        <f>T!D117</f>
        <v>0</v>
      </c>
      <c r="E217" s="67">
        <v>1</v>
      </c>
      <c r="F217" s="54">
        <f>D217*E217</f>
        <v>0</v>
      </c>
      <c r="G217" s="800"/>
      <c r="H217" s="1691"/>
    </row>
    <row r="218" spans="1:8" ht="21" customHeight="1" thickBot="1" x14ac:dyDescent="0.3">
      <c r="A218" s="1922" t="str">
        <f>T!A118</f>
        <v>T21</v>
      </c>
      <c r="B218" s="1688" t="str">
        <f>T!B118</f>
        <v>Emergent Plants -- Area (EmAreaT)</v>
      </c>
      <c r="C218" s="931" t="str">
        <f>T!C118</f>
        <v>For the wetland as a whole, emergent plants cumulatively occupy an annual maximum of:</v>
      </c>
      <c r="D218" s="549"/>
      <c r="E218" s="239"/>
      <c r="F218" s="972"/>
      <c r="G218" s="857">
        <f>MAX(F219:F228)/MAX(E219:E228)</f>
        <v>0</v>
      </c>
      <c r="H218" s="1669" t="s">
        <v>1152</v>
      </c>
    </row>
    <row r="219" spans="1:8" ht="16.2" customHeight="1" x14ac:dyDescent="0.25">
      <c r="A219" s="1923"/>
      <c r="B219" s="1689"/>
      <c r="C219" s="893" t="str">
        <f>T!C119</f>
        <v>&lt;0.01 acre (&lt; 400 sq.ft) or none.</v>
      </c>
      <c r="D219" s="47">
        <f>T!D119</f>
        <v>0</v>
      </c>
      <c r="E219" s="67">
        <v>0</v>
      </c>
      <c r="F219" s="45">
        <f t="shared" ref="F219:F228" si="12">D219*E219</f>
        <v>0</v>
      </c>
      <c r="G219" s="806"/>
      <c r="H219" s="1691"/>
    </row>
    <row r="220" spans="1:8" ht="16.2" customHeight="1" x14ac:dyDescent="0.25">
      <c r="A220" s="1923"/>
      <c r="B220" s="1689"/>
      <c r="C220" s="894" t="str">
        <f>T!C120</f>
        <v>0.01 to &lt;0.10 acres (3,920 sq. ft).</v>
      </c>
      <c r="D220" s="47">
        <f>T!D120</f>
        <v>0</v>
      </c>
      <c r="E220" s="67">
        <v>2</v>
      </c>
      <c r="F220" s="45">
        <f t="shared" si="12"/>
        <v>0</v>
      </c>
      <c r="G220" s="800"/>
      <c r="H220" s="1691"/>
    </row>
    <row r="221" spans="1:8" ht="16.2" customHeight="1" x14ac:dyDescent="0.25">
      <c r="A221" s="1923"/>
      <c r="B221" s="1689"/>
      <c r="C221" s="894" t="str">
        <f>T!C121</f>
        <v>0.10 to &lt;0.50 acres (21,340 sq. ft).</v>
      </c>
      <c r="D221" s="47">
        <f>T!D121</f>
        <v>0</v>
      </c>
      <c r="E221" s="67">
        <v>4</v>
      </c>
      <c r="F221" s="45">
        <f t="shared" si="12"/>
        <v>0</v>
      </c>
      <c r="G221" s="800"/>
      <c r="H221" s="1691"/>
    </row>
    <row r="222" spans="1:8" ht="16.2" customHeight="1" x14ac:dyDescent="0.25">
      <c r="A222" s="1923"/>
      <c r="B222" s="1689"/>
      <c r="C222" s="894" t="str">
        <f>T!C122</f>
        <v>0.50 to &lt;1 acres.</v>
      </c>
      <c r="D222" s="47">
        <f>T!D122</f>
        <v>0</v>
      </c>
      <c r="E222" s="67">
        <v>6</v>
      </c>
      <c r="F222" s="45">
        <f t="shared" si="12"/>
        <v>0</v>
      </c>
      <c r="G222" s="800"/>
      <c r="H222" s="1691"/>
    </row>
    <row r="223" spans="1:8" ht="16.2" customHeight="1" x14ac:dyDescent="0.25">
      <c r="A223" s="1923"/>
      <c r="B223" s="1689"/>
      <c r="C223" s="894" t="str">
        <f>T!C123</f>
        <v>1 to &lt;5 acres.</v>
      </c>
      <c r="D223" s="47">
        <f>T!D123</f>
        <v>0</v>
      </c>
      <c r="E223" s="67">
        <v>8</v>
      </c>
      <c r="F223" s="45">
        <f t="shared" si="12"/>
        <v>0</v>
      </c>
      <c r="G223" s="800"/>
      <c r="H223" s="1691"/>
    </row>
    <row r="224" spans="1:8" ht="16.2" customHeight="1" x14ac:dyDescent="0.25">
      <c r="A224" s="1923"/>
      <c r="B224" s="1689"/>
      <c r="C224" s="894" t="str">
        <f>T!C124</f>
        <v>5 to &lt;50 acres.</v>
      </c>
      <c r="D224" s="47">
        <f>T!D124</f>
        <v>0</v>
      </c>
      <c r="E224" s="67">
        <v>9</v>
      </c>
      <c r="F224" s="45">
        <f t="shared" si="12"/>
        <v>0</v>
      </c>
      <c r="G224" s="800"/>
      <c r="H224" s="1691"/>
    </row>
    <row r="225" spans="1:9" ht="16.2" customHeight="1" x14ac:dyDescent="0.25">
      <c r="A225" s="1923"/>
      <c r="B225" s="1689"/>
      <c r="C225" s="894" t="str">
        <f>T!C125</f>
        <v>50 to &lt;640 acres (1 sq. mi).</v>
      </c>
      <c r="D225" s="47">
        <f>T!D125</f>
        <v>0</v>
      </c>
      <c r="E225" s="67">
        <v>10</v>
      </c>
      <c r="F225" s="45">
        <f t="shared" si="12"/>
        <v>0</v>
      </c>
      <c r="G225" s="800"/>
      <c r="H225" s="1691"/>
    </row>
    <row r="226" spans="1:9" ht="16.2" customHeight="1" x14ac:dyDescent="0.25">
      <c r="A226" s="1923"/>
      <c r="B226" s="1689"/>
      <c r="C226" s="894" t="str">
        <f>T!C126</f>
        <v>640 to &lt;1000 acres .</v>
      </c>
      <c r="D226" s="47">
        <f>T!D126</f>
        <v>0</v>
      </c>
      <c r="E226" s="67">
        <v>11</v>
      </c>
      <c r="F226" s="45">
        <f t="shared" si="12"/>
        <v>0</v>
      </c>
      <c r="G226" s="800"/>
      <c r="H226" s="1691"/>
    </row>
    <row r="227" spans="1:9" ht="16.2" customHeight="1" x14ac:dyDescent="0.25">
      <c r="A227" s="1923"/>
      <c r="B227" s="1689"/>
      <c r="C227" s="894" t="str">
        <f>T!C127</f>
        <v>1000 to 2500 acres.</v>
      </c>
      <c r="D227" s="47">
        <f>T!D127</f>
        <v>0</v>
      </c>
      <c r="E227" s="67">
        <v>12</v>
      </c>
      <c r="F227" s="45">
        <f t="shared" si="12"/>
        <v>0</v>
      </c>
      <c r="G227" s="800"/>
      <c r="H227" s="1691"/>
    </row>
    <row r="228" spans="1:9" ht="16.2" customHeight="1" thickBot="1" x14ac:dyDescent="0.3">
      <c r="A228" s="1924"/>
      <c r="B228" s="1690"/>
      <c r="C228" s="932" t="str">
        <f>T!C128</f>
        <v>&gt;2500 acres (&gt;4 sq.mi).</v>
      </c>
      <c r="D228" s="80">
        <f>T!D128</f>
        <v>0</v>
      </c>
      <c r="E228" s="245">
        <v>13</v>
      </c>
      <c r="F228" s="193">
        <f t="shared" si="12"/>
        <v>0</v>
      </c>
      <c r="G228" s="800"/>
      <c r="H228" s="1692"/>
    </row>
    <row r="229" spans="1:9" ht="21" customHeight="1" thickBot="1" x14ac:dyDescent="0.3">
      <c r="A229" s="1922" t="str">
        <f>T!A135</f>
        <v>T24</v>
      </c>
      <c r="B229" s="1688" t="str">
        <f>T!B135</f>
        <v>Invasive or Non-native - % of Herbaceous Area (InvasT)</v>
      </c>
      <c r="C229" s="441" t="str">
        <f>T!C135</f>
        <v>The maximum annual areal cover of herbaceous plants is:</v>
      </c>
      <c r="D229" s="549"/>
      <c r="E229" s="239"/>
      <c r="F229" s="972"/>
      <c r="G229" s="857">
        <f>MAX(F230:F233)/MAX(E230:E233)</f>
        <v>0</v>
      </c>
      <c r="H229" s="1599" t="s">
        <v>1153</v>
      </c>
    </row>
    <row r="230" spans="1:9" ht="30" customHeight="1" x14ac:dyDescent="0.25">
      <c r="A230" s="1923"/>
      <c r="B230" s="1689"/>
      <c r="C230" s="439" t="str">
        <f>T!C136</f>
        <v xml:space="preserve">Mostly (&gt;50% cover) non-native species AND &gt;10% of the herbaceous cover is invasive species.   </v>
      </c>
      <c r="D230" s="47">
        <f>T!D136</f>
        <v>0</v>
      </c>
      <c r="E230" s="67">
        <v>0</v>
      </c>
      <c r="F230" s="45">
        <f>D230*E230</f>
        <v>0</v>
      </c>
      <c r="G230" s="806"/>
      <c r="H230" s="1582"/>
      <c r="I230" s="3"/>
    </row>
    <row r="231" spans="1:9" ht="28.5" customHeight="1" x14ac:dyDescent="0.25">
      <c r="A231" s="1923"/>
      <c r="B231" s="1689"/>
      <c r="C231" s="440" t="str">
        <f>T!C137</f>
        <v>Mostly (&gt;50% cover) non-native species AND &lt;10% of the herbaceous cover is invasive species.</v>
      </c>
      <c r="D231" s="47">
        <f>T!D137</f>
        <v>0</v>
      </c>
      <c r="E231" s="67">
        <v>1</v>
      </c>
      <c r="F231" s="45">
        <f>D231*E231</f>
        <v>0</v>
      </c>
      <c r="G231" s="800"/>
      <c r="H231" s="1582"/>
    </row>
    <row r="232" spans="1:9" ht="16.2" customHeight="1" x14ac:dyDescent="0.25">
      <c r="A232" s="1923"/>
      <c r="B232" s="1689"/>
      <c r="C232" s="440" t="str">
        <f>T!C138</f>
        <v>Mostly (50-80% cover) native species.</v>
      </c>
      <c r="D232" s="47">
        <f>T!D138</f>
        <v>0</v>
      </c>
      <c r="E232" s="67">
        <v>2</v>
      </c>
      <c r="F232" s="45">
        <f>D232*E232</f>
        <v>0</v>
      </c>
      <c r="G232" s="800"/>
      <c r="H232" s="1582"/>
    </row>
    <row r="233" spans="1:9" ht="16.2" customHeight="1" thickBot="1" x14ac:dyDescent="0.3">
      <c r="A233" s="1924"/>
      <c r="B233" s="1690"/>
      <c r="C233" s="451" t="str">
        <f>T!C139</f>
        <v>Overwhelmingly (&gt;80% cover) native species.</v>
      </c>
      <c r="D233" s="80">
        <f>T!D139</f>
        <v>0</v>
      </c>
      <c r="E233" s="245">
        <v>3</v>
      </c>
      <c r="F233" s="193">
        <f>D233*E233</f>
        <v>0</v>
      </c>
      <c r="G233" s="800"/>
      <c r="H233" s="1600"/>
    </row>
    <row r="234" spans="1:9" ht="30" customHeight="1" thickBot="1" x14ac:dyDescent="0.3">
      <c r="A234" s="1922" t="str">
        <f>T!A149</f>
        <v>T27</v>
      </c>
      <c r="B234" s="1689" t="str">
        <f>T!B149</f>
        <v>Upland Perennial Cover - % of AA's Edge (PerimPctPerT)</v>
      </c>
      <c r="C234" s="452" t="str">
        <f>T!C149</f>
        <v xml:space="preserve">The percentage of the AA's edge (perimeter) that is comprised of a band of upland perennial cover wider than 10 ft and taller than 6 inches during most of the growing season is:  </v>
      </c>
      <c r="D234" s="549"/>
      <c r="E234" s="93"/>
      <c r="F234" s="877"/>
      <c r="G234" s="857">
        <f>MAX(F235:F240)/MAX(E235:E240)</f>
        <v>0</v>
      </c>
      <c r="H234" s="1691" t="s">
        <v>1154</v>
      </c>
    </row>
    <row r="235" spans="1:9" ht="16.2" customHeight="1" x14ac:dyDescent="0.25">
      <c r="A235" s="1923"/>
      <c r="B235" s="1689"/>
      <c r="C235" s="439" t="str">
        <f>T!C150</f>
        <v>&lt;5%.</v>
      </c>
      <c r="D235" s="47">
        <f>T!D150</f>
        <v>0</v>
      </c>
      <c r="E235" s="67">
        <v>0</v>
      </c>
      <c r="F235" s="45">
        <f t="shared" ref="F235:F240" si="13">D235*E235</f>
        <v>0</v>
      </c>
      <c r="G235" s="806"/>
      <c r="H235" s="1691"/>
    </row>
    <row r="236" spans="1:9" ht="16.2" customHeight="1" x14ac:dyDescent="0.25">
      <c r="A236" s="1923"/>
      <c r="B236" s="1689"/>
      <c r="C236" s="440" t="str">
        <f>T!C151</f>
        <v>5 to &lt;25%.</v>
      </c>
      <c r="D236" s="47">
        <f>T!D151</f>
        <v>0</v>
      </c>
      <c r="E236" s="67">
        <v>2</v>
      </c>
      <c r="F236" s="45">
        <f t="shared" si="13"/>
        <v>0</v>
      </c>
      <c r="G236" s="800"/>
      <c r="H236" s="1691"/>
    </row>
    <row r="237" spans="1:9" ht="16.2" customHeight="1" x14ac:dyDescent="0.25">
      <c r="A237" s="1923"/>
      <c r="B237" s="1689"/>
      <c r="C237" s="440" t="str">
        <f>T!C152</f>
        <v>25 to &lt;50%.</v>
      </c>
      <c r="D237" s="47">
        <f>T!D152</f>
        <v>0</v>
      </c>
      <c r="E237" s="67">
        <v>3</v>
      </c>
      <c r="F237" s="45">
        <f t="shared" si="13"/>
        <v>0</v>
      </c>
      <c r="G237" s="800"/>
      <c r="H237" s="1691"/>
    </row>
    <row r="238" spans="1:9" ht="16.2" customHeight="1" x14ac:dyDescent="0.25">
      <c r="A238" s="1923"/>
      <c r="B238" s="1689"/>
      <c r="C238" s="440" t="str">
        <f>T!C153</f>
        <v>50 to &lt;75%.</v>
      </c>
      <c r="D238" s="47">
        <f>T!D153</f>
        <v>0</v>
      </c>
      <c r="E238" s="67">
        <v>4</v>
      </c>
      <c r="F238" s="45">
        <f t="shared" si="13"/>
        <v>0</v>
      </c>
      <c r="G238" s="800"/>
      <c r="H238" s="1691"/>
    </row>
    <row r="239" spans="1:9" ht="16.2" customHeight="1" x14ac:dyDescent="0.25">
      <c r="A239" s="1923"/>
      <c r="B239" s="1689"/>
      <c r="C239" s="440" t="str">
        <f>T!C154</f>
        <v>75 to 95%.</v>
      </c>
      <c r="D239" s="47">
        <f>T!D154</f>
        <v>0</v>
      </c>
      <c r="E239" s="67">
        <v>5</v>
      </c>
      <c r="F239" s="45">
        <f t="shared" si="13"/>
        <v>0</v>
      </c>
      <c r="G239" s="800"/>
      <c r="H239" s="1691"/>
    </row>
    <row r="240" spans="1:9" ht="16.2" customHeight="1" thickBot="1" x14ac:dyDescent="0.3">
      <c r="A240" s="1924"/>
      <c r="B240" s="1689"/>
      <c r="C240" s="453" t="str">
        <f>T!C155</f>
        <v>&gt;95%.</v>
      </c>
      <c r="D240" s="242">
        <f>T!D155</f>
        <v>0</v>
      </c>
      <c r="E240" s="67">
        <v>6</v>
      </c>
      <c r="F240" s="54">
        <f t="shared" si="13"/>
        <v>0</v>
      </c>
      <c r="G240" s="800"/>
      <c r="H240" s="1691"/>
    </row>
    <row r="241" spans="1:8" ht="45" customHeight="1" thickBot="1" x14ac:dyDescent="0.3">
      <c r="A241" s="1922" t="str">
        <f>T!A156</f>
        <v>T28</v>
      </c>
      <c r="B241" s="1688" t="str">
        <f>T!B156</f>
        <v>Upland Perennial Cover - Width (Buffer)  (BuffWidthT)</v>
      </c>
      <c r="C241" s="441" t="str">
        <f>T!C156</f>
        <v>Along the greatest portion of the AA's upland edge, the width (not necessarily the maximum width) of perennial cover taller than 6 inches during most of the growing season and extending upslope from the AA until mostly shorter or non-perennial cover is reached is:</v>
      </c>
      <c r="D241" s="549"/>
      <c r="E241" s="239"/>
      <c r="F241" s="972"/>
      <c r="G241" s="857">
        <f>MAX(F242:F247)/MAX(E242:E247)</f>
        <v>0</v>
      </c>
      <c r="H241" s="1669" t="s">
        <v>837</v>
      </c>
    </row>
    <row r="242" spans="1:8" ht="16.2" customHeight="1" x14ac:dyDescent="0.25">
      <c r="A242" s="1923"/>
      <c r="B242" s="1689"/>
      <c r="C242" s="439" t="str">
        <f>T!C157</f>
        <v xml:space="preserve">&lt; 5 ft, or none.  </v>
      </c>
      <c r="D242" s="47">
        <f>T!D157</f>
        <v>0</v>
      </c>
      <c r="E242" s="67">
        <v>0</v>
      </c>
      <c r="F242" s="45">
        <f t="shared" ref="F242:F253" si="14">D242*E242</f>
        <v>0</v>
      </c>
      <c r="G242" s="806"/>
      <c r="H242" s="1691"/>
    </row>
    <row r="243" spans="1:8" ht="16.2" customHeight="1" x14ac:dyDescent="0.25">
      <c r="A243" s="1923"/>
      <c r="B243" s="1689"/>
      <c r="C243" s="440" t="str">
        <f>T!C158</f>
        <v>5 to &lt;30 ft.</v>
      </c>
      <c r="D243" s="47">
        <f>T!D158</f>
        <v>0</v>
      </c>
      <c r="E243" s="67">
        <v>2</v>
      </c>
      <c r="F243" s="45">
        <f t="shared" si="14"/>
        <v>0</v>
      </c>
      <c r="G243" s="800"/>
      <c r="H243" s="1691"/>
    </row>
    <row r="244" spans="1:8" ht="16.2" customHeight="1" x14ac:dyDescent="0.25">
      <c r="A244" s="1923"/>
      <c r="B244" s="1689"/>
      <c r="C244" s="440" t="str">
        <f>T!C159</f>
        <v>30 to &lt;50 ft.</v>
      </c>
      <c r="D244" s="47">
        <f>T!D159</f>
        <v>0</v>
      </c>
      <c r="E244" s="67">
        <v>3</v>
      </c>
      <c r="F244" s="45">
        <f t="shared" si="14"/>
        <v>0</v>
      </c>
      <c r="G244" s="800"/>
      <c r="H244" s="1691"/>
    </row>
    <row r="245" spans="1:8" ht="16.2" customHeight="1" x14ac:dyDescent="0.25">
      <c r="A245" s="1923"/>
      <c r="B245" s="1689"/>
      <c r="C245" s="440" t="str">
        <f>T!C160</f>
        <v>50 to &lt;100 ft.</v>
      </c>
      <c r="D245" s="47">
        <f>T!D160</f>
        <v>0</v>
      </c>
      <c r="E245" s="67">
        <v>4</v>
      </c>
      <c r="F245" s="45">
        <f t="shared" si="14"/>
        <v>0</v>
      </c>
      <c r="G245" s="800"/>
      <c r="H245" s="1691"/>
    </row>
    <row r="246" spans="1:8" ht="16.2" customHeight="1" x14ac:dyDescent="0.25">
      <c r="A246" s="1923"/>
      <c r="B246" s="1689"/>
      <c r="C246" s="440" t="str">
        <f>T!C161</f>
        <v>100 to 300 ft.             IF #T27 also was answered &gt;95%, enter 1 and SKIP to T30.</v>
      </c>
      <c r="D246" s="47">
        <f>T!D161</f>
        <v>0</v>
      </c>
      <c r="E246" s="67">
        <v>5</v>
      </c>
      <c r="F246" s="45">
        <f t="shared" si="14"/>
        <v>0</v>
      </c>
      <c r="G246" s="800"/>
      <c r="H246" s="1691"/>
    </row>
    <row r="247" spans="1:8" ht="16.2" customHeight="1" thickBot="1" x14ac:dyDescent="0.3">
      <c r="A247" s="1924"/>
      <c r="B247" s="1690"/>
      <c r="C247" s="451" t="str">
        <f>T!C162</f>
        <v>&gt; 300 ft.                    IF #T27 also was answered &gt;95%, enter 1 and SKIP to T30.</v>
      </c>
      <c r="D247" s="80">
        <f>T!D162</f>
        <v>0</v>
      </c>
      <c r="E247" s="245">
        <v>6</v>
      </c>
      <c r="F247" s="193">
        <f t="shared" si="14"/>
        <v>0</v>
      </c>
      <c r="G247" s="800"/>
      <c r="H247" s="1692"/>
    </row>
    <row r="248" spans="1:8" ht="45" customHeight="1" thickBot="1" x14ac:dyDescent="0.3">
      <c r="A248" s="1922" t="str">
        <f>T!A174</f>
        <v>T31</v>
      </c>
      <c r="B248" s="1691" t="str">
        <f>T!B174</f>
        <v>Mowing or Grazing (VegCutT)</v>
      </c>
      <c r="C248" s="452" t="str">
        <f>T!C174</f>
        <v>There is evidence that grazing by domestic or wild animals -- or mowing (multiple times per year), plowing, herbicides, or harvesting -- has repeatedly reduced the AA's vegetation cover (plants that normally grows taller than 4 inches) to less than 4" over the following extent:</v>
      </c>
      <c r="D248" s="549"/>
      <c r="E248" s="93"/>
      <c r="F248" s="877"/>
      <c r="G248" s="857">
        <f>MAX(F249:F253)/MAX(E249:E253)</f>
        <v>0</v>
      </c>
      <c r="H248" s="1691" t="s">
        <v>892</v>
      </c>
    </row>
    <row r="249" spans="1:8" ht="16.2" customHeight="1" x14ac:dyDescent="0.25">
      <c r="A249" s="1923"/>
      <c r="B249" s="1691"/>
      <c r="C249" s="439" t="str">
        <f>T!C175</f>
        <v>0% (such activities are absent).</v>
      </c>
      <c r="D249" s="47">
        <f>T!D175</f>
        <v>0</v>
      </c>
      <c r="E249" s="67">
        <v>4</v>
      </c>
      <c r="F249" s="45">
        <f t="shared" si="14"/>
        <v>0</v>
      </c>
      <c r="G249" s="806"/>
      <c r="H249" s="1691"/>
    </row>
    <row r="250" spans="1:8" ht="30.75" customHeight="1" x14ac:dyDescent="0.25">
      <c r="A250" s="1923"/>
      <c r="B250" s="1691"/>
      <c r="C250" s="440" t="str">
        <f>T!C176</f>
        <v>1 to &lt;5% of the AA (grazing or the other activities occur but vegetation height effects are mostly unnoticeable).</v>
      </c>
      <c r="D250" s="47">
        <f>T!D176</f>
        <v>0</v>
      </c>
      <c r="E250" s="67">
        <v>3</v>
      </c>
      <c r="F250" s="45">
        <f t="shared" si="14"/>
        <v>0</v>
      </c>
      <c r="G250" s="800"/>
      <c r="H250" s="1691"/>
    </row>
    <row r="251" spans="1:8" ht="16.2" customHeight="1" x14ac:dyDescent="0.25">
      <c r="A251" s="1923"/>
      <c r="B251" s="1691"/>
      <c r="C251" s="440" t="str">
        <f>T!C177</f>
        <v>5 to &lt;50%.</v>
      </c>
      <c r="D251" s="47">
        <f>T!D177</f>
        <v>0</v>
      </c>
      <c r="E251" s="67">
        <v>2</v>
      </c>
      <c r="F251" s="45">
        <f t="shared" si="14"/>
        <v>0</v>
      </c>
      <c r="G251" s="800"/>
      <c r="H251" s="1691"/>
    </row>
    <row r="252" spans="1:8" ht="16.2" customHeight="1" x14ac:dyDescent="0.25">
      <c r="A252" s="1923"/>
      <c r="B252" s="1691"/>
      <c r="C252" s="440" t="str">
        <f>T!C178</f>
        <v>50 to 95%.</v>
      </c>
      <c r="D252" s="47">
        <f>T!D178</f>
        <v>0</v>
      </c>
      <c r="E252" s="67">
        <v>1</v>
      </c>
      <c r="F252" s="45">
        <f t="shared" si="14"/>
        <v>0</v>
      </c>
      <c r="G252" s="800"/>
      <c r="H252" s="1691"/>
    </row>
    <row r="253" spans="1:8" ht="16.2" customHeight="1" thickBot="1" x14ac:dyDescent="0.3">
      <c r="A253" s="1924"/>
      <c r="B253" s="1691"/>
      <c r="C253" s="453" t="str">
        <f>T!C179</f>
        <v>&gt;95%.</v>
      </c>
      <c r="D253" s="242">
        <f>T!D179</f>
        <v>0</v>
      </c>
      <c r="E253" s="67">
        <v>0</v>
      </c>
      <c r="F253" s="54">
        <f t="shared" si="14"/>
        <v>0</v>
      </c>
      <c r="G253" s="800"/>
      <c r="H253" s="1691"/>
    </row>
    <row r="254" spans="1:8" ht="30" customHeight="1" thickBot="1" x14ac:dyDescent="0.3">
      <c r="A254" s="1922" t="str">
        <f>T!A186</f>
        <v>T33</v>
      </c>
      <c r="B254" s="1688" t="str">
        <f>T!B186</f>
        <v>Ground Irregularity (GirregT)</v>
      </c>
      <c r="C254" s="219" t="str">
        <f>T!C186</f>
        <v>In the high marsh (flooded less than daily), the number of small pits, raised mounds, hummocks, boulders, upturned trees, islands, natural levees, wide soil cracks, and microdepressions is:</v>
      </c>
      <c r="D254" s="65"/>
      <c r="E254" s="239"/>
      <c r="F254" s="972"/>
      <c r="G254" s="857">
        <f>MAX(F255:F257)/MAX(E255:E257)</f>
        <v>0</v>
      </c>
      <c r="H254" s="1669" t="s">
        <v>1155</v>
      </c>
    </row>
    <row r="255" spans="1:8" ht="27" customHeight="1" x14ac:dyDescent="0.25">
      <c r="A255" s="1923"/>
      <c r="B255" s="1689"/>
      <c r="C255" s="439" t="str">
        <f>T!C187</f>
        <v>Few or none (minimal microtopography; &lt;1% of the area that isn't persistently inundated); e.g., many flat sites having a single hydroperiod.</v>
      </c>
      <c r="D255" s="47">
        <f>T!D187</f>
        <v>0</v>
      </c>
      <c r="E255" s="67">
        <v>1</v>
      </c>
      <c r="F255" s="45">
        <f>D255*E255</f>
        <v>0</v>
      </c>
      <c r="G255" s="806"/>
      <c r="H255" s="1691"/>
    </row>
    <row r="256" spans="1:8" ht="16.2" customHeight="1" x14ac:dyDescent="0.25">
      <c r="A256" s="1923"/>
      <c r="B256" s="1689"/>
      <c r="C256" s="440" t="str">
        <f>T!C188</f>
        <v>Intermediate.</v>
      </c>
      <c r="D256" s="47">
        <f>T!D188</f>
        <v>0</v>
      </c>
      <c r="E256" s="67">
        <v>2</v>
      </c>
      <c r="F256" s="45">
        <f>D256*E256</f>
        <v>0</v>
      </c>
      <c r="G256" s="800"/>
      <c r="H256" s="1691"/>
    </row>
    <row r="257" spans="1:8" ht="16.2" customHeight="1" thickBot="1" x14ac:dyDescent="0.3">
      <c r="A257" s="1924"/>
      <c r="B257" s="1690"/>
      <c r="C257" s="451" t="str">
        <f>T!C189</f>
        <v>Several (extensive micro-topography).</v>
      </c>
      <c r="D257" s="80">
        <f>T!D189</f>
        <v>0</v>
      </c>
      <c r="E257" s="245">
        <v>3</v>
      </c>
      <c r="F257" s="193">
        <f>D257*E257</f>
        <v>0</v>
      </c>
      <c r="G257" s="800"/>
      <c r="H257" s="1692"/>
    </row>
    <row r="258" spans="1:8" ht="30" customHeight="1" thickBot="1" x14ac:dyDescent="0.3">
      <c r="A258" s="1922" t="str">
        <f>T!A190</f>
        <v>T34</v>
      </c>
      <c r="B258" s="1689" t="str">
        <f>T!B190</f>
        <v>Soil Composition (SoilTexT)</v>
      </c>
      <c r="C258" s="452" t="str">
        <f>T!C190</f>
        <v>Based on at least three pits you dig at points about equidistant across the AA, the composition of  the surface layer of the soil (2" depth) (but excluding the duff layer) is mostly:</v>
      </c>
      <c r="D258" s="549"/>
      <c r="E258" s="93"/>
      <c r="F258" s="877"/>
      <c r="G258" s="857">
        <f>MAX(F259:F262)/MAX(E259:E262)</f>
        <v>0</v>
      </c>
      <c r="H258" s="1691" t="s">
        <v>851</v>
      </c>
    </row>
    <row r="259" spans="1:8" ht="16.2" customHeight="1" x14ac:dyDescent="0.25">
      <c r="A259" s="1923"/>
      <c r="B259" s="1689"/>
      <c r="C259" s="439" t="str">
        <f>T!C191</f>
        <v>Loamy: includes silt, silt loam, loam, sandy loam.</v>
      </c>
      <c r="D259" s="47">
        <f>T!D191</f>
        <v>0</v>
      </c>
      <c r="E259" s="67">
        <v>3</v>
      </c>
      <c r="F259" s="45">
        <f>D259*E259</f>
        <v>0</v>
      </c>
      <c r="G259" s="806"/>
      <c r="H259" s="1691"/>
    </row>
    <row r="260" spans="1:8" ht="16.2" customHeight="1" x14ac:dyDescent="0.25">
      <c r="A260" s="1923"/>
      <c r="B260" s="1689"/>
      <c r="C260" s="440" t="str">
        <f>T!C192</f>
        <v>Clayey: includes clay, clay loam, silty clay, silty clay loam, sandy clay, sandy clay loam.</v>
      </c>
      <c r="D260" s="47">
        <f>T!D192</f>
        <v>0</v>
      </c>
      <c r="E260" s="67">
        <v>1</v>
      </c>
      <c r="F260" s="45">
        <f>D260*E260</f>
        <v>0</v>
      </c>
      <c r="G260" s="800"/>
      <c r="H260" s="1691"/>
    </row>
    <row r="261" spans="1:8" ht="27" customHeight="1" x14ac:dyDescent="0.25">
      <c r="A261" s="1923"/>
      <c r="B261" s="1689"/>
      <c r="C261" s="440" t="str">
        <f>T!C193</f>
        <v>Organic: includes muck, mucky peat, peat, and mucky mineral soils (blackish or grayish).  Exclude live roots unless they are moss.</v>
      </c>
      <c r="D261" s="47">
        <f>T!D193</f>
        <v>0</v>
      </c>
      <c r="E261" s="67">
        <v>2</v>
      </c>
      <c r="F261" s="45">
        <f>D261*E261</f>
        <v>0</v>
      </c>
      <c r="G261" s="800"/>
      <c r="H261" s="1691"/>
    </row>
    <row r="262" spans="1:8" ht="32.25" customHeight="1" thickBot="1" x14ac:dyDescent="0.3">
      <c r="A262" s="1924"/>
      <c r="B262" s="1689"/>
      <c r="C262" s="453" t="str">
        <f>T!C194</f>
        <v>Coarse: includes sand, loamy sand, gravel, cobble, stones, boulders, fluvents, fluvaquents, riverwash.</v>
      </c>
      <c r="D262" s="80">
        <f>T!D194</f>
        <v>0</v>
      </c>
      <c r="E262" s="67">
        <v>3</v>
      </c>
      <c r="F262" s="54">
        <f>D262*E262</f>
        <v>0</v>
      </c>
      <c r="G262" s="800"/>
      <c r="H262" s="1691"/>
    </row>
    <row r="263" spans="1:8" ht="60" customHeight="1" thickBot="1" x14ac:dyDescent="0.3">
      <c r="A263" s="1922" t="str">
        <f>T!A212</f>
        <v>T39</v>
      </c>
      <c r="B263" s="1688" t="str">
        <f>T!B212</f>
        <v>Core Area 1 (VisitNoT)</v>
      </c>
      <c r="C263" s="441" t="str">
        <f>T!C212</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263" s="549"/>
      <c r="E263" s="239"/>
      <c r="F263" s="972"/>
      <c r="G263" s="857">
        <f>MAX(F264:F269)/MAX(E264:E269)</f>
        <v>0</v>
      </c>
      <c r="H263" s="1622" t="s">
        <v>174</v>
      </c>
    </row>
    <row r="264" spans="1:8" ht="16.2" customHeight="1" x14ac:dyDescent="0.25">
      <c r="A264" s="1923"/>
      <c r="B264" s="1689"/>
      <c r="C264" s="439" t="str">
        <f>T!C213</f>
        <v>&lt;5% and no inhabited building is within 300 ft of the AA.</v>
      </c>
      <c r="D264" s="47">
        <f>T!D213</f>
        <v>0</v>
      </c>
      <c r="E264" s="1045">
        <v>1</v>
      </c>
      <c r="F264" s="45">
        <f t="shared" ref="F264:F269" si="15">D264*E264</f>
        <v>0</v>
      </c>
      <c r="G264" s="806"/>
      <c r="H264" s="1623"/>
    </row>
    <row r="265" spans="1:8" ht="16.2" customHeight="1" x14ac:dyDescent="0.25">
      <c r="A265" s="1923"/>
      <c r="B265" s="1689"/>
      <c r="C265" s="440" t="str">
        <f>T!C214</f>
        <v>&lt;5% and inhabited building is within 300 ft of the AA.</v>
      </c>
      <c r="D265" s="47">
        <f>T!D214</f>
        <v>0</v>
      </c>
      <c r="E265" s="1045">
        <v>0</v>
      </c>
      <c r="F265" s="45">
        <f t="shared" si="15"/>
        <v>0</v>
      </c>
      <c r="G265" s="800"/>
      <c r="H265" s="1623"/>
    </row>
    <row r="266" spans="1:8" ht="16.2" customHeight="1" x14ac:dyDescent="0.25">
      <c r="A266" s="1923"/>
      <c r="B266" s="1689"/>
      <c r="C266" s="440" t="str">
        <f>T!C215</f>
        <v>5 &lt;50% and no inhabited building is within 300 ft of the AA.</v>
      </c>
      <c r="D266" s="47">
        <f>T!D215</f>
        <v>0</v>
      </c>
      <c r="E266" s="1045">
        <v>3</v>
      </c>
      <c r="F266" s="45">
        <f t="shared" si="15"/>
        <v>0</v>
      </c>
      <c r="G266" s="800"/>
      <c r="H266" s="1623"/>
    </row>
    <row r="267" spans="1:8" ht="16.2" customHeight="1" x14ac:dyDescent="0.25">
      <c r="A267" s="1923"/>
      <c r="B267" s="1689"/>
      <c r="C267" s="440" t="str">
        <f>T!C216</f>
        <v>5 to &lt;50% and inhabited building is within 300 ft of the AA.</v>
      </c>
      <c r="D267" s="47">
        <f>T!D216</f>
        <v>0</v>
      </c>
      <c r="E267" s="1045">
        <v>2</v>
      </c>
      <c r="F267" s="45">
        <f t="shared" si="15"/>
        <v>0</v>
      </c>
      <c r="G267" s="800"/>
      <c r="H267" s="1623"/>
    </row>
    <row r="268" spans="1:8" ht="16.2" customHeight="1" x14ac:dyDescent="0.25">
      <c r="A268" s="1923"/>
      <c r="B268" s="1689"/>
      <c r="C268" s="440" t="str">
        <f>T!C217</f>
        <v>50 to 95% with or without inhabited building nearby.</v>
      </c>
      <c r="D268" s="47">
        <f>T!D217</f>
        <v>0</v>
      </c>
      <c r="E268" s="1045">
        <v>4</v>
      </c>
      <c r="F268" s="45">
        <f t="shared" si="15"/>
        <v>0</v>
      </c>
      <c r="G268" s="800"/>
      <c r="H268" s="1623"/>
    </row>
    <row r="269" spans="1:8" ht="16.2" customHeight="1" thickBot="1" x14ac:dyDescent="0.3">
      <c r="A269" s="1924"/>
      <c r="B269" s="1690"/>
      <c r="C269" s="451" t="str">
        <f>T!C218</f>
        <v>&gt;95% of the AA with or without inhabited building nearby.</v>
      </c>
      <c r="D269" s="80">
        <f>T!D218</f>
        <v>0</v>
      </c>
      <c r="E269" s="1046">
        <v>5</v>
      </c>
      <c r="F269" s="193">
        <f t="shared" si="15"/>
        <v>0</v>
      </c>
      <c r="G269" s="800"/>
      <c r="H269" s="1624"/>
    </row>
    <row r="270" spans="1:8" ht="30" customHeight="1" thickBot="1" x14ac:dyDescent="0.3">
      <c r="A270" s="1922" t="str">
        <f>T!A219</f>
        <v>T40</v>
      </c>
      <c r="B270" s="1689" t="str">
        <f>T!B219</f>
        <v>Core Area 2 (VisitOftenT)</v>
      </c>
      <c r="C270" s="452" t="str">
        <f>T!C219</f>
        <v>The part of the AA visited by humans almost daily for several weeks during an average growing season probably comprises:  [The Note in the preceding question applies here as well].</v>
      </c>
      <c r="D270" s="549"/>
      <c r="E270" s="1047"/>
      <c r="F270" s="877"/>
      <c r="G270" s="857">
        <f>MAX(F271:F274)/MAX(E271:E274)</f>
        <v>0</v>
      </c>
      <c r="H270" s="1896" t="s">
        <v>124</v>
      </c>
    </row>
    <row r="271" spans="1:8" ht="16.2" customHeight="1" x14ac:dyDescent="0.25">
      <c r="A271" s="1923"/>
      <c r="B271" s="1689"/>
      <c r="C271" s="439" t="str">
        <f>T!C220</f>
        <v>&lt;5%.</v>
      </c>
      <c r="D271" s="47">
        <f>T!D220</f>
        <v>0</v>
      </c>
      <c r="E271" s="1045">
        <v>3</v>
      </c>
      <c r="F271" s="45">
        <f>D271*E271</f>
        <v>0</v>
      </c>
      <c r="G271" s="806"/>
      <c r="H271" s="1623"/>
    </row>
    <row r="272" spans="1:8" ht="16.2" customHeight="1" x14ac:dyDescent="0.25">
      <c r="A272" s="1923"/>
      <c r="B272" s="1689"/>
      <c r="C272" s="440" t="str">
        <f>T!C221</f>
        <v>5 to &lt;50%.</v>
      </c>
      <c r="D272" s="47">
        <f>T!D221</f>
        <v>0</v>
      </c>
      <c r="E272" s="1045">
        <v>2</v>
      </c>
      <c r="F272" s="45">
        <f>D272*E272</f>
        <v>0</v>
      </c>
      <c r="G272" s="800"/>
      <c r="H272" s="1623"/>
    </row>
    <row r="273" spans="1:9" ht="16.2" customHeight="1" x14ac:dyDescent="0.25">
      <c r="A273" s="1923"/>
      <c r="B273" s="1689"/>
      <c r="C273" s="440" t="str">
        <f>T!C222</f>
        <v>50 to 95%.</v>
      </c>
      <c r="D273" s="47">
        <f>T!D222</f>
        <v>0</v>
      </c>
      <c r="E273" s="1045">
        <v>1</v>
      </c>
      <c r="F273" s="45">
        <f>D273*E273</f>
        <v>0</v>
      </c>
      <c r="G273" s="800"/>
      <c r="H273" s="1623"/>
    </row>
    <row r="274" spans="1:9" ht="16.2" customHeight="1" thickBot="1" x14ac:dyDescent="0.3">
      <c r="A274" s="1924"/>
      <c r="B274" s="1689"/>
      <c r="C274" s="453" t="str">
        <f>T!C223</f>
        <v>&gt;95% of the AA.</v>
      </c>
      <c r="D274" s="80">
        <f>T!D223</f>
        <v>0</v>
      </c>
      <c r="E274" s="1048">
        <v>0</v>
      </c>
      <c r="F274" s="54">
        <f>D274*E274</f>
        <v>0</v>
      </c>
      <c r="G274" s="800"/>
      <c r="H274" s="1897"/>
    </row>
    <row r="275" spans="1:9" ht="33" customHeight="1" thickBot="1" x14ac:dyDescent="0.3">
      <c r="A275" s="1264" t="str">
        <f>S!A3</f>
        <v>S1</v>
      </c>
      <c r="B275" s="219" t="str">
        <f>S!B3</f>
        <v>Aberrant Timing of Water Inputs (AltTiming)</v>
      </c>
      <c r="C275" s="919" t="s">
        <v>893</v>
      </c>
      <c r="D275" s="248">
        <f>S!F18</f>
        <v>0</v>
      </c>
      <c r="E275" s="1265"/>
      <c r="F275" s="249"/>
      <c r="G275" s="849">
        <f>1-D275</f>
        <v>1</v>
      </c>
      <c r="H275" s="4" t="s">
        <v>894</v>
      </c>
    </row>
    <row r="276" spans="1:9" s="372" customFormat="1" ht="36" customHeight="1" thickBot="1" x14ac:dyDescent="0.3">
      <c r="A276" s="1266" t="s">
        <v>126</v>
      </c>
      <c r="B276" s="380" t="s">
        <v>1463</v>
      </c>
      <c r="C276" s="1267" t="s">
        <v>1271</v>
      </c>
      <c r="D276" s="363" t="s">
        <v>115</v>
      </c>
      <c r="E276" s="1268" t="s">
        <v>771</v>
      </c>
      <c r="F276" s="1269" t="s">
        <v>1474</v>
      </c>
      <c r="G276" s="1270" t="s">
        <v>770</v>
      </c>
      <c r="H276" s="380" t="s">
        <v>772</v>
      </c>
    </row>
    <row r="277" spans="1:9" ht="30" customHeight="1" thickBot="1" x14ac:dyDescent="0.3">
      <c r="A277" s="1978" t="str">
        <f>OF!A4</f>
        <v>OF1</v>
      </c>
      <c r="B277" s="1582" t="str">
        <f>OF!B4</f>
        <v>Distance to Extensive Perennial Cover (DistPerCov)</v>
      </c>
      <c r="C277" s="836" t="str">
        <f>OF!C4</f>
        <v>The distance from the AA edge to the edge of the closest patch or corridor of perennial cover (see definition in column E) larger than 100 acres is:</v>
      </c>
      <c r="D277" s="549"/>
      <c r="E277" s="65"/>
      <c r="F277" s="60"/>
      <c r="G277" s="810">
        <f>MAX(F278:F283)/MAX(E278:E283)</f>
        <v>0</v>
      </c>
      <c r="H277" s="1521" t="s">
        <v>256</v>
      </c>
      <c r="I277" s="3"/>
    </row>
    <row r="278" spans="1:9" ht="16.2" customHeight="1" x14ac:dyDescent="0.25">
      <c r="A278" s="1979"/>
      <c r="B278" s="1582"/>
      <c r="C278" s="11" t="str">
        <f>OF!C5</f>
        <v>&lt;100 ft.</v>
      </c>
      <c r="D278" s="44">
        <f>OF!D5</f>
        <v>0</v>
      </c>
      <c r="E278" s="49">
        <v>0</v>
      </c>
      <c r="F278" s="54">
        <f t="shared" ref="F278:F283" si="16">D278*E278</f>
        <v>0</v>
      </c>
      <c r="G278" s="792"/>
      <c r="H278" s="1521"/>
    </row>
    <row r="279" spans="1:9" ht="16.2" customHeight="1" x14ac:dyDescent="0.25">
      <c r="A279" s="1979"/>
      <c r="B279" s="1582"/>
      <c r="C279" s="286" t="str">
        <f>OF!C6</f>
        <v>100 to &lt;300 ft.</v>
      </c>
      <c r="D279" s="44">
        <f>OF!D6</f>
        <v>0</v>
      </c>
      <c r="E279" s="49">
        <v>1</v>
      </c>
      <c r="F279" s="54">
        <f t="shared" si="16"/>
        <v>0</v>
      </c>
      <c r="G279" s="793"/>
      <c r="H279" s="1521"/>
    </row>
    <row r="280" spans="1:9" ht="16.2" customHeight="1" x14ac:dyDescent="0.25">
      <c r="A280" s="1979"/>
      <c r="B280" s="1582"/>
      <c r="C280" s="286" t="str">
        <f>OF!C7</f>
        <v>300 to &lt;1000 ft.</v>
      </c>
      <c r="D280" s="44">
        <f>OF!D7</f>
        <v>0</v>
      </c>
      <c r="E280" s="49">
        <v>2</v>
      </c>
      <c r="F280" s="54">
        <f t="shared" si="16"/>
        <v>0</v>
      </c>
      <c r="G280" s="793"/>
      <c r="H280" s="1521"/>
    </row>
    <row r="281" spans="1:9" ht="16.2" customHeight="1" x14ac:dyDescent="0.25">
      <c r="A281" s="1979"/>
      <c r="B281" s="1582"/>
      <c r="C281" s="286" t="str">
        <f>OF!C8</f>
        <v>1000 ft. to &lt;0.5 mile.</v>
      </c>
      <c r="D281" s="44">
        <f>OF!D8</f>
        <v>0</v>
      </c>
      <c r="E281" s="49">
        <v>3</v>
      </c>
      <c r="F281" s="54">
        <f t="shared" si="16"/>
        <v>0</v>
      </c>
      <c r="G281" s="793"/>
      <c r="H281" s="1521"/>
    </row>
    <row r="282" spans="1:9" ht="16.2" customHeight="1" x14ac:dyDescent="0.25">
      <c r="A282" s="1979"/>
      <c r="B282" s="1582"/>
      <c r="C282" s="286" t="str">
        <f>OF!C9</f>
        <v>0.5 mile to 2 miles.</v>
      </c>
      <c r="D282" s="44">
        <f>OF!D9</f>
        <v>0</v>
      </c>
      <c r="E282" s="49">
        <v>4</v>
      </c>
      <c r="F282" s="54">
        <f t="shared" si="16"/>
        <v>0</v>
      </c>
      <c r="G282" s="800"/>
      <c r="H282" s="1521"/>
    </row>
    <row r="283" spans="1:9" ht="16.2" customHeight="1" thickBot="1" x14ac:dyDescent="0.3">
      <c r="A283" s="1979"/>
      <c r="B283" s="1582"/>
      <c r="C283" s="286" t="str">
        <f>OF!C10</f>
        <v>&gt; 2 miles.</v>
      </c>
      <c r="D283" s="198">
        <f>OF!D10</f>
        <v>0</v>
      </c>
      <c r="E283" s="67">
        <v>5</v>
      </c>
      <c r="F283" s="54">
        <f t="shared" si="16"/>
        <v>0</v>
      </c>
      <c r="G283" s="800"/>
      <c r="H283" s="1521"/>
    </row>
    <row r="284" spans="1:9" ht="30" customHeight="1" thickBot="1" x14ac:dyDescent="0.3">
      <c r="A284" s="1978" t="str">
        <f>OF!A48</f>
        <v>OF8</v>
      </c>
      <c r="B284" s="1599" t="str">
        <f>OF!B48</f>
        <v>Wetland Type Local Uniqueness (UniqPatch)</v>
      </c>
      <c r="C284" s="4" t="str">
        <f>OF!C48</f>
        <v xml:space="preserve"> Select EACH of the vegetation types below that comprise more than 10% of the AA AND less than
 10% of a 0.5 mile radius around the AA. (See Column E).</v>
      </c>
      <c r="D284" s="65"/>
      <c r="E284" s="210"/>
      <c r="F284" s="258"/>
      <c r="G284" s="810">
        <f>(SUM(D285:D287)/3 + MAX(D285:D287))/2</f>
        <v>0</v>
      </c>
      <c r="H284" s="1599" t="s">
        <v>198</v>
      </c>
      <c r="I284" s="3"/>
    </row>
    <row r="285" spans="1:9" ht="29.25" customHeight="1" x14ac:dyDescent="0.25">
      <c r="A285" s="1979"/>
      <c r="B285" s="1582"/>
      <c r="C285" s="215" t="str">
        <f>OF!C49</f>
        <v>Herbaceous vegetation (perennial grasses, sedges, forbs; not under a woody canopy; not crops).</v>
      </c>
      <c r="D285" s="44">
        <f>OF!D49</f>
        <v>0</v>
      </c>
      <c r="E285" s="49">
        <v>1</v>
      </c>
      <c r="F285" s="45">
        <f>D285*E285</f>
        <v>0</v>
      </c>
      <c r="G285" s="792"/>
      <c r="H285" s="1582"/>
      <c r="I285" s="3"/>
    </row>
    <row r="286" spans="1:9" ht="16.2" customHeight="1" x14ac:dyDescent="0.25">
      <c r="A286" s="1979"/>
      <c r="B286" s="1582"/>
      <c r="C286" s="216" t="str">
        <f>OF!C50</f>
        <v>Unshaded shrubland (woody plants shorter than 20 ft).</v>
      </c>
      <c r="D286" s="44">
        <f>OF!D50</f>
        <v>0</v>
      </c>
      <c r="E286" s="49">
        <v>1</v>
      </c>
      <c r="F286" s="45">
        <f>D286*E286</f>
        <v>0</v>
      </c>
      <c r="G286" s="793"/>
      <c r="H286" s="1582"/>
    </row>
    <row r="287" spans="1:9" ht="16.2" customHeight="1" x14ac:dyDescent="0.25">
      <c r="A287" s="1979"/>
      <c r="B287" s="1582"/>
      <c r="C287" s="216" t="str">
        <f>OF!C51</f>
        <v>Trees (woody plants taller than 20 ft).</v>
      </c>
      <c r="D287" s="44">
        <f>OF!D51</f>
        <v>0</v>
      </c>
      <c r="E287" s="49">
        <v>1</v>
      </c>
      <c r="F287" s="45">
        <f>D287*E287</f>
        <v>0</v>
      </c>
      <c r="G287" s="793"/>
      <c r="H287" s="1582"/>
    </row>
    <row r="288" spans="1:9" ht="16.2" customHeight="1" thickBot="1" x14ac:dyDescent="0.3">
      <c r="A288" s="1980"/>
      <c r="B288" s="1600"/>
      <c r="C288" s="254" t="str">
        <f>OF!C52</f>
        <v>None of above.</v>
      </c>
      <c r="D288" s="198">
        <f>OF!D52</f>
        <v>0</v>
      </c>
      <c r="E288" s="245"/>
      <c r="F288" s="193"/>
      <c r="G288" s="794"/>
      <c r="H288" s="1600"/>
    </row>
    <row r="289" spans="1:9" ht="30" customHeight="1" thickBot="1" x14ac:dyDescent="0.3">
      <c r="A289" s="2092" t="str">
        <f>OF!A131</f>
        <v>OF23</v>
      </c>
      <c r="B289" s="1582" t="str">
        <f>OF!B131</f>
        <v>Plant Species of Conservation Concern (RarePspp)</v>
      </c>
      <c r="C289" s="244" t="str">
        <f>OF!C131</f>
        <v xml:space="preserve">According to the ORWAP Report, the score for occurrences of rare wetland-indicator plant species in the vicinity of this AA is: </v>
      </c>
      <c r="D289" s="549"/>
      <c r="E289" s="65"/>
      <c r="F289" s="60"/>
      <c r="G289" s="809">
        <f>MAX(F290:F293)/MAX(E290:E293)</f>
        <v>0</v>
      </c>
      <c r="H289" s="1582" t="s">
        <v>114</v>
      </c>
      <c r="I289" s="3"/>
    </row>
    <row r="290" spans="1:9" ht="44.25" customHeight="1" x14ac:dyDescent="0.25">
      <c r="A290" s="2092"/>
      <c r="B290" s="1582"/>
      <c r="C290" s="2" t="str">
        <f>OF!C132</f>
        <v>High (≥ 0.75 for maximum score, or &gt; 4.00 for sum score), or there is a recent onsite observation of any of these species by a qualified observer under conditions similar to what now occur.</v>
      </c>
      <c r="D290" s="44">
        <f>OF!D132</f>
        <v>0</v>
      </c>
      <c r="E290" s="49">
        <v>3</v>
      </c>
      <c r="F290" s="45">
        <f>D290*E290</f>
        <v>0</v>
      </c>
      <c r="G290" s="792"/>
      <c r="H290" s="1582"/>
    </row>
    <row r="291" spans="1:9" ht="16.2" customHeight="1" x14ac:dyDescent="0.25">
      <c r="A291" s="2092"/>
      <c r="B291" s="1582"/>
      <c r="C291" s="95" t="str">
        <f>OF!C133</f>
        <v>Intermediate (i.e., not as described above or below).</v>
      </c>
      <c r="D291" s="44">
        <f>OF!D133</f>
        <v>0</v>
      </c>
      <c r="E291" s="49">
        <v>2</v>
      </c>
      <c r="F291" s="45">
        <f>D291*E291</f>
        <v>0</v>
      </c>
      <c r="G291" s="793"/>
      <c r="H291" s="1582"/>
    </row>
    <row r="292" spans="1:9" ht="16.2" customHeight="1" x14ac:dyDescent="0.25">
      <c r="A292" s="2092"/>
      <c r="B292" s="1582"/>
      <c r="C292" s="95" t="str">
        <f>OF!C134</f>
        <v>Low (≤ 0.12 for maximum score AND &lt;  0.20 for sum score, but not 0 for both).</v>
      </c>
      <c r="D292" s="44">
        <f>OF!D134</f>
        <v>0</v>
      </c>
      <c r="E292" s="67">
        <v>1</v>
      </c>
      <c r="F292" s="45">
        <f>D292*E292</f>
        <v>0</v>
      </c>
      <c r="G292" s="800"/>
      <c r="H292" s="1582"/>
    </row>
    <row r="293" spans="1:9" ht="27" customHeight="1" thickBot="1" x14ac:dyDescent="0.3">
      <c r="A293" s="2092"/>
      <c r="B293" s="1582"/>
      <c r="C293" s="95" t="str">
        <f>OF!C135</f>
        <v>Zero for both this group's maximum and its sum score, and no recent onsite observation of these species by a qualified observer under conditions similar to what now occur.</v>
      </c>
      <c r="D293" s="17">
        <f>OF!D135</f>
        <v>0</v>
      </c>
      <c r="E293" s="67">
        <v>0</v>
      </c>
      <c r="F293" s="54">
        <v>0</v>
      </c>
      <c r="G293" s="800"/>
      <c r="H293" s="1582"/>
    </row>
    <row r="294" spans="1:9" ht="45" customHeight="1" thickBot="1" x14ac:dyDescent="0.3">
      <c r="A294" s="1597" t="str">
        <f>OF!A220</f>
        <v>OF42</v>
      </c>
      <c r="B294" s="1599" t="str">
        <f>OF!B220</f>
        <v>Zoning (Zoning)</v>
      </c>
      <c r="C294" s="75" t="str">
        <f>OF!C220</f>
        <v>According to ORWAP Map Viewer's Oregon Zoning layer, the dominant zoned land use designation for currently undeveloped parcels upslope from the AA and within 300 ft. of its upland edge is:</v>
      </c>
      <c r="D294" s="549"/>
      <c r="E294" s="239"/>
      <c r="F294" s="972"/>
      <c r="G294" s="810">
        <f>IF((D298=1),"",MAX(F295:F297)/MAX(E295:E297))</f>
        <v>0</v>
      </c>
      <c r="H294" s="1522" t="s">
        <v>1545</v>
      </c>
    </row>
    <row r="295" spans="1:9" ht="27" customHeight="1" x14ac:dyDescent="0.25">
      <c r="A295" s="1598"/>
      <c r="B295" s="1582"/>
      <c r="C295" s="215" t="str">
        <f>OF!C221</f>
        <v>Development (Commercial, Industrial, Urban Residential, etc.), or no undeveloped parcels exist upslope from the AA.</v>
      </c>
      <c r="D295" s="44">
        <f>OF!D221</f>
        <v>0</v>
      </c>
      <c r="E295" s="49">
        <v>3</v>
      </c>
      <c r="F295" s="54">
        <v>0</v>
      </c>
      <c r="G295" s="792"/>
      <c r="H295" s="1521"/>
    </row>
    <row r="296" spans="1:9" ht="16.2" customHeight="1" x14ac:dyDescent="0.25">
      <c r="A296" s="1598"/>
      <c r="B296" s="1582"/>
      <c r="C296" s="216" t="str">
        <f>OF!C222</f>
        <v>Agriculture or Rural Residential.</v>
      </c>
      <c r="D296" s="44">
        <f>OF!D222</f>
        <v>0</v>
      </c>
      <c r="E296" s="49">
        <v>2</v>
      </c>
      <c r="F296" s="54">
        <v>0</v>
      </c>
      <c r="G296" s="793"/>
      <c r="H296" s="1521"/>
    </row>
    <row r="297" spans="1:9" ht="16.2" customHeight="1" x14ac:dyDescent="0.25">
      <c r="A297" s="1598"/>
      <c r="B297" s="1582"/>
      <c r="C297" s="216" t="str">
        <f>OF!C223</f>
        <v>Forest or Open Space, or entirely public lands.</v>
      </c>
      <c r="D297" s="44">
        <f>OF!D223</f>
        <v>0</v>
      </c>
      <c r="E297" s="67">
        <v>1</v>
      </c>
      <c r="F297" s="54">
        <v>0</v>
      </c>
      <c r="G297" s="793"/>
      <c r="H297" s="1521"/>
    </row>
    <row r="298" spans="1:9" ht="16.2" customHeight="1" thickBot="1" x14ac:dyDescent="0.3">
      <c r="A298" s="1627"/>
      <c r="B298" s="1600"/>
      <c r="C298" s="254" t="str">
        <f>OF!C224</f>
        <v>Not zoned, or no information.</v>
      </c>
      <c r="D298" s="17">
        <f>OF!D224</f>
        <v>0</v>
      </c>
      <c r="E298" s="245"/>
      <c r="F298" s="193"/>
      <c r="G298" s="794"/>
      <c r="H298" s="1523"/>
    </row>
    <row r="299" spans="1:9" ht="45" customHeight="1" thickBot="1" x14ac:dyDescent="0.3">
      <c r="A299" s="2089" t="str">
        <f>F!A351</f>
        <v>F72</v>
      </c>
      <c r="B299" s="1582" t="str">
        <f>F!B351</f>
        <v>Wetland Type of Conservation Concern (RareType)</v>
      </c>
      <c r="C299" s="4" t="str">
        <f>F!C351</f>
        <v xml:space="preserve">Does the AA contain, or is it part of, any of these wetland types?  Select All that apply.  </v>
      </c>
      <c r="D299" s="210"/>
      <c r="E299" s="1271"/>
      <c r="F299" s="1272"/>
      <c r="G299" s="882">
        <f>MAX(D300:D309)</f>
        <v>0</v>
      </c>
      <c r="H299" s="1521" t="s">
        <v>717</v>
      </c>
    </row>
    <row r="300" spans="1:9" ht="42" customHeight="1" x14ac:dyDescent="0.25">
      <c r="A300" s="2090"/>
      <c r="B300" s="1582"/>
      <c r="C300" s="215" t="str">
        <f>F!C352</f>
        <v>Mature forested wetland (anywhere): a wetland in which mean diameter of trees (d.b.h., FACW and FAC species only) exceeds 18 inches, and/or the average age of trees exceeds 80 years, or there are &gt;5 trees/acre with diameter &gt;32 inches.</v>
      </c>
      <c r="D300" s="44">
        <f>F!D352</f>
        <v>0</v>
      </c>
      <c r="E300" s="1273"/>
      <c r="F300" s="1274"/>
      <c r="G300" s="800"/>
      <c r="H300" s="1521"/>
    </row>
    <row r="301" spans="1:9" ht="42" customHeight="1" x14ac:dyDescent="0.25">
      <c r="A301" s="2090"/>
      <c r="B301" s="1582"/>
      <c r="C301" s="216" t="str">
        <f>F!C353</f>
        <v>Bog or Fen: contains a sponge-like organic soil layer which covers most of the AA and often has extensive cover of sedges and/or broad-leaved evergreen shrubs (e.g., Ledum).  Often lacks tributaries, being fed mainly by groundwater and/or direct precipitation.</v>
      </c>
      <c r="D301" s="44">
        <f>F!D353</f>
        <v>0</v>
      </c>
      <c r="E301" s="1273"/>
      <c r="F301" s="1274"/>
      <c r="G301" s="800"/>
      <c r="H301" s="1521"/>
    </row>
    <row r="302" spans="1:9" ht="69" customHeight="1" x14ac:dyDescent="0.25">
      <c r="A302" s="2090"/>
      <c r="B302" s="1582"/>
      <c r="C302" s="216" t="str">
        <f>F!C354</f>
        <v xml:space="preserve">Playa, Salt Flat, or Alkaline Lake: a nontidal ponded water body usually having saline (salinity &gt;1 ppt or conductivity &gt;1000 µS ) or alkaline (conductivity &gt;2000 µS and pH &gt;9) conditions and large seasonal water level fluctuations (if inputs-outputs unregulated).  If a playa or salt flat, vegetation cover is sparse and plants typical of saline or alkaline conditions (e.g., Distichlis, Atriplex) are common.  </v>
      </c>
      <c r="D302" s="44">
        <f>F!D354</f>
        <v>0</v>
      </c>
      <c r="E302" s="1273"/>
      <c r="F302" s="1274"/>
      <c r="G302" s="800"/>
      <c r="H302" s="1521"/>
    </row>
    <row r="303" spans="1:9" ht="27" customHeight="1" x14ac:dyDescent="0.25">
      <c r="A303" s="2090"/>
      <c r="B303" s="1582"/>
      <c r="C303" s="216" t="str">
        <f>F!C355</f>
        <v>Hot spring (anywhere in Oregon): a wetland where discharging groundwater in summer is &gt;10 degrees (F) warmer than the expected water temperature.</v>
      </c>
      <c r="D303" s="44">
        <f>F!D355</f>
        <v>0</v>
      </c>
      <c r="E303" s="1273"/>
      <c r="F303" s="1274"/>
      <c r="G303" s="800"/>
      <c r="H303" s="1521"/>
    </row>
    <row r="304" spans="1:9" ht="42.75" customHeight="1" x14ac:dyDescent="0.25">
      <c r="A304" s="2090"/>
      <c r="B304" s="1582"/>
      <c r="C304" s="216" t="str">
        <f>F!C356</f>
        <v>Native wet prairie (west of the Cascade crest): a seasonally inundated wetland, usually without a naturally-occurring  inlet or outlet, and dominated primarily by native graminoids often including species in column E.</v>
      </c>
      <c r="D304" s="44">
        <f>F!D356</f>
        <v>0</v>
      </c>
      <c r="E304" s="1273"/>
      <c r="F304" s="1274"/>
      <c r="G304" s="800"/>
      <c r="H304" s="1521"/>
    </row>
    <row r="305" spans="1:9" ht="54.75" customHeight="1" x14ac:dyDescent="0.25">
      <c r="A305" s="2090"/>
      <c r="B305" s="1582"/>
      <c r="C305" s="216" t="str">
        <f>F!C357</f>
        <v>Vernal pool (Willamette Valley): a seasonally inundated wetland, underlain by hardpan or claypan, with hummocky micro-relief, usually without a naturally-occurring inlet or outlet, and with native plant species distinctly different from those in slightly higher areas, and often including species in column E.</v>
      </c>
      <c r="D305" s="44">
        <f>F!D357</f>
        <v>0</v>
      </c>
      <c r="E305" s="1273"/>
      <c r="F305" s="1274"/>
      <c r="G305" s="800"/>
      <c r="H305" s="1521"/>
    </row>
    <row r="306" spans="1:9" ht="42" customHeight="1" x14ac:dyDescent="0.25">
      <c r="A306" s="2090"/>
      <c r="B306" s="1582"/>
      <c r="C306" s="216" t="str">
        <f>F!C358</f>
        <v>Vernal pool (Medford area): a seasonally inundated acidic wetland, underlain by hardpan, with hummocky micro-relief, usually without a naturally-occurring inlet or outlet, and having concentric rings of similar native vegetation, often including species in column E.</v>
      </c>
      <c r="D306" s="44">
        <f>F!D358</f>
        <v>0</v>
      </c>
      <c r="E306" s="1273"/>
      <c r="F306" s="1274"/>
      <c r="G306" s="800"/>
      <c r="H306" s="1521"/>
    </row>
    <row r="307" spans="1:9" ht="42" customHeight="1" x14ac:dyDescent="0.25">
      <c r="A307" s="2090"/>
      <c r="B307" s="1582"/>
      <c r="C307" s="216" t="str">
        <f>F!C359</f>
        <v>Vernal pool (Modoc basalt &amp; Columbia Plateau): a seasonally inundated wetland, usually without a naturally-occurring inlet or outlet, located on shallow basalt bedrock and often having species in column E.</v>
      </c>
      <c r="D307" s="44">
        <f>F!D359</f>
        <v>0</v>
      </c>
      <c r="E307" s="1273"/>
      <c r="F307" s="1274"/>
      <c r="G307" s="800"/>
      <c r="H307" s="1521"/>
    </row>
    <row r="308" spans="1:9" ht="54.75" customHeight="1" x14ac:dyDescent="0.25">
      <c r="A308" s="2090"/>
      <c r="B308" s="1582"/>
      <c r="C308" s="216" t="str">
        <f>F!C360</f>
        <v>Interdunal wetland (Coastal ecoregion): a seasonally inundated wetland, usually without a naturally-occurring inlet or outlet, located between sand dunes where wind has scoured the sand down to the water table (deflation plain, blowout pond), and often with significant cover of the native species in column E.</v>
      </c>
      <c r="D308" s="44">
        <f>F!D360</f>
        <v>0</v>
      </c>
      <c r="E308" s="1273"/>
      <c r="F308" s="1274"/>
      <c r="G308" s="800"/>
      <c r="H308" s="1521"/>
    </row>
    <row r="309" spans="1:9" ht="42" customHeight="1" x14ac:dyDescent="0.25">
      <c r="A309" s="2090"/>
      <c r="B309" s="1582"/>
      <c r="C309" s="216" t="str">
        <f>F!C361</f>
        <v>Ultramafic soil wetland (mainly southwestern Oregon): a low-elevation wetland, usually with a sponge-like organic soil layer, occurring in an area with exposed serpentine or peridotite rock, and/or in soils with very low Ca:Mg ratios.</v>
      </c>
      <c r="D309" s="44">
        <f>F!D361</f>
        <v>0</v>
      </c>
      <c r="E309" s="1273"/>
      <c r="F309" s="1274"/>
      <c r="G309" s="800"/>
      <c r="H309" s="1521"/>
    </row>
    <row r="310" spans="1:9" ht="16.2" customHeight="1" thickBot="1" x14ac:dyDescent="0.3">
      <c r="A310" s="2091"/>
      <c r="B310" s="1582"/>
      <c r="C310" s="1275" t="str">
        <f>F!C362</f>
        <v>None of above.</v>
      </c>
      <c r="D310" s="1276">
        <f>F!D362</f>
        <v>0</v>
      </c>
      <c r="E310" s="1274"/>
      <c r="F310" s="1274"/>
      <c r="G310" s="800"/>
      <c r="H310" s="1521"/>
    </row>
    <row r="311" spans="1:9" ht="45" customHeight="1" thickBot="1" x14ac:dyDescent="0.3">
      <c r="A311" s="1277" t="str">
        <f>T!A237</f>
        <v>T47</v>
      </c>
      <c r="B311" s="4" t="str">
        <f>T!B237</f>
        <v>Wetland Type of Conservation Concern (RareTypeT)</v>
      </c>
      <c r="C311" s="1278" t="str">
        <f>T!C237</f>
        <v>The AA comprises all or part of (a) a wooded tidal wetland (&gt;30% cover of trees and/or shrubs), OR (b) an undiked tidal freshwater wetland (surface salinity &lt;0.5 ppt during most of spring and summer).  Enter 1, if true.</v>
      </c>
      <c r="D311" s="1279">
        <f>T!D237</f>
        <v>0</v>
      </c>
      <c r="E311" s="1280"/>
      <c r="F311" s="1281"/>
      <c r="G311" s="813">
        <f>D311</f>
        <v>0</v>
      </c>
      <c r="H311" s="114" t="s">
        <v>774</v>
      </c>
    </row>
    <row r="312" spans="1:9" ht="33" customHeight="1" thickBot="1" x14ac:dyDescent="0.3">
      <c r="A312" s="2081" t="s">
        <v>822</v>
      </c>
      <c r="B312" s="1651" t="s">
        <v>830</v>
      </c>
      <c r="C312" s="1282" t="s">
        <v>624</v>
      </c>
      <c r="D312" s="192"/>
      <c r="E312" s="192"/>
      <c r="F312" s="825"/>
      <c r="G312" s="1283">
        <f>POL!G154/10</f>
        <v>0</v>
      </c>
      <c r="H312" s="715" t="s">
        <v>10</v>
      </c>
      <c r="I312" s="3"/>
    </row>
    <row r="313" spans="1:9" ht="45.75" customHeight="1" thickBot="1" x14ac:dyDescent="0.3">
      <c r="A313" s="2082"/>
      <c r="B313" s="1653"/>
      <c r="C313" s="118" t="s">
        <v>623</v>
      </c>
      <c r="D313" s="1233"/>
      <c r="E313" s="1233"/>
      <c r="F313" s="1284"/>
      <c r="G313" s="813">
        <f>SBM!G313/10</f>
        <v>0</v>
      </c>
      <c r="H313" s="714" t="s">
        <v>61</v>
      </c>
      <c r="I313" s="3"/>
    </row>
    <row r="314" spans="1:9" ht="21" customHeight="1" thickBot="1" x14ac:dyDescent="0.3">
      <c r="A314" s="7"/>
      <c r="B314" s="2"/>
      <c r="C314" s="2"/>
      <c r="D314" s="79"/>
      <c r="E314" s="14"/>
      <c r="F314" s="79"/>
      <c r="G314" s="15"/>
      <c r="H314" s="2"/>
    </row>
    <row r="315" spans="1:9" s="33" customFormat="1" ht="21" customHeight="1" x14ac:dyDescent="0.25">
      <c r="A315" s="7"/>
      <c r="B315" s="2"/>
      <c r="C315" s="1952" t="s">
        <v>610</v>
      </c>
      <c r="D315" s="1893" t="s">
        <v>138</v>
      </c>
      <c r="E315" s="1893"/>
      <c r="F315" s="1893"/>
      <c r="G315" s="897">
        <f>AVERAGE(WidthWet15, EmArea15, SeasPct15, BuffWidth15, PerimPctPer15)</f>
        <v>0</v>
      </c>
      <c r="H315" s="253" t="s">
        <v>753</v>
      </c>
    </row>
    <row r="316" spans="1:9" s="33" customFormat="1" ht="21" customHeight="1" x14ac:dyDescent="0.25">
      <c r="A316" s="7"/>
      <c r="B316" s="2"/>
      <c r="C316" s="1953"/>
      <c r="D316" s="1901" t="s">
        <v>127</v>
      </c>
      <c r="E316" s="1901"/>
      <c r="F316" s="1901"/>
      <c r="G316" s="898">
        <f>AVERAGE(SizePerenn15,DistPerCov15,ConnLocalW15,DistPond15,Beaver15)</f>
        <v>0</v>
      </c>
      <c r="H316" s="190" t="s">
        <v>1534</v>
      </c>
    </row>
    <row r="317" spans="1:9" s="33" customFormat="1" ht="30" customHeight="1" x14ac:dyDescent="0.25">
      <c r="A317" s="7"/>
      <c r="B317" s="2"/>
      <c r="C317" s="1953"/>
      <c r="D317" s="1901" t="s">
        <v>832</v>
      </c>
      <c r="E317" s="1901"/>
      <c r="F317" s="1901"/>
      <c r="G317" s="898">
        <f>AVERAGE(Inflow15, ThruFlo15,WaterMixWet15,Fluc15, DepthDom15, DepthEven15,SoilTex15,Groundw15, NewWet15)</f>
        <v>0</v>
      </c>
      <c r="H317" s="190" t="s">
        <v>1535</v>
      </c>
    </row>
    <row r="318" spans="1:9" s="33" customFormat="1" ht="21" customHeight="1" x14ac:dyDescent="0.25">
      <c r="A318" s="7"/>
      <c r="B318" s="2"/>
      <c r="C318" s="1953"/>
      <c r="D318" s="1901" t="s">
        <v>167</v>
      </c>
      <c r="E318" s="1901"/>
      <c r="F318" s="1901"/>
      <c r="G318" s="898">
        <f>AVERAGE(EmPct15,HerbDom15,Girreg15,WoodyPct15,ShrubExpos15)</f>
        <v>0</v>
      </c>
      <c r="H318" s="1239" t="s">
        <v>1582</v>
      </c>
    </row>
    <row r="319" spans="1:9" s="33" customFormat="1" ht="21" customHeight="1" thickBot="1" x14ac:dyDescent="0.3">
      <c r="A319" s="7"/>
      <c r="B319" s="2"/>
      <c r="C319" s="1953"/>
      <c r="D319" s="2098" t="s">
        <v>178</v>
      </c>
      <c r="E319" s="2098"/>
      <c r="F319" s="2098"/>
      <c r="G319" s="1243">
        <f>AVERAGE(Invas15, AVERAGE(UpWeed15,VegCut15,VisitNo15,VisitOften15,DistRd15,AltTiming15,SoilDisturb15a))</f>
        <v>0.14285714285714285</v>
      </c>
      <c r="H319" s="1285" t="s">
        <v>1587</v>
      </c>
    </row>
    <row r="320" spans="1:9" ht="54.75" customHeight="1" thickBot="1" x14ac:dyDescent="0.3">
      <c r="A320" s="7"/>
      <c r="B320" s="2"/>
      <c r="C320" s="2102"/>
      <c r="D320" s="2099" t="s">
        <v>614</v>
      </c>
      <c r="E320" s="2100"/>
      <c r="F320" s="2101"/>
      <c r="G320" s="1199">
        <f>IF((InvasDomT=1),0,AVERAGE(InvasT15,AltTimingT15, AVERAGE(SalinT15,EstPosT15), AVERAGE(LowMarshT15,EmAreaT15,WidthHiT15), AVERAGE(VegFormDivT15,VegSpDomT15,VegCutT15), AVERAGE(PerimPctPerT15,BuffWidthT15), AVERAGE(BlindChT15,GirregT15,SoilTexT15)))</f>
        <v>0.14285714285714285</v>
      </c>
      <c r="H320" s="1286" t="s">
        <v>1586</v>
      </c>
    </row>
    <row r="321" spans="1:8" ht="33" customHeight="1" thickBot="1" x14ac:dyDescent="0.3">
      <c r="A321" s="2"/>
      <c r="B321" s="2"/>
      <c r="C321" s="1807" t="s">
        <v>1566</v>
      </c>
      <c r="D321" s="1808"/>
      <c r="E321" s="1809"/>
      <c r="F321" s="256" t="s">
        <v>6</v>
      </c>
      <c r="G321" s="782">
        <f>10*(IF((Tidal=1),TidalScorePH, IF((InvasDom1=1),0, (3*SppArea + 2*StressPD + AqFertilPD + CompetPD + Lscape15)/8)))</f>
        <v>0.3571428571428571</v>
      </c>
      <c r="H321" s="251" t="s">
        <v>1585</v>
      </c>
    </row>
    <row r="322" spans="1:8" ht="45" customHeight="1" thickBot="1" x14ac:dyDescent="0.3">
      <c r="A322" s="2"/>
      <c r="B322" s="2"/>
      <c r="C322" s="1807" t="s">
        <v>1567</v>
      </c>
      <c r="D322" s="1808"/>
      <c r="E322" s="1809"/>
      <c r="F322" s="256" t="s">
        <v>7</v>
      </c>
      <c r="G322" s="783">
        <f>10*(IF((Tidal=1),MAX(RareTypeT15v,AVERAGE(RarePspp15v,Zoning15v,ScoreSBM15v,ScorePOL15v)), MAX(RarePspp15v,RareType15v, AVERAGE(RarePspp15v,UniqPatch15v,DistPerCov15v,Zoning15v,ScoreSBM15v,ScorePOL15v))))</f>
        <v>0</v>
      </c>
      <c r="H322" s="984" t="s">
        <v>1383</v>
      </c>
    </row>
    <row r="323" spans="1:8" ht="21" customHeight="1" thickBot="1" x14ac:dyDescent="0.3"/>
    <row r="324" spans="1:8" ht="21" customHeight="1" thickBot="1" x14ac:dyDescent="0.3">
      <c r="H324" s="1159" t="s">
        <v>859</v>
      </c>
    </row>
    <row r="325" spans="1:8" ht="42" customHeight="1" x14ac:dyDescent="0.25">
      <c r="H325" s="715" t="s">
        <v>1362</v>
      </c>
    </row>
    <row r="326" spans="1:8" ht="27" customHeight="1" x14ac:dyDescent="0.25">
      <c r="H326" s="725" t="s">
        <v>1090</v>
      </c>
    </row>
    <row r="327" spans="1:8" ht="42" customHeight="1" x14ac:dyDescent="0.25">
      <c r="H327" s="725" t="s">
        <v>1091</v>
      </c>
    </row>
    <row r="328" spans="1:8" ht="27" customHeight="1" x14ac:dyDescent="0.25">
      <c r="H328" s="725" t="s">
        <v>1092</v>
      </c>
    </row>
    <row r="329" spans="1:8" ht="42" customHeight="1" x14ac:dyDescent="0.25">
      <c r="H329" s="725" t="s">
        <v>1093</v>
      </c>
    </row>
    <row r="330" spans="1:8" ht="27" customHeight="1" x14ac:dyDescent="0.25">
      <c r="H330" s="725" t="s">
        <v>1094</v>
      </c>
    </row>
    <row r="331" spans="1:8" ht="42" customHeight="1" x14ac:dyDescent="0.25">
      <c r="H331" s="716" t="s">
        <v>1363</v>
      </c>
    </row>
    <row r="332" spans="1:8" ht="27" customHeight="1" x14ac:dyDescent="0.25">
      <c r="H332" s="725" t="s">
        <v>1095</v>
      </c>
    </row>
    <row r="333" spans="1:8" ht="42" customHeight="1" x14ac:dyDescent="0.25">
      <c r="H333" s="716" t="s">
        <v>1364</v>
      </c>
    </row>
    <row r="334" spans="1:8" ht="42" customHeight="1" x14ac:dyDescent="0.25">
      <c r="H334" s="725" t="s">
        <v>899</v>
      </c>
    </row>
    <row r="335" spans="1:8" ht="27" customHeight="1" x14ac:dyDescent="0.25">
      <c r="H335" s="725" t="s">
        <v>1096</v>
      </c>
    </row>
    <row r="336" spans="1:8" ht="42" customHeight="1" x14ac:dyDescent="0.25">
      <c r="H336" s="725" t="s">
        <v>1097</v>
      </c>
    </row>
    <row r="337" spans="8:8" ht="27" customHeight="1" x14ac:dyDescent="0.25">
      <c r="H337" s="725" t="s">
        <v>1365</v>
      </c>
    </row>
    <row r="338" spans="8:8" ht="42" customHeight="1" x14ac:dyDescent="0.25">
      <c r="H338" s="725" t="s">
        <v>1098</v>
      </c>
    </row>
    <row r="339" spans="8:8" ht="27" customHeight="1" x14ac:dyDescent="0.25">
      <c r="H339" s="725" t="s">
        <v>1099</v>
      </c>
    </row>
    <row r="340" spans="8:8" ht="42" customHeight="1" x14ac:dyDescent="0.25">
      <c r="H340" s="716" t="s">
        <v>1366</v>
      </c>
    </row>
    <row r="341" spans="8:8" ht="27" customHeight="1" x14ac:dyDescent="0.25">
      <c r="H341" s="716" t="s">
        <v>1367</v>
      </c>
    </row>
    <row r="342" spans="8:8" ht="27" customHeight="1" x14ac:dyDescent="0.25">
      <c r="H342" s="716" t="s">
        <v>850</v>
      </c>
    </row>
    <row r="343" spans="8:8" ht="42" customHeight="1" x14ac:dyDescent="0.25">
      <c r="H343" s="716" t="s">
        <v>1368</v>
      </c>
    </row>
    <row r="344" spans="8:8" ht="27" customHeight="1" x14ac:dyDescent="0.25">
      <c r="H344" s="716" t="s">
        <v>1369</v>
      </c>
    </row>
    <row r="345" spans="8:8" ht="42" customHeight="1" x14ac:dyDescent="0.25">
      <c r="H345" s="725" t="s">
        <v>1100</v>
      </c>
    </row>
    <row r="346" spans="8:8" ht="42" customHeight="1" x14ac:dyDescent="0.25">
      <c r="H346" s="725" t="s">
        <v>1101</v>
      </c>
    </row>
    <row r="347" spans="8:8" ht="42" customHeight="1" x14ac:dyDescent="0.25">
      <c r="H347" s="725" t="s">
        <v>1102</v>
      </c>
    </row>
    <row r="348" spans="8:8" ht="27" customHeight="1" x14ac:dyDescent="0.25">
      <c r="H348" s="725" t="s">
        <v>1103</v>
      </c>
    </row>
    <row r="349" spans="8:8" ht="27" customHeight="1" x14ac:dyDescent="0.25">
      <c r="H349" s="725" t="s">
        <v>1104</v>
      </c>
    </row>
    <row r="350" spans="8:8" ht="27" customHeight="1" x14ac:dyDescent="0.25">
      <c r="H350" s="716" t="s">
        <v>1370</v>
      </c>
    </row>
    <row r="351" spans="8:8" ht="27" customHeight="1" x14ac:dyDescent="0.25">
      <c r="H351" s="725" t="s">
        <v>1105</v>
      </c>
    </row>
    <row r="352" spans="8:8" ht="27" customHeight="1" x14ac:dyDescent="0.25">
      <c r="H352" s="716" t="s">
        <v>1371</v>
      </c>
    </row>
    <row r="353" spans="8:8" ht="27" customHeight="1" x14ac:dyDescent="0.25">
      <c r="H353" s="716" t="s">
        <v>1372</v>
      </c>
    </row>
    <row r="354" spans="8:8" ht="27" customHeight="1" x14ac:dyDescent="0.25">
      <c r="H354" s="716" t="s">
        <v>887</v>
      </c>
    </row>
    <row r="355" spans="8:8" ht="27" customHeight="1" x14ac:dyDescent="0.25">
      <c r="H355" s="725" t="s">
        <v>1373</v>
      </c>
    </row>
    <row r="356" spans="8:8" ht="42" customHeight="1" x14ac:dyDescent="0.25">
      <c r="H356" s="725" t="s">
        <v>1106</v>
      </c>
    </row>
    <row r="357" spans="8:8" ht="27" customHeight="1" x14ac:dyDescent="0.25">
      <c r="H357" s="725" t="s">
        <v>1108</v>
      </c>
    </row>
    <row r="358" spans="8:8" ht="27" customHeight="1" x14ac:dyDescent="0.25">
      <c r="H358" s="725" t="s">
        <v>1107</v>
      </c>
    </row>
    <row r="359" spans="8:8" ht="27" customHeight="1" x14ac:dyDescent="0.25">
      <c r="H359" s="725" t="s">
        <v>1109</v>
      </c>
    </row>
    <row r="360" spans="8:8" ht="27" customHeight="1" x14ac:dyDescent="0.25">
      <c r="H360" s="725" t="s">
        <v>1110</v>
      </c>
    </row>
    <row r="361" spans="8:8" ht="27" customHeight="1" x14ac:dyDescent="0.25">
      <c r="H361" s="1216" t="s">
        <v>1111</v>
      </c>
    </row>
    <row r="362" spans="8:8" ht="27" customHeight="1" x14ac:dyDescent="0.25">
      <c r="H362" s="725" t="s">
        <v>1112</v>
      </c>
    </row>
    <row r="363" spans="8:8" ht="42" customHeight="1" x14ac:dyDescent="0.25">
      <c r="H363" s="725" t="s">
        <v>1113</v>
      </c>
    </row>
    <row r="364" spans="8:8" ht="27" customHeight="1" x14ac:dyDescent="0.25">
      <c r="H364" s="716" t="s">
        <v>1374</v>
      </c>
    </row>
    <row r="365" spans="8:8" ht="27" customHeight="1" x14ac:dyDescent="0.25">
      <c r="H365" s="725" t="s">
        <v>1114</v>
      </c>
    </row>
    <row r="366" spans="8:8" ht="27" customHeight="1" x14ac:dyDescent="0.25">
      <c r="H366" s="716" t="s">
        <v>1375</v>
      </c>
    </row>
    <row r="367" spans="8:8" ht="27" customHeight="1" x14ac:dyDescent="0.25">
      <c r="H367" s="716" t="s">
        <v>1376</v>
      </c>
    </row>
    <row r="368" spans="8:8" ht="42" customHeight="1" x14ac:dyDescent="0.25">
      <c r="H368" s="716" t="s">
        <v>1377</v>
      </c>
    </row>
    <row r="369" spans="8:8" ht="42" customHeight="1" x14ac:dyDescent="0.25">
      <c r="H369" s="716" t="s">
        <v>1378</v>
      </c>
    </row>
    <row r="370" spans="8:8" ht="27" customHeight="1" x14ac:dyDescent="0.25">
      <c r="H370" s="716" t="s">
        <v>1379</v>
      </c>
    </row>
    <row r="371" spans="8:8" ht="27" customHeight="1" x14ac:dyDescent="0.25">
      <c r="H371" s="716" t="s">
        <v>1380</v>
      </c>
    </row>
    <row r="372" spans="8:8" ht="27" customHeight="1" x14ac:dyDescent="0.25">
      <c r="H372" s="716" t="s">
        <v>1381</v>
      </c>
    </row>
    <row r="373" spans="8:8" ht="27" customHeight="1" x14ac:dyDescent="0.25">
      <c r="H373" s="725" t="s">
        <v>1382</v>
      </c>
    </row>
    <row r="374" spans="8:8" ht="27" customHeight="1" thickBot="1" x14ac:dyDescent="0.3">
      <c r="H374" s="726" t="s">
        <v>1115</v>
      </c>
    </row>
    <row r="375" spans="8:8" x14ac:dyDescent="0.25">
      <c r="H375" s="2"/>
    </row>
    <row r="376" spans="8:8" x14ac:dyDescent="0.25">
      <c r="H376" s="2"/>
    </row>
    <row r="377" spans="8:8" x14ac:dyDescent="0.25">
      <c r="H377" s="2"/>
    </row>
    <row r="378" spans="8:8" x14ac:dyDescent="0.25">
      <c r="H378" s="2"/>
    </row>
    <row r="379" spans="8:8" x14ac:dyDescent="0.25">
      <c r="H379" s="2"/>
    </row>
    <row r="380" spans="8:8" x14ac:dyDescent="0.25">
      <c r="H380" s="2"/>
    </row>
    <row r="381" spans="8:8" x14ac:dyDescent="0.25">
      <c r="H381" s="2"/>
    </row>
    <row r="382" spans="8:8" x14ac:dyDescent="0.25">
      <c r="H382" s="2"/>
    </row>
    <row r="383" spans="8:8" x14ac:dyDescent="0.25">
      <c r="H383" s="2"/>
    </row>
    <row r="384" spans="8:8" x14ac:dyDescent="0.25">
      <c r="H384" s="2"/>
    </row>
    <row r="385" spans="8:8" x14ac:dyDescent="0.25">
      <c r="H385" s="2"/>
    </row>
    <row r="386" spans="8:8" x14ac:dyDescent="0.25">
      <c r="H386" s="2"/>
    </row>
    <row r="387" spans="8:8" x14ac:dyDescent="0.25">
      <c r="H387" s="2"/>
    </row>
    <row r="388" spans="8:8" x14ac:dyDescent="0.25">
      <c r="H388" s="2"/>
    </row>
    <row r="389" spans="8:8" x14ac:dyDescent="0.25">
      <c r="H389" s="2"/>
    </row>
    <row r="390" spans="8:8" x14ac:dyDescent="0.25">
      <c r="H390" s="2"/>
    </row>
    <row r="391" spans="8:8" x14ac:dyDescent="0.25">
      <c r="H391" s="2"/>
    </row>
    <row r="392" spans="8:8" x14ac:dyDescent="0.25">
      <c r="H392" s="2"/>
    </row>
    <row r="393" spans="8:8" x14ac:dyDescent="0.25">
      <c r="H393" s="2"/>
    </row>
    <row r="394" spans="8:8" x14ac:dyDescent="0.25">
      <c r="H394" s="2"/>
    </row>
    <row r="395" spans="8:8" x14ac:dyDescent="0.25">
      <c r="H395" s="2"/>
    </row>
    <row r="396" spans="8:8" x14ac:dyDescent="0.25">
      <c r="H396" s="2"/>
    </row>
    <row r="397" spans="8:8" x14ac:dyDescent="0.25">
      <c r="H397" s="2"/>
    </row>
    <row r="398" spans="8:8" x14ac:dyDescent="0.25">
      <c r="H398" s="2"/>
    </row>
    <row r="399" spans="8:8" x14ac:dyDescent="0.25">
      <c r="H399" s="2"/>
    </row>
    <row r="400" spans="8:8" x14ac:dyDescent="0.25">
      <c r="H400" s="2"/>
    </row>
    <row r="401" spans="8:8" x14ac:dyDescent="0.25">
      <c r="H401" s="2"/>
    </row>
    <row r="402" spans="8:8" x14ac:dyDescent="0.25">
      <c r="H402" s="2"/>
    </row>
    <row r="403" spans="8:8" x14ac:dyDescent="0.25">
      <c r="H403" s="2"/>
    </row>
    <row r="404" spans="8:8" x14ac:dyDescent="0.25">
      <c r="H404" s="2"/>
    </row>
    <row r="405" spans="8:8" x14ac:dyDescent="0.25">
      <c r="H405" s="2"/>
    </row>
    <row r="406" spans="8:8" x14ac:dyDescent="0.25">
      <c r="H406" s="2"/>
    </row>
    <row r="407" spans="8:8" x14ac:dyDescent="0.25">
      <c r="H407" s="2"/>
    </row>
    <row r="408" spans="8:8" x14ac:dyDescent="0.25">
      <c r="H408" s="2"/>
    </row>
    <row r="409" spans="8:8" x14ac:dyDescent="0.25">
      <c r="H409" s="2"/>
    </row>
    <row r="410" spans="8:8" x14ac:dyDescent="0.25">
      <c r="H410" s="2"/>
    </row>
    <row r="411" spans="8:8" x14ac:dyDescent="0.25">
      <c r="H411" s="2"/>
    </row>
    <row r="412" spans="8:8" x14ac:dyDescent="0.25">
      <c r="H412" s="2"/>
    </row>
    <row r="413" spans="8:8" x14ac:dyDescent="0.25">
      <c r="H413" s="2"/>
    </row>
    <row r="414" spans="8:8" x14ac:dyDescent="0.25">
      <c r="H414" s="2"/>
    </row>
    <row r="415" spans="8:8" x14ac:dyDescent="0.25">
      <c r="H415" s="2"/>
    </row>
    <row r="416" spans="8:8" x14ac:dyDescent="0.25">
      <c r="H416" s="2"/>
    </row>
    <row r="417" spans="8:8" x14ac:dyDescent="0.25">
      <c r="H417" s="2"/>
    </row>
    <row r="418" spans="8:8" x14ac:dyDescent="0.25">
      <c r="H418" s="2"/>
    </row>
    <row r="419" spans="8:8" x14ac:dyDescent="0.25">
      <c r="H419" s="2"/>
    </row>
    <row r="420" spans="8:8" x14ac:dyDescent="0.25">
      <c r="H420" s="2"/>
    </row>
    <row r="421" spans="8:8" x14ac:dyDescent="0.25">
      <c r="H421" s="2"/>
    </row>
    <row r="422" spans="8:8" x14ac:dyDescent="0.25">
      <c r="H422" s="2"/>
    </row>
    <row r="423" spans="8:8" x14ac:dyDescent="0.25">
      <c r="H423" s="2"/>
    </row>
    <row r="424" spans="8:8" x14ac:dyDescent="0.25">
      <c r="H424" s="2"/>
    </row>
    <row r="425" spans="8:8" x14ac:dyDescent="0.25">
      <c r="H425" s="2"/>
    </row>
    <row r="426" spans="8:8" x14ac:dyDescent="0.25">
      <c r="H426" s="2"/>
    </row>
    <row r="427" spans="8:8" x14ac:dyDescent="0.25">
      <c r="H427" s="2"/>
    </row>
    <row r="428" spans="8:8" x14ac:dyDescent="0.25">
      <c r="H428" s="2"/>
    </row>
    <row r="429" spans="8:8" x14ac:dyDescent="0.25">
      <c r="H429" s="2"/>
    </row>
    <row r="430" spans="8:8" x14ac:dyDescent="0.25">
      <c r="H430" s="2"/>
    </row>
    <row r="431" spans="8:8" x14ac:dyDescent="0.25">
      <c r="H431" s="2"/>
    </row>
    <row r="432" spans="8:8" x14ac:dyDescent="0.25">
      <c r="H432" s="2"/>
    </row>
    <row r="433" spans="8:8" x14ac:dyDescent="0.25">
      <c r="H433" s="2"/>
    </row>
    <row r="434" spans="8:8" x14ac:dyDescent="0.25">
      <c r="H434" s="2"/>
    </row>
    <row r="435" spans="8:8" x14ac:dyDescent="0.25">
      <c r="H435" s="2"/>
    </row>
    <row r="436" spans="8:8" x14ac:dyDescent="0.25">
      <c r="H436" s="2"/>
    </row>
    <row r="437" spans="8:8" x14ac:dyDescent="0.25">
      <c r="H437" s="2"/>
    </row>
    <row r="438" spans="8:8" x14ac:dyDescent="0.25">
      <c r="H438" s="2"/>
    </row>
    <row r="439" spans="8:8" x14ac:dyDescent="0.25">
      <c r="H439" s="2"/>
    </row>
    <row r="440" spans="8:8" x14ac:dyDescent="0.25">
      <c r="H440" s="2"/>
    </row>
    <row r="441" spans="8:8" x14ac:dyDescent="0.25">
      <c r="H441" s="2"/>
    </row>
    <row r="442" spans="8:8" x14ac:dyDescent="0.25">
      <c r="H442" s="2"/>
    </row>
    <row r="443" spans="8:8" x14ac:dyDescent="0.25">
      <c r="H443" s="2"/>
    </row>
    <row r="444" spans="8:8" x14ac:dyDescent="0.25">
      <c r="H444" s="2"/>
    </row>
    <row r="445" spans="8:8" x14ac:dyDescent="0.25">
      <c r="H445" s="2"/>
    </row>
    <row r="446" spans="8:8" x14ac:dyDescent="0.25">
      <c r="H446" s="2"/>
    </row>
    <row r="447" spans="8:8" x14ac:dyDescent="0.25">
      <c r="H447" s="2"/>
    </row>
  </sheetData>
  <sheetProtection password="C74A" sheet="1" objects="1" scenarios="1" formatCells="0" formatColumns="0" formatRows="0"/>
  <customSheetViews>
    <customSheetView guid="{B8E02330-2419-4DE6-AD01-7ACC7A5D18DD}" scale="73">
      <pageMargins left="0.75" right="0.75" top="1" bottom="1" header="0.5" footer="0.5"/>
      <pageSetup orientation="portrait" r:id="rId1"/>
      <headerFooter alignWithMargins="0"/>
    </customSheetView>
  </customSheetViews>
  <mergeCells count="163">
    <mergeCell ref="C321:E321"/>
    <mergeCell ref="C322:E322"/>
    <mergeCell ref="D319:F319"/>
    <mergeCell ref="B294:B298"/>
    <mergeCell ref="H294:H298"/>
    <mergeCell ref="D320:F320"/>
    <mergeCell ref="H218:H228"/>
    <mergeCell ref="C315:C320"/>
    <mergeCell ref="H289:H293"/>
    <mergeCell ref="H277:H283"/>
    <mergeCell ref="B289:B293"/>
    <mergeCell ref="D317:F317"/>
    <mergeCell ref="D318:F318"/>
    <mergeCell ref="H299:H310"/>
    <mergeCell ref="H254:H257"/>
    <mergeCell ref="H258:H262"/>
    <mergeCell ref="H241:H247"/>
    <mergeCell ref="H270:H274"/>
    <mergeCell ref="H248:H253"/>
    <mergeCell ref="D316:F316"/>
    <mergeCell ref="H284:H288"/>
    <mergeCell ref="D315:F315"/>
    <mergeCell ref="B277:B283"/>
    <mergeCell ref="B229:B233"/>
    <mergeCell ref="A1:B1"/>
    <mergeCell ref="H17:H23"/>
    <mergeCell ref="A150:A154"/>
    <mergeCell ref="A169:A173"/>
    <mergeCell ref="A141:A145"/>
    <mergeCell ref="H141:H145"/>
    <mergeCell ref="A155:A161"/>
    <mergeCell ref="A102:A104"/>
    <mergeCell ref="A115:A120"/>
    <mergeCell ref="A105:A109"/>
    <mergeCell ref="A47:A53"/>
    <mergeCell ref="H47:H53"/>
    <mergeCell ref="H84:H89"/>
    <mergeCell ref="H97:H101"/>
    <mergeCell ref="H91:H96"/>
    <mergeCell ref="B60:B64"/>
    <mergeCell ref="B65:B71"/>
    <mergeCell ref="B84:B89"/>
    <mergeCell ref="H102:H104"/>
    <mergeCell ref="E1:H1"/>
    <mergeCell ref="A127:A133"/>
    <mergeCell ref="H110:H114"/>
    <mergeCell ref="H169:H173"/>
    <mergeCell ref="H127:H133"/>
    <mergeCell ref="A218:A228"/>
    <mergeCell ref="H177:H180"/>
    <mergeCell ref="H181:H186"/>
    <mergeCell ref="H187:H194"/>
    <mergeCell ref="H202:H207"/>
    <mergeCell ref="H195:H201"/>
    <mergeCell ref="H150:H154"/>
    <mergeCell ref="H115:H120"/>
    <mergeCell ref="H146:H149"/>
    <mergeCell ref="H134:H140"/>
    <mergeCell ref="A208:A211"/>
    <mergeCell ref="A212:A217"/>
    <mergeCell ref="A187:A194"/>
    <mergeCell ref="B115:B120"/>
    <mergeCell ref="B218:B228"/>
    <mergeCell ref="A181:A186"/>
    <mergeCell ref="B212:B217"/>
    <mergeCell ref="B141:B145"/>
    <mergeCell ref="B146:B149"/>
    <mergeCell ref="B150:B154"/>
    <mergeCell ref="B177:B180"/>
    <mergeCell ref="B155:B161"/>
    <mergeCell ref="B169:B173"/>
    <mergeCell ref="B162:B168"/>
    <mergeCell ref="B202:B207"/>
    <mergeCell ref="B187:B194"/>
    <mergeCell ref="B208:B211"/>
    <mergeCell ref="H212:H217"/>
    <mergeCell ref="H155:H161"/>
    <mergeCell ref="H208:H211"/>
    <mergeCell ref="H263:H269"/>
    <mergeCell ref="H229:H233"/>
    <mergeCell ref="H234:H240"/>
    <mergeCell ref="H162:H168"/>
    <mergeCell ref="H105:H109"/>
    <mergeCell ref="H121:H126"/>
    <mergeCell ref="A299:A310"/>
    <mergeCell ref="A258:A262"/>
    <mergeCell ref="A277:A283"/>
    <mergeCell ref="B284:B288"/>
    <mergeCell ref="B258:B262"/>
    <mergeCell ref="B254:B257"/>
    <mergeCell ref="A294:A298"/>
    <mergeCell ref="A254:A257"/>
    <mergeCell ref="A229:A233"/>
    <mergeCell ref="A270:A274"/>
    <mergeCell ref="A234:A240"/>
    <mergeCell ref="A284:A288"/>
    <mergeCell ref="A289:A293"/>
    <mergeCell ref="A263:A269"/>
    <mergeCell ref="B263:B269"/>
    <mergeCell ref="B270:B274"/>
    <mergeCell ref="B234:B240"/>
    <mergeCell ref="B241:B247"/>
    <mergeCell ref="B248:B253"/>
    <mergeCell ref="B299:B310"/>
    <mergeCell ref="A248:A253"/>
    <mergeCell ref="A241:A247"/>
    <mergeCell ref="H60:H64"/>
    <mergeCell ref="H43:H46"/>
    <mergeCell ref="H54:H59"/>
    <mergeCell ref="B72:B77"/>
    <mergeCell ref="H3:H9"/>
    <mergeCell ref="H10:H16"/>
    <mergeCell ref="H72:H77"/>
    <mergeCell ref="H78:H83"/>
    <mergeCell ref="B37:B42"/>
    <mergeCell ref="B43:B46"/>
    <mergeCell ref="H37:H42"/>
    <mergeCell ref="B3:B9"/>
    <mergeCell ref="B10:B16"/>
    <mergeCell ref="B17:B23"/>
    <mergeCell ref="B24:B31"/>
    <mergeCell ref="H32:H36"/>
    <mergeCell ref="H65:H71"/>
    <mergeCell ref="B32:B36"/>
    <mergeCell ref="B78:B83"/>
    <mergeCell ref="H24:H31"/>
    <mergeCell ref="B91:B96"/>
    <mergeCell ref="A134:A140"/>
    <mergeCell ref="A54:A59"/>
    <mergeCell ref="A60:A64"/>
    <mergeCell ref="A91:A96"/>
    <mergeCell ref="A121:A126"/>
    <mergeCell ref="A177:A180"/>
    <mergeCell ref="A37:A42"/>
    <mergeCell ref="A78:A83"/>
    <mergeCell ref="A110:A114"/>
    <mergeCell ref="A97:A101"/>
    <mergeCell ref="B105:B109"/>
    <mergeCell ref="B127:B133"/>
    <mergeCell ref="A312:A313"/>
    <mergeCell ref="B312:B313"/>
    <mergeCell ref="A3:A9"/>
    <mergeCell ref="A10:A16"/>
    <mergeCell ref="B134:B140"/>
    <mergeCell ref="A17:A23"/>
    <mergeCell ref="A24:A31"/>
    <mergeCell ref="A32:A36"/>
    <mergeCell ref="A43:A46"/>
    <mergeCell ref="A202:A207"/>
    <mergeCell ref="A72:A77"/>
    <mergeCell ref="A65:A71"/>
    <mergeCell ref="A84:A89"/>
    <mergeCell ref="A162:A168"/>
    <mergeCell ref="A146:A149"/>
    <mergeCell ref="B54:B59"/>
    <mergeCell ref="B47:B53"/>
    <mergeCell ref="B110:B114"/>
    <mergeCell ref="B97:B101"/>
    <mergeCell ref="B121:B126"/>
    <mergeCell ref="B181:B186"/>
    <mergeCell ref="B195:B201"/>
    <mergeCell ref="B102:B104"/>
    <mergeCell ref="A195:A201"/>
  </mergeCells>
  <phoneticPr fontId="3" type="noConversion"/>
  <pageMargins left="0.75" right="0.75" top="1" bottom="1" header="0.5" footer="0.5"/>
  <pageSetup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dimension ref="A1:AP176"/>
  <sheetViews>
    <sheetView zoomScaleNormal="100" workbookViewId="0">
      <selection activeCell="G150" sqref="G150:G155"/>
    </sheetView>
  </sheetViews>
  <sheetFormatPr defaultColWidth="9.33203125" defaultRowHeight="13.8" x14ac:dyDescent="0.25"/>
  <cols>
    <col min="1" max="1" width="5.77734375" style="72" customWidth="1"/>
    <col min="2" max="2" width="18.77734375" style="72" customWidth="1"/>
    <col min="3" max="3" width="75.77734375" style="33" customWidth="1"/>
    <col min="4" max="4" width="6.77734375" style="34" customWidth="1"/>
    <col min="5" max="5" width="8.44140625" style="62" customWidth="1"/>
    <col min="6" max="6" width="9.44140625" style="34" customWidth="1"/>
    <col min="7" max="7" width="13.109375" style="38" customWidth="1"/>
    <col min="8" max="8" width="75.77734375" style="33" customWidth="1"/>
    <col min="9" max="9" width="13.6640625" style="33" customWidth="1"/>
    <col min="10" max="16384" width="9.33203125" style="33"/>
  </cols>
  <sheetData>
    <row r="1" spans="1:9" ht="48" customHeight="1" thickBot="1" x14ac:dyDescent="0.3">
      <c r="A1" s="1826" t="s">
        <v>591</v>
      </c>
      <c r="B1" s="1827"/>
      <c r="C1" s="151" t="s">
        <v>590</v>
      </c>
      <c r="D1" s="194" t="s">
        <v>1181</v>
      </c>
      <c r="E1" s="1944"/>
      <c r="F1" s="1910"/>
      <c r="G1" s="1910"/>
      <c r="H1" s="1910"/>
    </row>
    <row r="2" spans="1:9" s="361" customFormat="1" ht="48.75" customHeight="1" thickBot="1" x14ac:dyDescent="0.3">
      <c r="A2" s="787" t="s">
        <v>126</v>
      </c>
      <c r="B2" s="787" t="s">
        <v>1458</v>
      </c>
      <c r="C2" s="831" t="s">
        <v>1271</v>
      </c>
      <c r="D2" s="376" t="s">
        <v>115</v>
      </c>
      <c r="E2" s="789" t="s">
        <v>771</v>
      </c>
      <c r="F2" s="787" t="s">
        <v>1467</v>
      </c>
      <c r="G2" s="790" t="s">
        <v>1273</v>
      </c>
      <c r="H2" s="787" t="s">
        <v>772</v>
      </c>
    </row>
    <row r="3" spans="1:9" ht="30" customHeight="1" thickBot="1" x14ac:dyDescent="0.3">
      <c r="A3" s="2110" t="str">
        <f>OF!A4</f>
        <v>OF1</v>
      </c>
      <c r="B3" s="1522" t="str">
        <f>OF!B4</f>
        <v>Distance to Extensive Perennial Cover (DistPerCov)</v>
      </c>
      <c r="C3" s="4" t="str">
        <f>OF!C4</f>
        <v>The distance from the AA edge to the edge of the closest patch or corridor of perennial cover (see definition in column E) larger than 100 acres is:</v>
      </c>
      <c r="D3" s="210"/>
      <c r="E3" s="67"/>
      <c r="F3" s="872"/>
      <c r="G3" s="791">
        <f>MAX(F4:F9)/MAX(E4:E9)</f>
        <v>0</v>
      </c>
      <c r="H3" s="1522" t="s">
        <v>854</v>
      </c>
      <c r="I3" s="2"/>
    </row>
    <row r="4" spans="1:9" ht="16.2" customHeight="1" x14ac:dyDescent="0.25">
      <c r="A4" s="1909"/>
      <c r="B4" s="1521"/>
      <c r="C4" s="2" t="str">
        <f>OF!C5</f>
        <v>&lt;100 ft.</v>
      </c>
      <c r="D4" s="44">
        <f>OF!D5</f>
        <v>0</v>
      </c>
      <c r="E4" s="67">
        <v>5</v>
      </c>
      <c r="F4" s="843">
        <f t="shared" ref="F4:F42" si="0">D4*E4</f>
        <v>0</v>
      </c>
      <c r="G4" s="793"/>
      <c r="H4" s="1521"/>
    </row>
    <row r="5" spans="1:9" ht="16.2" customHeight="1" x14ac:dyDescent="0.25">
      <c r="A5" s="1909"/>
      <c r="B5" s="1521"/>
      <c r="C5" s="95" t="str">
        <f>OF!C6</f>
        <v>100 to &lt;300 ft.</v>
      </c>
      <c r="D5" s="44">
        <f>OF!D6</f>
        <v>0</v>
      </c>
      <c r="E5" s="67">
        <v>4</v>
      </c>
      <c r="F5" s="843">
        <f t="shared" si="0"/>
        <v>0</v>
      </c>
      <c r="G5" s="793"/>
      <c r="H5" s="1521"/>
    </row>
    <row r="6" spans="1:9" ht="16.2" customHeight="1" x14ac:dyDescent="0.25">
      <c r="A6" s="1909"/>
      <c r="B6" s="1521"/>
      <c r="C6" s="95" t="str">
        <f>OF!C7</f>
        <v>300 to &lt;1000 ft.</v>
      </c>
      <c r="D6" s="44">
        <f>OF!D7</f>
        <v>0</v>
      </c>
      <c r="E6" s="67">
        <v>3</v>
      </c>
      <c r="F6" s="843">
        <f t="shared" si="0"/>
        <v>0</v>
      </c>
      <c r="G6" s="793"/>
      <c r="H6" s="1521"/>
    </row>
    <row r="7" spans="1:9" ht="16.2" customHeight="1" x14ac:dyDescent="0.25">
      <c r="A7" s="1909"/>
      <c r="B7" s="1521"/>
      <c r="C7" s="95" t="str">
        <f>OF!C8</f>
        <v>1000 ft. to &lt;0.5 mile.</v>
      </c>
      <c r="D7" s="44">
        <f>OF!D8</f>
        <v>0</v>
      </c>
      <c r="E7" s="67">
        <v>2</v>
      </c>
      <c r="F7" s="843">
        <f t="shared" si="0"/>
        <v>0</v>
      </c>
      <c r="G7" s="793"/>
      <c r="H7" s="1521"/>
    </row>
    <row r="8" spans="1:9" ht="16.2" customHeight="1" x14ac:dyDescent="0.25">
      <c r="A8" s="1909"/>
      <c r="B8" s="1521"/>
      <c r="C8" s="95" t="str">
        <f>OF!C9</f>
        <v>0.5 mile to 2 miles.</v>
      </c>
      <c r="D8" s="44">
        <f>OF!D9</f>
        <v>0</v>
      </c>
      <c r="E8" s="67">
        <v>1</v>
      </c>
      <c r="F8" s="843">
        <f t="shared" si="0"/>
        <v>0</v>
      </c>
      <c r="G8" s="793"/>
      <c r="H8" s="1521"/>
    </row>
    <row r="9" spans="1:9" ht="16.2" customHeight="1" thickBot="1" x14ac:dyDescent="0.3">
      <c r="A9" s="1909"/>
      <c r="B9" s="1521"/>
      <c r="C9" s="95" t="str">
        <f>OF!C10</f>
        <v>&gt; 2 miles.</v>
      </c>
      <c r="D9" s="198">
        <f>OF!D10</f>
        <v>0</v>
      </c>
      <c r="E9" s="67">
        <v>0</v>
      </c>
      <c r="F9" s="844">
        <f t="shared" si="0"/>
        <v>0</v>
      </c>
      <c r="G9" s="800"/>
      <c r="H9" s="1521"/>
    </row>
    <row r="10" spans="1:9" ht="30" customHeight="1" thickBot="1" x14ac:dyDescent="0.3">
      <c r="A10" s="1799" t="str">
        <f>OF!A26</f>
        <v>OF5</v>
      </c>
      <c r="B10" s="1522" t="str">
        <f>OF!B26</f>
        <v>Distance to Herbaceous Open Land (DistOpenL)</v>
      </c>
      <c r="C10" s="75" t="str">
        <f>OF!C26</f>
        <v>The distance from the AA edge to the closest patch of herbaceous openland larger than 10 acres and in flat terrain is:</v>
      </c>
      <c r="D10" s="549"/>
      <c r="E10" s="239"/>
      <c r="F10" s="1211"/>
      <c r="G10" s="791">
        <f>MAX(F11:F16)/MAX(E11:E16)</f>
        <v>0</v>
      </c>
      <c r="H10" s="1522" t="s">
        <v>730</v>
      </c>
    </row>
    <row r="11" spans="1:9" ht="16.2" customHeight="1" x14ac:dyDescent="0.25">
      <c r="A11" s="1800"/>
      <c r="B11" s="1521"/>
      <c r="C11" s="2" t="str">
        <f>OF!C27</f>
        <v>&lt;100 ft.</v>
      </c>
      <c r="D11" s="44">
        <f>OF!D27</f>
        <v>0</v>
      </c>
      <c r="E11" s="67">
        <v>5</v>
      </c>
      <c r="F11" s="844">
        <f t="shared" si="0"/>
        <v>0</v>
      </c>
      <c r="G11" s="800"/>
      <c r="H11" s="1521"/>
    </row>
    <row r="12" spans="1:9" ht="16.2" customHeight="1" x14ac:dyDescent="0.25">
      <c r="A12" s="1800"/>
      <c r="B12" s="1521"/>
      <c r="C12" s="95" t="str">
        <f>OF!C28</f>
        <v>100 to &lt;300 ft.</v>
      </c>
      <c r="D12" s="44">
        <f>OF!D28</f>
        <v>0</v>
      </c>
      <c r="E12" s="67">
        <v>4</v>
      </c>
      <c r="F12" s="844">
        <f t="shared" si="0"/>
        <v>0</v>
      </c>
      <c r="G12" s="800"/>
      <c r="H12" s="1521"/>
    </row>
    <row r="13" spans="1:9" ht="16.2" customHeight="1" x14ac:dyDescent="0.25">
      <c r="A13" s="1800"/>
      <c r="B13" s="1521"/>
      <c r="C13" s="95" t="str">
        <f>OF!C29</f>
        <v>300 to &lt;1000 ft.</v>
      </c>
      <c r="D13" s="44">
        <f>OF!D29</f>
        <v>0</v>
      </c>
      <c r="E13" s="67">
        <v>3</v>
      </c>
      <c r="F13" s="844">
        <f t="shared" si="0"/>
        <v>0</v>
      </c>
      <c r="G13" s="800"/>
      <c r="H13" s="1521"/>
    </row>
    <row r="14" spans="1:9" ht="16.2" customHeight="1" x14ac:dyDescent="0.25">
      <c r="A14" s="1800"/>
      <c r="B14" s="1521"/>
      <c r="C14" s="95" t="str">
        <f>OF!C30</f>
        <v>1000 ft. to &lt; 0.5 mile.</v>
      </c>
      <c r="D14" s="44">
        <f>OF!D30</f>
        <v>0</v>
      </c>
      <c r="E14" s="67">
        <v>2</v>
      </c>
      <c r="F14" s="844">
        <f t="shared" si="0"/>
        <v>0</v>
      </c>
      <c r="G14" s="800"/>
      <c r="H14" s="1521"/>
    </row>
    <row r="15" spans="1:9" ht="16.2" customHeight="1" x14ac:dyDescent="0.25">
      <c r="A15" s="1800"/>
      <c r="B15" s="1521"/>
      <c r="C15" s="95" t="str">
        <f>OF!C31</f>
        <v>0.5 mile to  2 miles.</v>
      </c>
      <c r="D15" s="44">
        <f>OF!D31</f>
        <v>0</v>
      </c>
      <c r="E15" s="67">
        <v>1</v>
      </c>
      <c r="F15" s="844">
        <f t="shared" si="0"/>
        <v>0</v>
      </c>
      <c r="G15" s="800"/>
      <c r="H15" s="1521"/>
    </row>
    <row r="16" spans="1:9" ht="16.2" customHeight="1" thickBot="1" x14ac:dyDescent="0.3">
      <c r="A16" s="1801"/>
      <c r="B16" s="1523"/>
      <c r="C16" s="254" t="str">
        <f>OF!C32</f>
        <v>&gt;2 miles.</v>
      </c>
      <c r="D16" s="17">
        <f>OF!D32</f>
        <v>0</v>
      </c>
      <c r="E16" s="245">
        <v>0</v>
      </c>
      <c r="F16" s="845">
        <f t="shared" si="0"/>
        <v>0</v>
      </c>
      <c r="G16" s="794"/>
      <c r="H16" s="1523"/>
    </row>
    <row r="17" spans="1:8" ht="30" customHeight="1" thickBot="1" x14ac:dyDescent="0.3">
      <c r="A17" s="1909" t="str">
        <f>OF!A40</f>
        <v>OF7</v>
      </c>
      <c r="B17" s="1521" t="str">
        <f>OF!B40</f>
        <v>Size of Largest Nearby Patch of Perennial Cover (SizePerenn)</v>
      </c>
      <c r="C17" s="244" t="str">
        <f>OF!C40</f>
        <v>Including the AA's vegetated area, the largest patch or corridor that is perennial cover and is contiguous with vegetation in the AA , occupies:</v>
      </c>
      <c r="D17" s="549"/>
      <c r="E17" s="93"/>
      <c r="F17" s="1207"/>
      <c r="G17" s="814">
        <f>MAX(F18:F24)/MAX(E18:E24)</f>
        <v>0</v>
      </c>
      <c r="H17" s="1521" t="s">
        <v>855</v>
      </c>
    </row>
    <row r="18" spans="1:8" ht="16.2" customHeight="1" x14ac:dyDescent="0.25">
      <c r="A18" s="1909"/>
      <c r="B18" s="1521"/>
      <c r="C18" s="2" t="str">
        <f>OF!C41</f>
        <v>&lt;.01 acre.</v>
      </c>
      <c r="D18" s="44">
        <f>OF!D41</f>
        <v>0</v>
      </c>
      <c r="E18" s="67">
        <v>0</v>
      </c>
      <c r="F18" s="844">
        <f t="shared" si="0"/>
        <v>0</v>
      </c>
      <c r="G18" s="800"/>
      <c r="H18" s="1521"/>
    </row>
    <row r="19" spans="1:8" ht="16.2" customHeight="1" x14ac:dyDescent="0.25">
      <c r="A19" s="1909"/>
      <c r="B19" s="1521"/>
      <c r="C19" s="95" t="str">
        <f>OF!C42</f>
        <v>.01 to &lt; 1 acre.</v>
      </c>
      <c r="D19" s="44">
        <f>OF!D42</f>
        <v>0</v>
      </c>
      <c r="E19" s="67">
        <v>2</v>
      </c>
      <c r="F19" s="844">
        <f t="shared" si="0"/>
        <v>0</v>
      </c>
      <c r="G19" s="800"/>
      <c r="H19" s="1521"/>
    </row>
    <row r="20" spans="1:8" ht="16.2" customHeight="1" x14ac:dyDescent="0.25">
      <c r="A20" s="1909"/>
      <c r="B20" s="1521"/>
      <c r="C20" s="95" t="str">
        <f>OF!C43</f>
        <v>1 to &lt;10 acres.</v>
      </c>
      <c r="D20" s="44">
        <f>OF!D43</f>
        <v>0</v>
      </c>
      <c r="E20" s="67">
        <v>4</v>
      </c>
      <c r="F20" s="844">
        <f t="shared" si="0"/>
        <v>0</v>
      </c>
      <c r="G20" s="800"/>
      <c r="H20" s="1521"/>
    </row>
    <row r="21" spans="1:8" ht="16.2" customHeight="1" x14ac:dyDescent="0.25">
      <c r="A21" s="1909"/>
      <c r="B21" s="1521"/>
      <c r="C21" s="95" t="str">
        <f>OF!C44</f>
        <v>10 to &lt;100 acres.</v>
      </c>
      <c r="D21" s="44">
        <f>OF!D44</f>
        <v>0</v>
      </c>
      <c r="E21" s="67">
        <v>5</v>
      </c>
      <c r="F21" s="844">
        <f t="shared" si="0"/>
        <v>0</v>
      </c>
      <c r="G21" s="800"/>
      <c r="H21" s="1521"/>
    </row>
    <row r="22" spans="1:8" ht="16.2" customHeight="1" x14ac:dyDescent="0.25">
      <c r="A22" s="1909"/>
      <c r="B22" s="1521"/>
      <c r="C22" s="95" t="str">
        <f>OF!C45</f>
        <v>100 to &lt;1000 acres.</v>
      </c>
      <c r="D22" s="44">
        <f>OF!D45</f>
        <v>0</v>
      </c>
      <c r="E22" s="67">
        <v>6</v>
      </c>
      <c r="F22" s="844">
        <f t="shared" si="0"/>
        <v>0</v>
      </c>
      <c r="G22" s="800"/>
      <c r="H22" s="1521"/>
    </row>
    <row r="23" spans="1:8" ht="16.2" customHeight="1" x14ac:dyDescent="0.25">
      <c r="A23" s="1909"/>
      <c r="B23" s="1521"/>
      <c r="C23" s="95" t="str">
        <f>OF!C46</f>
        <v>1000 to 10,000 acres.</v>
      </c>
      <c r="D23" s="44">
        <f>OF!D46</f>
        <v>0</v>
      </c>
      <c r="E23" s="67">
        <v>7</v>
      </c>
      <c r="F23" s="844">
        <f t="shared" si="0"/>
        <v>0</v>
      </c>
      <c r="G23" s="800"/>
      <c r="H23" s="1521"/>
    </row>
    <row r="24" spans="1:8" ht="16.2" customHeight="1" thickBot="1" x14ac:dyDescent="0.3">
      <c r="A24" s="1909"/>
      <c r="B24" s="1521"/>
      <c r="C24" s="95" t="str">
        <f>OF!C47</f>
        <v>&gt;10,000 acres.</v>
      </c>
      <c r="D24" s="17">
        <f>OF!D47</f>
        <v>0</v>
      </c>
      <c r="E24" s="67">
        <v>8</v>
      </c>
      <c r="F24" s="844">
        <f t="shared" si="0"/>
        <v>0</v>
      </c>
      <c r="G24" s="800"/>
      <c r="H24" s="1521"/>
    </row>
    <row r="25" spans="1:8" ht="30" customHeight="1" thickBot="1" x14ac:dyDescent="0.3">
      <c r="A25" s="1799" t="str">
        <f>OF!A53</f>
        <v>OF9</v>
      </c>
      <c r="B25" s="1522" t="str">
        <f>OF!B53</f>
        <v>Perennial Cover Percentage (PerCovPct)</v>
      </c>
      <c r="C25" s="4" t="str">
        <f>OF!C53</f>
        <v>Within a 2-mile radius of the AA center, the percentage of land that has perennial cover is:</v>
      </c>
      <c r="D25" s="210"/>
      <c r="E25" s="239"/>
      <c r="F25" s="1211"/>
      <c r="G25" s="791">
        <f>MAX(F26:F30)/MAX(E26:E30)</f>
        <v>0</v>
      </c>
      <c r="H25" s="1522" t="s">
        <v>856</v>
      </c>
    </row>
    <row r="26" spans="1:8" ht="16.2" customHeight="1" x14ac:dyDescent="0.25">
      <c r="A26" s="1800"/>
      <c r="B26" s="1521"/>
      <c r="C26" s="2" t="str">
        <f>OF!C54</f>
        <v>&lt;5% of the land.</v>
      </c>
      <c r="D26" s="44">
        <f>OF!D54</f>
        <v>0</v>
      </c>
      <c r="E26" s="67">
        <v>1</v>
      </c>
      <c r="F26" s="844">
        <f t="shared" si="0"/>
        <v>0</v>
      </c>
      <c r="G26" s="800"/>
      <c r="H26" s="1521"/>
    </row>
    <row r="27" spans="1:8" ht="16.2" customHeight="1" x14ac:dyDescent="0.25">
      <c r="A27" s="1800"/>
      <c r="B27" s="1521"/>
      <c r="C27" s="95" t="str">
        <f>OF!C55</f>
        <v>5 to &lt;20% of the land.</v>
      </c>
      <c r="D27" s="44">
        <f>OF!D55</f>
        <v>0</v>
      </c>
      <c r="E27" s="67">
        <v>2</v>
      </c>
      <c r="F27" s="844">
        <f t="shared" si="0"/>
        <v>0</v>
      </c>
      <c r="G27" s="800"/>
      <c r="H27" s="1521"/>
    </row>
    <row r="28" spans="1:8" ht="16.2" customHeight="1" x14ac:dyDescent="0.25">
      <c r="A28" s="1800"/>
      <c r="B28" s="1521"/>
      <c r="C28" s="95" t="str">
        <f>OF!C56</f>
        <v>20 to &lt;60% of the land.</v>
      </c>
      <c r="D28" s="44">
        <f>OF!D56</f>
        <v>0</v>
      </c>
      <c r="E28" s="67">
        <v>3</v>
      </c>
      <c r="F28" s="844">
        <f t="shared" si="0"/>
        <v>0</v>
      </c>
      <c r="G28" s="800"/>
      <c r="H28" s="1521"/>
    </row>
    <row r="29" spans="1:8" ht="16.2" customHeight="1" x14ac:dyDescent="0.25">
      <c r="A29" s="1800"/>
      <c r="B29" s="1521"/>
      <c r="C29" s="95" t="str">
        <f>OF!C57</f>
        <v>60 to 90% of the land.</v>
      </c>
      <c r="D29" s="44">
        <f>OF!D57</f>
        <v>0</v>
      </c>
      <c r="E29" s="67">
        <v>4</v>
      </c>
      <c r="F29" s="844">
        <f t="shared" si="0"/>
        <v>0</v>
      </c>
      <c r="G29" s="800"/>
      <c r="H29" s="1521"/>
    </row>
    <row r="30" spans="1:8" ht="16.2" customHeight="1" thickBot="1" x14ac:dyDescent="0.3">
      <c r="A30" s="1801"/>
      <c r="B30" s="1523"/>
      <c r="C30" s="254" t="str">
        <f>OF!C58</f>
        <v>&gt;90% of the land.</v>
      </c>
      <c r="D30" s="17">
        <f>OF!D58</f>
        <v>0</v>
      </c>
      <c r="E30" s="245">
        <v>5</v>
      </c>
      <c r="F30" s="845">
        <f t="shared" si="0"/>
        <v>0</v>
      </c>
      <c r="G30" s="794"/>
      <c r="H30" s="1523"/>
    </row>
    <row r="31" spans="1:8" ht="21" customHeight="1" thickBot="1" x14ac:dyDescent="0.3">
      <c r="A31" s="1909" t="str">
        <f>OF!A65</f>
        <v>OF11</v>
      </c>
      <c r="B31" s="1521" t="str">
        <f>OF!B65</f>
        <v>Herbaceous Open Land Percentage (OpenLpct)</v>
      </c>
      <c r="C31" s="244" t="str">
        <f>OF!C65</f>
        <v>Within a 2-mile radius of the AA center, the amount of herbaceous openland in flat terrain is:</v>
      </c>
      <c r="D31" s="549"/>
      <c r="E31" s="65"/>
      <c r="F31" s="866"/>
      <c r="G31" s="814">
        <f>MAX(F32:F36)/MAX(E32:E36)</f>
        <v>0</v>
      </c>
      <c r="H31" s="1521" t="s">
        <v>730</v>
      </c>
    </row>
    <row r="32" spans="1:8" ht="16.2" customHeight="1" x14ac:dyDescent="0.25">
      <c r="A32" s="1909"/>
      <c r="B32" s="1521"/>
      <c r="C32" s="2" t="str">
        <f>OF!C66</f>
        <v>&lt;5% of the land.</v>
      </c>
      <c r="D32" s="44">
        <f>OF!D66</f>
        <v>0</v>
      </c>
      <c r="E32" s="49">
        <v>0</v>
      </c>
      <c r="F32" s="844">
        <f t="shared" si="0"/>
        <v>0</v>
      </c>
      <c r="G32" s="793"/>
      <c r="H32" s="1521"/>
    </row>
    <row r="33" spans="1:9" ht="16.2" customHeight="1" x14ac:dyDescent="0.25">
      <c r="A33" s="1909"/>
      <c r="B33" s="1521"/>
      <c r="C33" s="95" t="str">
        <f>OF!C67</f>
        <v>5 to &lt;20%.</v>
      </c>
      <c r="D33" s="44">
        <f>OF!D67</f>
        <v>0</v>
      </c>
      <c r="E33" s="49">
        <v>2</v>
      </c>
      <c r="F33" s="844">
        <f t="shared" si="0"/>
        <v>0</v>
      </c>
      <c r="G33" s="793"/>
      <c r="H33" s="1521"/>
    </row>
    <row r="34" spans="1:9" ht="16.2" customHeight="1" x14ac:dyDescent="0.25">
      <c r="A34" s="1909"/>
      <c r="B34" s="1521"/>
      <c r="C34" s="95" t="str">
        <f>OF!C68</f>
        <v>20 to &lt;50%.</v>
      </c>
      <c r="D34" s="44">
        <f>OF!D68</f>
        <v>0</v>
      </c>
      <c r="E34" s="49">
        <v>3</v>
      </c>
      <c r="F34" s="844">
        <f t="shared" si="0"/>
        <v>0</v>
      </c>
      <c r="G34" s="793"/>
      <c r="H34" s="1521"/>
    </row>
    <row r="35" spans="1:9" ht="16.2" customHeight="1" x14ac:dyDescent="0.25">
      <c r="A35" s="1909"/>
      <c r="B35" s="1521"/>
      <c r="C35" s="95" t="str">
        <f>OF!C69</f>
        <v>50 to 80%.</v>
      </c>
      <c r="D35" s="44">
        <f>OF!D69</f>
        <v>0</v>
      </c>
      <c r="E35" s="49">
        <v>4</v>
      </c>
      <c r="F35" s="844">
        <f t="shared" si="0"/>
        <v>0</v>
      </c>
      <c r="G35" s="793"/>
      <c r="H35" s="1521"/>
    </row>
    <row r="36" spans="1:9" ht="16.2" customHeight="1" thickBot="1" x14ac:dyDescent="0.3">
      <c r="A36" s="1909"/>
      <c r="B36" s="1521"/>
      <c r="C36" s="95" t="str">
        <f>OF!C70</f>
        <v>&gt;80%.</v>
      </c>
      <c r="D36" s="198">
        <f>OF!D70</f>
        <v>0</v>
      </c>
      <c r="E36" s="67">
        <v>5</v>
      </c>
      <c r="F36" s="844">
        <f t="shared" si="0"/>
        <v>0</v>
      </c>
      <c r="G36" s="800"/>
      <c r="H36" s="1521"/>
    </row>
    <row r="37" spans="1:9" s="2" customFormat="1" ht="45" customHeight="1" thickBot="1" x14ac:dyDescent="0.3">
      <c r="A37" s="1821" t="str">
        <f>F!A134</f>
        <v>F26</v>
      </c>
      <c r="B37" s="1522" t="str">
        <f>F!B134</f>
        <v>% Only Saturated or Seasonally Flooded (SeasPct)</v>
      </c>
      <c r="C37" s="836"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37" s="549"/>
      <c r="E37" s="210"/>
      <c r="F37" s="1287"/>
      <c r="G37" s="804">
        <f>MAX(F38:F42)/MAX(E38:E42)</f>
        <v>0</v>
      </c>
      <c r="H37" s="1522" t="s">
        <v>627</v>
      </c>
    </row>
    <row r="38" spans="1:9" s="2" customFormat="1" ht="16.5" customHeight="1" x14ac:dyDescent="0.25">
      <c r="A38" s="1822"/>
      <c r="B38" s="1521"/>
      <c r="C38" s="449" t="str">
        <f>F!C135</f>
        <v>&lt;5% of the AA, or none (i.e., all water persists for &gt;4 months).</v>
      </c>
      <c r="D38" s="44">
        <f>F!D135</f>
        <v>0</v>
      </c>
      <c r="E38" s="49">
        <v>0</v>
      </c>
      <c r="F38" s="843">
        <f t="shared" si="0"/>
        <v>0</v>
      </c>
      <c r="G38" s="793"/>
      <c r="H38" s="1521"/>
    </row>
    <row r="39" spans="1:9" s="2" customFormat="1" ht="16.5" customHeight="1" x14ac:dyDescent="0.25">
      <c r="A39" s="1822"/>
      <c r="B39" s="1521"/>
      <c r="C39" s="450" t="str">
        <f>F!C136</f>
        <v>5 to &lt;25% of the AA.</v>
      </c>
      <c r="D39" s="44">
        <f>F!D136</f>
        <v>0</v>
      </c>
      <c r="E39" s="49">
        <v>1</v>
      </c>
      <c r="F39" s="843">
        <f t="shared" si="0"/>
        <v>0</v>
      </c>
      <c r="G39" s="793"/>
      <c r="H39" s="1521"/>
    </row>
    <row r="40" spans="1:9" s="2" customFormat="1" ht="16.5" customHeight="1" x14ac:dyDescent="0.25">
      <c r="A40" s="1822"/>
      <c r="B40" s="1521"/>
      <c r="C40" s="450" t="str">
        <f>F!C137</f>
        <v>25 to &lt;50% of the AA.</v>
      </c>
      <c r="D40" s="44">
        <f>F!D137</f>
        <v>0</v>
      </c>
      <c r="E40" s="49">
        <v>2</v>
      </c>
      <c r="F40" s="843">
        <f t="shared" si="0"/>
        <v>0</v>
      </c>
      <c r="G40" s="793"/>
      <c r="H40" s="1521"/>
    </row>
    <row r="41" spans="1:9" s="2" customFormat="1" ht="16.5" customHeight="1" x14ac:dyDescent="0.25">
      <c r="A41" s="1822"/>
      <c r="B41" s="1521"/>
      <c r="C41" s="450" t="str">
        <f>F!C138</f>
        <v>50 to 75% of the AA.</v>
      </c>
      <c r="D41" s="44">
        <f>F!D138</f>
        <v>0</v>
      </c>
      <c r="E41" s="49">
        <v>3</v>
      </c>
      <c r="F41" s="843">
        <f t="shared" si="0"/>
        <v>0</v>
      </c>
      <c r="G41" s="793"/>
      <c r="H41" s="1521"/>
    </row>
    <row r="42" spans="1:9" s="2" customFormat="1" ht="16.5" customHeight="1" thickBot="1" x14ac:dyDescent="0.3">
      <c r="A42" s="1825"/>
      <c r="B42" s="1523"/>
      <c r="C42" s="443" t="str">
        <f>F!C139</f>
        <v>&gt;75% of the AA.</v>
      </c>
      <c r="D42" s="17">
        <f>F!D139</f>
        <v>0</v>
      </c>
      <c r="E42" s="245">
        <v>4</v>
      </c>
      <c r="F42" s="845">
        <f t="shared" si="0"/>
        <v>0</v>
      </c>
      <c r="G42" s="909"/>
      <c r="H42" s="1523"/>
    </row>
    <row r="43" spans="1:9" ht="30" customHeight="1" thickBot="1" x14ac:dyDescent="0.3">
      <c r="A43" s="1803" t="str">
        <f>F!A199</f>
        <v>F39</v>
      </c>
      <c r="B43" s="1521" t="str">
        <f>F!B199</f>
        <v>Forb Cover (Forb)</v>
      </c>
      <c r="C43" s="244" t="str">
        <f>F!C199</f>
        <v>Within parts of the AA having herbaceous cover (excluding SAV), the areal cover of forbs reaches an annual maximum of:</v>
      </c>
      <c r="D43" s="549"/>
      <c r="E43" s="1288"/>
      <c r="F43" s="867"/>
      <c r="G43" s="799">
        <f>IF((NoHerb=1),"",MAX(F44:F48)/MAX(E44:E48))</f>
        <v>0</v>
      </c>
      <c r="H43" s="1582" t="s">
        <v>1734</v>
      </c>
      <c r="I43" s="2"/>
    </row>
    <row r="44" spans="1:9" ht="16.2" customHeight="1" x14ac:dyDescent="0.25">
      <c r="A44" s="2109"/>
      <c r="B44" s="1714"/>
      <c r="C44" s="215" t="str">
        <f>F!C200</f>
        <v xml:space="preserve">&lt;5% of the herbaceous part of the AA. </v>
      </c>
      <c r="D44" s="44">
        <f>F!D200</f>
        <v>0</v>
      </c>
      <c r="E44" s="1289">
        <v>0</v>
      </c>
      <c r="F44" s="843">
        <f>D44*E44</f>
        <v>0</v>
      </c>
      <c r="G44" s="1251"/>
      <c r="H44" s="1582"/>
    </row>
    <row r="45" spans="1:9" ht="16.2" customHeight="1" x14ac:dyDescent="0.25">
      <c r="A45" s="2109"/>
      <c r="B45" s="1714"/>
      <c r="C45" s="216" t="str">
        <f>F!C201</f>
        <v>5 to &lt;25% of the herbaceous part of the AA.</v>
      </c>
      <c r="D45" s="44">
        <f>F!D201</f>
        <v>0</v>
      </c>
      <c r="E45" s="1289">
        <v>1</v>
      </c>
      <c r="F45" s="843">
        <f>D45*E45</f>
        <v>0</v>
      </c>
      <c r="G45" s="1251"/>
      <c r="H45" s="1582"/>
    </row>
    <row r="46" spans="1:9" ht="16.2" customHeight="1" x14ac:dyDescent="0.25">
      <c r="A46" s="2109"/>
      <c r="B46" s="1714"/>
      <c r="C46" s="216" t="str">
        <f>F!C202</f>
        <v>25 to &lt;50% of the herbaceous part of the AA.</v>
      </c>
      <c r="D46" s="44">
        <f>F!D202</f>
        <v>0</v>
      </c>
      <c r="E46" s="1289">
        <v>2</v>
      </c>
      <c r="F46" s="843">
        <f>D46*E46</f>
        <v>0</v>
      </c>
      <c r="G46" s="1251"/>
      <c r="H46" s="1582"/>
    </row>
    <row r="47" spans="1:9" ht="16.2" customHeight="1" x14ac:dyDescent="0.25">
      <c r="A47" s="2109"/>
      <c r="B47" s="1714"/>
      <c r="C47" s="216" t="str">
        <f>F!C203</f>
        <v>50 to 95% of the herbaceous part of the AA.</v>
      </c>
      <c r="D47" s="44">
        <f>F!D203</f>
        <v>0</v>
      </c>
      <c r="E47" s="1289">
        <v>3</v>
      </c>
      <c r="F47" s="843">
        <f>D47*E47</f>
        <v>0</v>
      </c>
      <c r="G47" s="961"/>
      <c r="H47" s="1582"/>
    </row>
    <row r="48" spans="1:9" ht="16.2" customHeight="1" thickBot="1" x14ac:dyDescent="0.3">
      <c r="A48" s="2109"/>
      <c r="B48" s="1714"/>
      <c r="C48" s="95" t="str">
        <f>F!C204</f>
        <v>&gt;95% of the herbaceous part of the AA.</v>
      </c>
      <c r="D48" s="17">
        <f>F!D204</f>
        <v>0</v>
      </c>
      <c r="E48" s="1033">
        <v>4</v>
      </c>
      <c r="F48" s="844">
        <f>D48*E48</f>
        <v>0</v>
      </c>
      <c r="G48" s="962"/>
      <c r="H48" s="1582"/>
    </row>
    <row r="49" spans="1:9" ht="47.25" customHeight="1" thickBot="1" x14ac:dyDescent="0.3">
      <c r="A49" s="1804" t="str">
        <f>F!A205</f>
        <v>F40</v>
      </c>
      <c r="B49" s="1522" t="str">
        <f>F!B205</f>
        <v>Species Dominance - Herbaceous (HerbDom)</v>
      </c>
      <c r="C49" s="75" t="str">
        <f>F!C205</f>
        <v>Determine which two native herbaceous (forb, fern, and graminoid) species comprise the greatest portion of the herbaceous cover that is unshaded by a woody canopy.  Then select one:</v>
      </c>
      <c r="D49" s="549"/>
      <c r="E49" s="1290"/>
      <c r="F49" s="878"/>
      <c r="G49" s="804" t="str">
        <f>IF((NoHerb=1),"", IF((D51=1),1,""))</f>
        <v/>
      </c>
      <c r="H49" s="1599" t="s">
        <v>1735</v>
      </c>
      <c r="I49" s="2"/>
    </row>
    <row r="50" spans="1:9" ht="42" customHeight="1" x14ac:dyDescent="0.25">
      <c r="A50" s="1960"/>
      <c r="B50" s="1714"/>
      <c r="C50" s="215" t="str">
        <f>F!C206</f>
        <v>Those species together comprise more than half of the areal cover of native herbaceous plants at any time during the year, i.e., one dominant species or two co-dominants.  Also mark this if &lt;20% of the vegetated cover is native species.</v>
      </c>
      <c r="D50" s="44">
        <f>F!D206</f>
        <v>0</v>
      </c>
      <c r="E50" s="1289">
        <v>1</v>
      </c>
      <c r="F50" s="843">
        <f>D50*E50</f>
        <v>0</v>
      </c>
      <c r="G50" s="961"/>
      <c r="H50" s="1582"/>
    </row>
    <row r="51" spans="1:9" ht="27" customHeight="1" thickBot="1" x14ac:dyDescent="0.3">
      <c r="A51" s="1961"/>
      <c r="B51" s="1715"/>
      <c r="C51" s="254" t="str">
        <f>F!C207</f>
        <v>Those species together comprise less than half of the areal cover of native herbaceous plants at any time during the year.</v>
      </c>
      <c r="D51" s="17">
        <f>F!D207</f>
        <v>0</v>
      </c>
      <c r="E51" s="1291">
        <v>2</v>
      </c>
      <c r="F51" s="845">
        <f>D51*E51</f>
        <v>0</v>
      </c>
      <c r="G51" s="1202"/>
      <c r="H51" s="1600"/>
    </row>
    <row r="52" spans="1:9" ht="21" customHeight="1" thickBot="1" x14ac:dyDescent="0.3">
      <c r="A52" s="1804" t="str">
        <f>F!A208</f>
        <v>F41</v>
      </c>
      <c r="B52" s="1522" t="str">
        <f>F!B208</f>
        <v>Invasive or Non-native - % of Vegetative Cover (Invas)</v>
      </c>
      <c r="C52" s="75" t="str">
        <f>F!C208</f>
        <v>Vegetative cover (annual maximum) is:</v>
      </c>
      <c r="D52" s="549"/>
      <c r="E52" s="1290"/>
      <c r="F52" s="878"/>
      <c r="G52" s="804">
        <f>IF((NoHerb=1),"",MAX(F53:F56)/MAX(E53:E56))</f>
        <v>0</v>
      </c>
      <c r="H52" s="1622" t="s">
        <v>1746</v>
      </c>
      <c r="I52" s="2"/>
    </row>
    <row r="53" spans="1:9" ht="27" customHeight="1" x14ac:dyDescent="0.25">
      <c r="A53" s="1805"/>
      <c r="B53" s="1521"/>
      <c r="C53" s="215" t="str">
        <f>F!C209</f>
        <v>Overwhelmingly (&gt;80% cover) non-native species AND &gt;10% of the herbaceous cover is invasive species.  
(See ORWAP SuppInfo file for species designations).</v>
      </c>
      <c r="D53" s="44">
        <f>F!D209</f>
        <v>0</v>
      </c>
      <c r="E53" s="1289">
        <v>1</v>
      </c>
      <c r="F53" s="843">
        <f>D53*E53</f>
        <v>0</v>
      </c>
      <c r="G53" s="1251"/>
      <c r="H53" s="1623"/>
    </row>
    <row r="54" spans="1:9" ht="28.2" customHeight="1" x14ac:dyDescent="0.25">
      <c r="A54" s="1805"/>
      <c r="B54" s="1521"/>
      <c r="C54" s="216" t="str">
        <f>F!C210</f>
        <v xml:space="preserve">Overwhelmingly (&gt;80% cover) non-native species AND &lt;10% of the herbaceous cover is invasive species; 
OR 50-80% of cover is non-native species regardless of invasiveness. </v>
      </c>
      <c r="D54" s="44">
        <f>F!D208</f>
        <v>0</v>
      </c>
      <c r="E54" s="1289">
        <v>2</v>
      </c>
      <c r="F54" s="843">
        <f>D54*E54</f>
        <v>0</v>
      </c>
      <c r="G54" s="961"/>
      <c r="H54" s="1623"/>
    </row>
    <row r="55" spans="1:9" ht="16.2" customHeight="1" x14ac:dyDescent="0.25">
      <c r="A55" s="1805"/>
      <c r="B55" s="1521"/>
      <c r="C55" s="216" t="str">
        <f>F!C211</f>
        <v>Mostly (50-80%) native species.</v>
      </c>
      <c r="D55" s="44">
        <f>F!D211</f>
        <v>0</v>
      </c>
      <c r="E55" s="1289">
        <v>3</v>
      </c>
      <c r="F55" s="843">
        <f>D55*E55</f>
        <v>0</v>
      </c>
      <c r="G55" s="961"/>
      <c r="H55" s="1623"/>
    </row>
    <row r="56" spans="1:9" ht="16.2" customHeight="1" thickBot="1" x14ac:dyDescent="0.3">
      <c r="A56" s="1806"/>
      <c r="B56" s="1523"/>
      <c r="C56" s="254" t="str">
        <f>F!C212</f>
        <v>Overwhelmingly (&gt;80%) native species.</v>
      </c>
      <c r="D56" s="17">
        <f>F!D212</f>
        <v>0</v>
      </c>
      <c r="E56" s="1291">
        <v>4</v>
      </c>
      <c r="F56" s="845">
        <f>D56*E56</f>
        <v>0</v>
      </c>
      <c r="G56" s="1202"/>
      <c r="H56" s="1624"/>
    </row>
    <row r="57" spans="1:9" ht="30" customHeight="1" thickBot="1" x14ac:dyDescent="0.3">
      <c r="A57" s="2106" t="str">
        <f>F!A228</f>
        <v>F46</v>
      </c>
      <c r="B57" s="1576" t="str">
        <f>F!B228</f>
        <v>Woody Diameter Classes (TreeDiams)</v>
      </c>
      <c r="C57" s="244" t="str">
        <f>F!C228</f>
        <v>Select All the types that comprise &gt;5% of the woody canopy cover in the AA or &gt;5% of its wooded upland edge if any:</v>
      </c>
      <c r="D57" s="549"/>
      <c r="E57" s="1288"/>
      <c r="F57" s="867"/>
      <c r="G57" s="799">
        <f>IF((NoWoody=1),"",IF((HistOpenland=1),"",((SUM(D58:D65)/8)+(MAX(F58:F65)/MAX(E58:E65)))/2))</f>
        <v>0</v>
      </c>
      <c r="H57" s="1582" t="s">
        <v>1754</v>
      </c>
      <c r="I57" s="2"/>
    </row>
    <row r="58" spans="1:9" ht="16.2" customHeight="1" x14ac:dyDescent="0.25">
      <c r="A58" s="2107"/>
      <c r="B58" s="1548"/>
      <c r="C58" s="215" t="str">
        <f>F!C229</f>
        <v>Deciduous 1-4" diameter (DBH) and &gt;3 ft tall.</v>
      </c>
      <c r="D58" s="44">
        <f>F!D229</f>
        <v>0</v>
      </c>
      <c r="E58" s="1292">
        <v>2</v>
      </c>
      <c r="F58" s="843">
        <f t="shared" ref="F58:F65" si="1">D58*E58</f>
        <v>0</v>
      </c>
      <c r="G58" s="1251"/>
      <c r="H58" s="1582"/>
    </row>
    <row r="59" spans="1:9" ht="16.2" customHeight="1" x14ac:dyDescent="0.25">
      <c r="A59" s="2107"/>
      <c r="B59" s="1548"/>
      <c r="C59" s="216" t="str">
        <f>F!C230</f>
        <v>Evergreen 1-4" diameter and &gt;3 ft tall.</v>
      </c>
      <c r="D59" s="44">
        <f>F!D230</f>
        <v>0</v>
      </c>
      <c r="E59" s="1292">
        <v>1</v>
      </c>
      <c r="F59" s="843">
        <f t="shared" si="1"/>
        <v>0</v>
      </c>
      <c r="G59" s="961"/>
      <c r="H59" s="1582"/>
    </row>
    <row r="60" spans="1:9" ht="16.2" customHeight="1" x14ac:dyDescent="0.25">
      <c r="A60" s="2107"/>
      <c r="B60" s="1548"/>
      <c r="C60" s="216" t="str">
        <f>F!C231</f>
        <v>Deciduous 4-9" diameter.</v>
      </c>
      <c r="D60" s="44">
        <f>F!D231</f>
        <v>0</v>
      </c>
      <c r="E60" s="1292">
        <v>4</v>
      </c>
      <c r="F60" s="843">
        <f t="shared" si="1"/>
        <v>0</v>
      </c>
      <c r="G60" s="961"/>
      <c r="H60" s="1582"/>
    </row>
    <row r="61" spans="1:9" ht="16.2" customHeight="1" x14ac:dyDescent="0.25">
      <c r="A61" s="2107"/>
      <c r="B61" s="1548"/>
      <c r="C61" s="216" t="str">
        <f>F!C232</f>
        <v>Evergreen 4-9" diameter.</v>
      </c>
      <c r="D61" s="44">
        <f>F!D232</f>
        <v>0</v>
      </c>
      <c r="E61" s="1292">
        <v>3</v>
      </c>
      <c r="F61" s="843">
        <f t="shared" si="1"/>
        <v>0</v>
      </c>
      <c r="G61" s="961"/>
      <c r="H61" s="1582"/>
    </row>
    <row r="62" spans="1:9" ht="16.2" customHeight="1" x14ac:dyDescent="0.25">
      <c r="A62" s="2107"/>
      <c r="B62" s="1548"/>
      <c r="C62" s="216" t="str">
        <f>F!C233</f>
        <v>Deciduous 9-21" diameter.</v>
      </c>
      <c r="D62" s="44">
        <f>F!D233</f>
        <v>0</v>
      </c>
      <c r="E62" s="1292">
        <v>6</v>
      </c>
      <c r="F62" s="843">
        <f t="shared" si="1"/>
        <v>0</v>
      </c>
      <c r="G62" s="961"/>
      <c r="H62" s="1582"/>
    </row>
    <row r="63" spans="1:9" ht="16.2" customHeight="1" x14ac:dyDescent="0.25">
      <c r="A63" s="2107"/>
      <c r="B63" s="1548"/>
      <c r="C63" s="216" t="str">
        <f>F!C234</f>
        <v>Evergreen 9-21" diameter.</v>
      </c>
      <c r="D63" s="44">
        <f>F!D234</f>
        <v>0</v>
      </c>
      <c r="E63" s="1292">
        <v>5</v>
      </c>
      <c r="F63" s="843">
        <f t="shared" si="1"/>
        <v>0</v>
      </c>
      <c r="G63" s="961"/>
      <c r="H63" s="1582"/>
    </row>
    <row r="64" spans="1:9" ht="16.2" customHeight="1" x14ac:dyDescent="0.25">
      <c r="A64" s="2107"/>
      <c r="B64" s="1548"/>
      <c r="C64" s="216" t="str">
        <f>F!C235</f>
        <v>Deciduous &gt;21" diameter.</v>
      </c>
      <c r="D64" s="44">
        <f>F!D235</f>
        <v>0</v>
      </c>
      <c r="E64" s="1292">
        <v>8</v>
      </c>
      <c r="F64" s="843">
        <f t="shared" si="1"/>
        <v>0</v>
      </c>
      <c r="G64" s="961"/>
      <c r="H64" s="1582"/>
    </row>
    <row r="65" spans="1:9" ht="16.2" customHeight="1" thickBot="1" x14ac:dyDescent="0.3">
      <c r="A65" s="2108"/>
      <c r="B65" s="1818"/>
      <c r="C65" s="95" t="str">
        <f>F!C236</f>
        <v>Evergreen &gt;21" diameter.</v>
      </c>
      <c r="D65" s="198">
        <f>F!D236</f>
        <v>0</v>
      </c>
      <c r="E65" s="1293">
        <v>7</v>
      </c>
      <c r="F65" s="844">
        <f t="shared" si="1"/>
        <v>0</v>
      </c>
      <c r="G65" s="962"/>
      <c r="H65" s="1582"/>
    </row>
    <row r="66" spans="1:9" ht="27" customHeight="1" thickBot="1" x14ac:dyDescent="0.3">
      <c r="A66" s="1804" t="str">
        <f>F!A237</f>
        <v>F47</v>
      </c>
      <c r="B66" s="1522" t="str">
        <f>F!B237</f>
        <v>Snags (Snags)</v>
      </c>
      <c r="C66" s="75" t="str">
        <f>F!C237</f>
        <v>The number of large snags (diameter &gt;12 inches) in the AA plus 100 ft uphill of its edge is:</v>
      </c>
      <c r="D66" s="549"/>
      <c r="E66" s="1294"/>
      <c r="F66" s="878"/>
      <c r="G66" s="804">
        <f>IF((NoWoody=1),"",IF((HistOpenland=1),"",MAX(F67:F68)/MAX(E67:E68)))</f>
        <v>0</v>
      </c>
      <c r="H66" s="1522" t="s">
        <v>1755</v>
      </c>
      <c r="I66" s="2"/>
    </row>
    <row r="67" spans="1:9" ht="21" customHeight="1" x14ac:dyDescent="0.25">
      <c r="A67" s="1805"/>
      <c r="B67" s="1521"/>
      <c r="C67" s="215" t="str">
        <f>F!C238</f>
        <v>Few or none.</v>
      </c>
      <c r="D67" s="44">
        <f>F!D238</f>
        <v>0</v>
      </c>
      <c r="E67" s="1289">
        <v>1</v>
      </c>
      <c r="F67" s="843">
        <f>D67*E67</f>
        <v>0</v>
      </c>
      <c r="G67" s="1252"/>
      <c r="H67" s="1521"/>
    </row>
    <row r="68" spans="1:9" ht="21" customHeight="1" thickBot="1" x14ac:dyDescent="0.3">
      <c r="A68" s="1806"/>
      <c r="B68" s="1523"/>
      <c r="C68" s="254" t="str">
        <f>F!C239</f>
        <v>Several.</v>
      </c>
      <c r="D68" s="198">
        <f>F!D239</f>
        <v>0</v>
      </c>
      <c r="E68" s="1291">
        <v>2</v>
      </c>
      <c r="F68" s="845">
        <f>D68*E68</f>
        <v>0</v>
      </c>
      <c r="G68" s="1202"/>
      <c r="H68" s="1523"/>
    </row>
    <row r="69" spans="1:9" ht="30" customHeight="1" thickBot="1" x14ac:dyDescent="0.3">
      <c r="A69" s="1803" t="str">
        <f>F!A244</f>
        <v>F49</v>
      </c>
      <c r="B69" s="1521" t="str">
        <f>F!B244</f>
        <v>Downed Wood (WoodDown)</v>
      </c>
      <c r="C69" s="4" t="str">
        <f>F!C244</f>
        <v>The number of downed wood pieces longer than 6 ft and with diameter &gt;4 inches that are not submerged during most of the growing season, is:</v>
      </c>
      <c r="D69" s="65"/>
      <c r="E69" s="1288"/>
      <c r="F69" s="867"/>
      <c r="G69" s="799">
        <f>IF((NoWoody=1),"",IF((HistOpenland=1),"",MAX(F70:F71)/MAX(E70:E71)))</f>
        <v>0</v>
      </c>
      <c r="H69" s="1582" t="s">
        <v>1756</v>
      </c>
      <c r="I69" s="2"/>
    </row>
    <row r="70" spans="1:9" ht="16.2" customHeight="1" x14ac:dyDescent="0.25">
      <c r="A70" s="1803"/>
      <c r="B70" s="1521"/>
      <c r="C70" s="215" t="str">
        <f>F!C245</f>
        <v>Few or none.</v>
      </c>
      <c r="D70" s="44">
        <f>F!D245</f>
        <v>0</v>
      </c>
      <c r="E70" s="1289">
        <v>1</v>
      </c>
      <c r="F70" s="843">
        <f>D70*E70</f>
        <v>0</v>
      </c>
      <c r="G70" s="1251"/>
      <c r="H70" s="1582"/>
    </row>
    <row r="71" spans="1:9" ht="16.2" customHeight="1" thickBot="1" x14ac:dyDescent="0.3">
      <c r="A71" s="1803"/>
      <c r="B71" s="1521"/>
      <c r="C71" s="95" t="str">
        <f>F!C246</f>
        <v>Several.</v>
      </c>
      <c r="D71" s="17">
        <f>F!D246</f>
        <v>0</v>
      </c>
      <c r="E71" s="1033">
        <v>2</v>
      </c>
      <c r="F71" s="844">
        <f>D71*E71</f>
        <v>0</v>
      </c>
      <c r="G71" s="962"/>
      <c r="H71" s="1582"/>
    </row>
    <row r="72" spans="1:9" ht="30" customHeight="1" thickBot="1" x14ac:dyDescent="0.3">
      <c r="A72" s="1804" t="str">
        <f>F!A260</f>
        <v>F52</v>
      </c>
      <c r="B72" s="1522" t="str">
        <f>F!B260</f>
        <v>Upland Perennial Cover - % of Perimeter (PerimPctPer)</v>
      </c>
      <c r="C72" s="75" t="str">
        <f>F!C260</f>
        <v xml:space="preserve">The percentage of the AA's edge (perimeter) that is comprised of a band of upland perennial cover wider than 10 ft and taller than 6 inches, during most of the growing season is:  </v>
      </c>
      <c r="D72" s="549"/>
      <c r="E72" s="1290"/>
      <c r="F72" s="1044"/>
      <c r="G72" s="804">
        <f>MAX(F73:F78)/MAX(E73:E78)</f>
        <v>0</v>
      </c>
      <c r="H72" s="1522" t="s">
        <v>731</v>
      </c>
      <c r="I72" s="2"/>
    </row>
    <row r="73" spans="1:9" ht="16.2" customHeight="1" x14ac:dyDescent="0.25">
      <c r="A73" s="1805"/>
      <c r="B73" s="1521"/>
      <c r="C73" s="215" t="str">
        <f>F!C261</f>
        <v>&lt;5%.</v>
      </c>
      <c r="D73" s="44">
        <f>F!D261</f>
        <v>0</v>
      </c>
      <c r="E73" s="1289">
        <v>1</v>
      </c>
      <c r="F73" s="844">
        <f t="shared" ref="F73:F78" si="2">D73*E73</f>
        <v>0</v>
      </c>
      <c r="G73" s="793"/>
      <c r="H73" s="1521"/>
    </row>
    <row r="74" spans="1:9" ht="16.2" customHeight="1" x14ac:dyDescent="0.25">
      <c r="A74" s="1805"/>
      <c r="B74" s="1521"/>
      <c r="C74" s="215" t="str">
        <f>F!C262</f>
        <v>5 to &lt;25%.</v>
      </c>
      <c r="D74" s="44">
        <f>F!D262</f>
        <v>0</v>
      </c>
      <c r="E74" s="1289">
        <v>2</v>
      </c>
      <c r="F74" s="844">
        <f t="shared" si="2"/>
        <v>0</v>
      </c>
      <c r="G74" s="793"/>
      <c r="H74" s="1521"/>
    </row>
    <row r="75" spans="1:9" ht="16.2" customHeight="1" x14ac:dyDescent="0.25">
      <c r="A75" s="1805"/>
      <c r="B75" s="1521"/>
      <c r="C75" s="215" t="str">
        <f>F!C263</f>
        <v>25 to &lt;50%.</v>
      </c>
      <c r="D75" s="44">
        <f>F!D263</f>
        <v>0</v>
      </c>
      <c r="E75" s="1289">
        <v>3</v>
      </c>
      <c r="F75" s="844">
        <f t="shared" si="2"/>
        <v>0</v>
      </c>
      <c r="G75" s="793"/>
      <c r="H75" s="1521"/>
    </row>
    <row r="76" spans="1:9" ht="16.2" customHeight="1" x14ac:dyDescent="0.25">
      <c r="A76" s="1805"/>
      <c r="B76" s="1521"/>
      <c r="C76" s="215" t="str">
        <f>F!C264</f>
        <v>50 to &lt;75%.</v>
      </c>
      <c r="D76" s="44">
        <f>F!D264</f>
        <v>0</v>
      </c>
      <c r="E76" s="1289">
        <v>4</v>
      </c>
      <c r="F76" s="844">
        <f t="shared" si="2"/>
        <v>0</v>
      </c>
      <c r="G76" s="793"/>
      <c r="H76" s="1521"/>
    </row>
    <row r="77" spans="1:9" ht="16.2" customHeight="1" x14ac:dyDescent="0.25">
      <c r="A77" s="1805"/>
      <c r="B77" s="1521"/>
      <c r="C77" s="215" t="str">
        <f>F!C265</f>
        <v>75 to 95%.</v>
      </c>
      <c r="D77" s="44">
        <f>F!D265</f>
        <v>0</v>
      </c>
      <c r="E77" s="1289">
        <v>5</v>
      </c>
      <c r="F77" s="844">
        <f t="shared" si="2"/>
        <v>0</v>
      </c>
      <c r="G77" s="793"/>
      <c r="H77" s="1521"/>
    </row>
    <row r="78" spans="1:9" ht="16.2" customHeight="1" thickBot="1" x14ac:dyDescent="0.3">
      <c r="A78" s="1806"/>
      <c r="B78" s="1523"/>
      <c r="C78" s="465" t="str">
        <f>F!C266</f>
        <v>&gt;95%.</v>
      </c>
      <c r="D78" s="198">
        <f>F!D266</f>
        <v>0</v>
      </c>
      <c r="E78" s="1291">
        <v>6</v>
      </c>
      <c r="F78" s="845">
        <f t="shared" si="2"/>
        <v>0</v>
      </c>
      <c r="G78" s="794"/>
      <c r="H78" s="1523"/>
    </row>
    <row r="79" spans="1:9" ht="69.75" customHeight="1" thickBot="1" x14ac:dyDescent="0.3">
      <c r="A79" s="1803" t="str">
        <f>F!A267</f>
        <v>F53</v>
      </c>
      <c r="B79" s="1521" t="str">
        <f>F!B267</f>
        <v>Upland Perennial Cover - Width (Buffer)  (BuffWidth)</v>
      </c>
      <c r="C79" s="24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79" s="549"/>
      <c r="E79" s="1288"/>
      <c r="F79" s="866"/>
      <c r="G79" s="799">
        <f>MAX(F80:F85)/MAX(E80:E85)</f>
        <v>0</v>
      </c>
      <c r="H79" s="1521" t="s">
        <v>731</v>
      </c>
      <c r="I79" s="2"/>
    </row>
    <row r="80" spans="1:9" ht="16.2" customHeight="1" x14ac:dyDescent="0.25">
      <c r="A80" s="1803"/>
      <c r="B80" s="1521"/>
      <c r="C80" s="215" t="str">
        <f>F!C268</f>
        <v xml:space="preserve">&lt; 5 ft, or none.  </v>
      </c>
      <c r="D80" s="44">
        <f>F!D268</f>
        <v>0</v>
      </c>
      <c r="E80" s="1289">
        <v>1</v>
      </c>
      <c r="F80" s="844">
        <f t="shared" ref="F80:F85" si="3">D80*E80</f>
        <v>0</v>
      </c>
      <c r="G80" s="793"/>
      <c r="H80" s="1521"/>
    </row>
    <row r="81" spans="1:9" ht="16.2" customHeight="1" x14ac:dyDescent="0.25">
      <c r="A81" s="1803"/>
      <c r="B81" s="1521"/>
      <c r="C81" s="215" t="str">
        <f>F!C269</f>
        <v>5 to &lt;30 ft.</v>
      </c>
      <c r="D81" s="44">
        <f>F!D269</f>
        <v>0</v>
      </c>
      <c r="E81" s="1289">
        <v>2</v>
      </c>
      <c r="F81" s="844">
        <f t="shared" si="3"/>
        <v>0</v>
      </c>
      <c r="G81" s="793"/>
      <c r="H81" s="1521"/>
    </row>
    <row r="82" spans="1:9" ht="16.2" customHeight="1" x14ac:dyDescent="0.25">
      <c r="A82" s="1803"/>
      <c r="B82" s="1521"/>
      <c r="C82" s="215" t="str">
        <f>F!C270</f>
        <v>30 to &lt;50 ft.</v>
      </c>
      <c r="D82" s="44">
        <f>F!D270</f>
        <v>0</v>
      </c>
      <c r="E82" s="1289">
        <v>3</v>
      </c>
      <c r="F82" s="844">
        <f t="shared" si="3"/>
        <v>0</v>
      </c>
      <c r="G82" s="793"/>
      <c r="H82" s="1521"/>
    </row>
    <row r="83" spans="1:9" ht="16.2" customHeight="1" x14ac:dyDescent="0.25">
      <c r="A83" s="1803"/>
      <c r="B83" s="1521"/>
      <c r="C83" s="215" t="str">
        <f>F!C271</f>
        <v>50 to &lt;100 ft.</v>
      </c>
      <c r="D83" s="44">
        <f>F!D271</f>
        <v>0</v>
      </c>
      <c r="E83" s="1289">
        <v>4</v>
      </c>
      <c r="F83" s="844">
        <f t="shared" si="3"/>
        <v>0</v>
      </c>
      <c r="G83" s="793"/>
      <c r="H83" s="1521"/>
    </row>
    <row r="84" spans="1:9" ht="16.2" customHeight="1" x14ac:dyDescent="0.25">
      <c r="A84" s="1803"/>
      <c r="B84" s="1521"/>
      <c r="C84" s="215" t="str">
        <f>F!C272</f>
        <v>100  to 300 ft.</v>
      </c>
      <c r="D84" s="44">
        <f>F!D272</f>
        <v>0</v>
      </c>
      <c r="E84" s="1289">
        <v>5</v>
      </c>
      <c r="F84" s="844">
        <f t="shared" si="3"/>
        <v>0</v>
      </c>
      <c r="G84" s="793"/>
      <c r="H84" s="1521"/>
    </row>
    <row r="85" spans="1:9" ht="16.2" customHeight="1" thickBot="1" x14ac:dyDescent="0.3">
      <c r="A85" s="1803"/>
      <c r="B85" s="1521"/>
      <c r="C85" s="2" t="str">
        <f>F!C273</f>
        <v xml:space="preserve">&gt; 300 ft. </v>
      </c>
      <c r="D85" s="17">
        <f>F!D273</f>
        <v>0</v>
      </c>
      <c r="E85" s="1033">
        <v>6</v>
      </c>
      <c r="F85" s="844">
        <f t="shared" si="3"/>
        <v>0</v>
      </c>
      <c r="G85" s="800"/>
      <c r="H85" s="1521"/>
    </row>
    <row r="86" spans="1:9" ht="43.5" customHeight="1" thickBot="1" x14ac:dyDescent="0.3">
      <c r="A86" s="1804" t="str">
        <f>F!A288</f>
        <v>F56</v>
      </c>
      <c r="B86" s="1522" t="str">
        <f>F!B288</f>
        <v>Bare Ground &amp; Accumulated Plant Litter (Gcover)</v>
      </c>
      <c r="C86" s="4" t="str">
        <f>F!C288</f>
        <v>Consider the parts of the AA that go dry during a normal year. Viewed from 6 inches above the soil surface, the condition in most of that area just before the year's longest inundation period begins is:</v>
      </c>
      <c r="D86" s="210"/>
      <c r="E86" s="1290"/>
      <c r="F86" s="878"/>
      <c r="G86" s="804">
        <f>IF((D91=1),"",MAX(F87:F90)/MAX(E87:E90))</f>
        <v>0</v>
      </c>
      <c r="H86" s="1599" t="s">
        <v>857</v>
      </c>
      <c r="I86" s="2"/>
    </row>
    <row r="87" spans="1:9" ht="56.25" customHeight="1" x14ac:dyDescent="0.25">
      <c r="A87" s="1805"/>
      <c r="B87" s="1521"/>
      <c r="C87" s="215"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87" s="44">
        <f>F!D289</f>
        <v>0</v>
      </c>
      <c r="E87" s="1289">
        <v>1</v>
      </c>
      <c r="F87" s="843">
        <f>D87*E87</f>
        <v>0</v>
      </c>
      <c r="G87" s="1251"/>
      <c r="H87" s="1582"/>
    </row>
    <row r="88" spans="1:9" ht="27" customHeight="1" x14ac:dyDescent="0.25">
      <c r="A88" s="1805"/>
      <c r="B88" s="1521"/>
      <c r="C88" s="216" t="str">
        <f>F!C290</f>
        <v>Some (5-20%) bare ground or remaining thatch is visible.  Herbaceous plants have moderate stem densities and do not closely hug the ground.</v>
      </c>
      <c r="D88" s="44">
        <f>F!D290</f>
        <v>0</v>
      </c>
      <c r="E88" s="1289">
        <v>2</v>
      </c>
      <c r="F88" s="843">
        <f>D88*E88</f>
        <v>0</v>
      </c>
      <c r="G88" s="961"/>
      <c r="H88" s="1582"/>
    </row>
    <row r="89" spans="1:9" ht="27" customHeight="1" x14ac:dyDescent="0.25">
      <c r="A89" s="1805"/>
      <c r="B89" s="1521"/>
      <c r="C89" s="216" t="str">
        <f>F!C291</f>
        <v>Much (20-50%) bare ground or thatch is visible.  Low stem density and/or tall plants with little living ground cover during early growing season.</v>
      </c>
      <c r="D89" s="44">
        <f>F!D291</f>
        <v>0</v>
      </c>
      <c r="E89" s="1289">
        <v>3</v>
      </c>
      <c r="F89" s="843">
        <f>D89*E89</f>
        <v>0</v>
      </c>
      <c r="G89" s="961"/>
      <c r="H89" s="1582"/>
    </row>
    <row r="90" spans="1:9" ht="16.2" customHeight="1" x14ac:dyDescent="0.25">
      <c r="A90" s="1805"/>
      <c r="B90" s="1521"/>
      <c r="C90" s="216" t="str">
        <f>F!C292</f>
        <v>Mostly (&gt;50%) bare ground or thatch.</v>
      </c>
      <c r="D90" s="44">
        <f>F!D292</f>
        <v>0</v>
      </c>
      <c r="E90" s="1289">
        <v>2</v>
      </c>
      <c r="F90" s="843">
        <f>D90*E90</f>
        <v>0</v>
      </c>
      <c r="G90" s="962"/>
      <c r="H90" s="1582"/>
    </row>
    <row r="91" spans="1:9" ht="16.2" customHeight="1" thickBot="1" x14ac:dyDescent="0.3">
      <c r="A91" s="1806"/>
      <c r="B91" s="1523"/>
      <c r="C91" s="254" t="str">
        <f>F!C293</f>
        <v>Not applicable.  All of the AA is inundated throughout most years.</v>
      </c>
      <c r="D91" s="198">
        <f>F!D293</f>
        <v>0</v>
      </c>
      <c r="E91" s="1291"/>
      <c r="F91" s="845"/>
      <c r="G91" s="1202"/>
      <c r="H91" s="1600"/>
    </row>
    <row r="92" spans="1:9" ht="43.5" customHeight="1" thickBot="1" x14ac:dyDescent="0.3">
      <c r="A92" s="1805" t="str">
        <f>F!A294</f>
        <v>F57</v>
      </c>
      <c r="B92" s="1521" t="str">
        <f>F!B294</f>
        <v>Ground Irregularity (Girreg)</v>
      </c>
      <c r="C92" s="4" t="str">
        <f>F!C294</f>
        <v xml:space="preserve"> In parts of the AA that lack persistent water, the number of small pits, raised mounds, hummocks, boulders, upturned trees, animal burrows, islands, natural levees, wide soil cracks, and microdepressions is:</v>
      </c>
      <c r="D92" s="65"/>
      <c r="E92" s="1288"/>
      <c r="F92" s="867"/>
      <c r="G92" s="799">
        <f>MAX(F93:F95)/MAX(E93:E95)</f>
        <v>0</v>
      </c>
      <c r="H92" s="1582" t="s">
        <v>858</v>
      </c>
      <c r="I92" s="2"/>
    </row>
    <row r="93" spans="1:9" ht="27" customHeight="1" x14ac:dyDescent="0.25">
      <c r="A93" s="1805"/>
      <c r="B93" s="1521"/>
      <c r="C93" s="215" t="str">
        <f>F!C295</f>
        <v>Few or none, or the entire AA is always water-covered.  Minimal microtopography; &lt;1% of the AA, e.g., many flat sites having a single hydroperiod.</v>
      </c>
      <c r="D93" s="44">
        <f>F!D295</f>
        <v>0</v>
      </c>
      <c r="E93" s="1289">
        <v>1</v>
      </c>
      <c r="F93" s="843">
        <f>D93*E93</f>
        <v>0</v>
      </c>
      <c r="G93" s="1251"/>
      <c r="H93" s="1582"/>
    </row>
    <row r="94" spans="1:9" ht="16.2" customHeight="1" x14ac:dyDescent="0.25">
      <c r="A94" s="1805"/>
      <c r="B94" s="1521"/>
      <c r="C94" s="216" t="str">
        <f>F!C296</f>
        <v>Intermediate.</v>
      </c>
      <c r="D94" s="44">
        <f>F!D296</f>
        <v>0</v>
      </c>
      <c r="E94" s="1289">
        <v>2</v>
      </c>
      <c r="F94" s="843">
        <f>D94*E94</f>
        <v>0</v>
      </c>
      <c r="G94" s="961"/>
      <c r="H94" s="1582"/>
    </row>
    <row r="95" spans="1:9" ht="16.2" customHeight="1" thickBot="1" x14ac:dyDescent="0.3">
      <c r="A95" s="1806"/>
      <c r="B95" s="1523"/>
      <c r="C95" s="254" t="str">
        <f>F!C297</f>
        <v>Several (extensive micro-topography).</v>
      </c>
      <c r="D95" s="17">
        <f>F!D297</f>
        <v>0</v>
      </c>
      <c r="E95" s="1291">
        <v>3</v>
      </c>
      <c r="F95" s="845">
        <f>D95*E95</f>
        <v>0</v>
      </c>
      <c r="G95" s="1202"/>
      <c r="H95" s="1600"/>
    </row>
    <row r="96" spans="1:9" ht="45" customHeight="1" thickBot="1" x14ac:dyDescent="0.3">
      <c r="A96" s="941" t="str">
        <f>F!A303</f>
        <v>F59</v>
      </c>
      <c r="B96" s="710" t="str">
        <f>F!B303</f>
        <v>Cliffs or Banks (Cliff)</v>
      </c>
      <c r="C96" s="2" t="str">
        <f>F!C303</f>
        <v>Within 300 ft of the AA, there are elevated terrestrial features such as cliffs, bluffs, talus slopes, or unarmored stream banks that extend at least 6 ft nearly vertically, are unvegetated, and potentially contain crevices or other substrate suitable for nesting or den areas.  Enter 1, if true.</v>
      </c>
      <c r="D96" s="220">
        <f>F!D303</f>
        <v>0</v>
      </c>
      <c r="E96" s="1295"/>
      <c r="F96" s="1258"/>
      <c r="G96" s="995">
        <f>D96</f>
        <v>0</v>
      </c>
      <c r="H96" s="712" t="s">
        <v>733</v>
      </c>
      <c r="I96" s="2"/>
    </row>
    <row r="97" spans="1:8" s="361" customFormat="1" ht="36" customHeight="1" thickBot="1" x14ac:dyDescent="0.3">
      <c r="A97" s="374" t="s">
        <v>126</v>
      </c>
      <c r="B97" s="374" t="s">
        <v>1468</v>
      </c>
      <c r="C97" s="374" t="s">
        <v>1271</v>
      </c>
      <c r="D97" s="374" t="s">
        <v>115</v>
      </c>
      <c r="E97" s="851" t="s">
        <v>771</v>
      </c>
      <c r="F97" s="374" t="s">
        <v>1462</v>
      </c>
      <c r="G97" s="374" t="s">
        <v>770</v>
      </c>
      <c r="H97" s="374" t="s">
        <v>772</v>
      </c>
    </row>
    <row r="98" spans="1:8" ht="30" customHeight="1" thickBot="1" x14ac:dyDescent="0.3">
      <c r="A98" s="1923" t="str">
        <f>T!A15</f>
        <v>T3</v>
      </c>
      <c r="B98" s="1521" t="str">
        <f>T!B15</f>
        <v>Low Marsh (LowMarshT)</v>
      </c>
      <c r="C98" s="244" t="str">
        <f>T!C15</f>
        <v>The percent of the vegetated part of the AA that is "low marsh" (covered by tidal water for part of almost every day) is:</v>
      </c>
      <c r="D98" s="549"/>
      <c r="E98" s="1288"/>
      <c r="F98" s="60"/>
      <c r="G98" s="854">
        <f>MAX(F99:F105)/MAX(E99:E105)</f>
        <v>0</v>
      </c>
      <c r="H98" s="1521" t="s">
        <v>728</v>
      </c>
    </row>
    <row r="99" spans="1:8" ht="16.2" customHeight="1" x14ac:dyDescent="0.25">
      <c r="A99" s="1923"/>
      <c r="B99" s="1521"/>
      <c r="C99" s="215" t="str">
        <f>T!C16</f>
        <v>None, or &lt;1%.</v>
      </c>
      <c r="D99" s="44">
        <f>T!D16</f>
        <v>0</v>
      </c>
      <c r="E99" s="1289">
        <v>6</v>
      </c>
      <c r="F99" s="843">
        <f t="shared" ref="F99:F105" si="4">D99*E99</f>
        <v>0</v>
      </c>
      <c r="G99" s="792"/>
      <c r="H99" s="1521"/>
    </row>
    <row r="100" spans="1:8" ht="16.2" customHeight="1" x14ac:dyDescent="0.25">
      <c r="A100" s="1923"/>
      <c r="B100" s="1521"/>
      <c r="C100" s="216" t="str">
        <f>T!C17</f>
        <v>1 to &lt;10%.</v>
      </c>
      <c r="D100" s="44">
        <f>T!D17</f>
        <v>0</v>
      </c>
      <c r="E100" s="1289">
        <v>5</v>
      </c>
      <c r="F100" s="843">
        <f t="shared" si="4"/>
        <v>0</v>
      </c>
      <c r="G100" s="793"/>
      <c r="H100" s="1521"/>
    </row>
    <row r="101" spans="1:8" ht="16.2" customHeight="1" x14ac:dyDescent="0.25">
      <c r="A101" s="1923"/>
      <c r="B101" s="1521"/>
      <c r="C101" s="216" t="str">
        <f>T!C18</f>
        <v>10 to &lt;25%.</v>
      </c>
      <c r="D101" s="44">
        <f>T!D18</f>
        <v>0</v>
      </c>
      <c r="E101" s="1289">
        <v>4</v>
      </c>
      <c r="F101" s="843">
        <f t="shared" si="4"/>
        <v>0</v>
      </c>
      <c r="G101" s="793"/>
      <c r="H101" s="1521"/>
    </row>
    <row r="102" spans="1:8" ht="16.2" customHeight="1" x14ac:dyDescent="0.25">
      <c r="A102" s="1923"/>
      <c r="B102" s="1521"/>
      <c r="C102" s="216" t="str">
        <f>T!C19</f>
        <v>25 &lt;50%.</v>
      </c>
      <c r="D102" s="44">
        <f>T!D19</f>
        <v>0</v>
      </c>
      <c r="E102" s="1289">
        <v>3</v>
      </c>
      <c r="F102" s="843">
        <f t="shared" si="4"/>
        <v>0</v>
      </c>
      <c r="G102" s="793"/>
      <c r="H102" s="1521"/>
    </row>
    <row r="103" spans="1:8" ht="16.2" customHeight="1" x14ac:dyDescent="0.25">
      <c r="A103" s="1923"/>
      <c r="B103" s="1521"/>
      <c r="C103" s="939" t="str">
        <f>T!C20</f>
        <v>50 to &lt;75%.</v>
      </c>
      <c r="D103" s="44">
        <f>T!D20</f>
        <v>0</v>
      </c>
      <c r="E103" s="1289">
        <v>2</v>
      </c>
      <c r="F103" s="843">
        <f t="shared" si="4"/>
        <v>0</v>
      </c>
      <c r="G103" s="793"/>
      <c r="H103" s="1521"/>
    </row>
    <row r="104" spans="1:8" ht="16.2" customHeight="1" x14ac:dyDescent="0.25">
      <c r="A104" s="1923"/>
      <c r="B104" s="1521"/>
      <c r="C104" s="216" t="str">
        <f>T!C21</f>
        <v>75 to 90%.</v>
      </c>
      <c r="D104" s="44">
        <f>T!D21</f>
        <v>0</v>
      </c>
      <c r="E104" s="1289">
        <v>1</v>
      </c>
      <c r="F104" s="843">
        <f t="shared" si="4"/>
        <v>0</v>
      </c>
      <c r="G104" s="793"/>
      <c r="H104" s="1521"/>
    </row>
    <row r="105" spans="1:8" ht="16.2" customHeight="1" thickBot="1" x14ac:dyDescent="0.3">
      <c r="A105" s="1924"/>
      <c r="B105" s="1523"/>
      <c r="C105" s="254" t="str">
        <f>T!C22</f>
        <v>&gt;90%.</v>
      </c>
      <c r="D105" s="17">
        <f>T!D22</f>
        <v>0</v>
      </c>
      <c r="E105" s="1291">
        <v>0</v>
      </c>
      <c r="F105" s="845">
        <f t="shared" si="4"/>
        <v>0</v>
      </c>
      <c r="G105" s="800"/>
      <c r="H105" s="1523"/>
    </row>
    <row r="106" spans="1:8" ht="30" customHeight="1" thickBot="1" x14ac:dyDescent="0.3">
      <c r="A106" s="1922" t="str">
        <f>T!A23</f>
        <v>T4</v>
      </c>
      <c r="B106" s="1521" t="str">
        <f>T!B23</f>
        <v>Width of Vegetated Zone at Daily High Tide (WidthHiT)</v>
      </c>
      <c r="C106" s="244" t="str">
        <f>T!C23</f>
        <v>At average daily HIGH tide condition, the width of the vegetated wetland that separates adjoining uplands (if any) from subtidal water within or adjoining the AA, is predominantly:</v>
      </c>
      <c r="D106" s="549"/>
      <c r="E106" s="1288"/>
      <c r="F106" s="60"/>
      <c r="G106" s="857">
        <f>MAX(F107:F112)/MAX(E107:E112)</f>
        <v>0</v>
      </c>
      <c r="H106" s="1521" t="s">
        <v>732</v>
      </c>
    </row>
    <row r="107" spans="1:8" ht="16.2" customHeight="1" x14ac:dyDescent="0.25">
      <c r="A107" s="1923"/>
      <c r="B107" s="1521"/>
      <c r="C107" s="215" t="str">
        <f>T!C24</f>
        <v>&lt;5 ft, or no vegetation between upland and subtidal water.</v>
      </c>
      <c r="D107" s="44">
        <f>T!D24</f>
        <v>0</v>
      </c>
      <c r="E107" s="1289">
        <v>0</v>
      </c>
      <c r="F107" s="843">
        <f t="shared" ref="F107:F112" si="5">D107*E107</f>
        <v>0</v>
      </c>
      <c r="G107" s="792"/>
      <c r="H107" s="1521"/>
    </row>
    <row r="108" spans="1:8" ht="16.2" customHeight="1" x14ac:dyDescent="0.25">
      <c r="A108" s="1923"/>
      <c r="B108" s="1521"/>
      <c r="C108" s="216" t="str">
        <f>T!C25</f>
        <v>5 to &lt;30 ft.</v>
      </c>
      <c r="D108" s="44">
        <f>T!D25</f>
        <v>0</v>
      </c>
      <c r="E108" s="1289">
        <v>1</v>
      </c>
      <c r="F108" s="843">
        <f t="shared" si="5"/>
        <v>0</v>
      </c>
      <c r="G108" s="793"/>
      <c r="H108" s="1521"/>
    </row>
    <row r="109" spans="1:8" ht="16.2" customHeight="1" x14ac:dyDescent="0.25">
      <c r="A109" s="1923"/>
      <c r="B109" s="1521"/>
      <c r="C109" s="216" t="str">
        <f>T!C26</f>
        <v>30 to &lt;50 ft.</v>
      </c>
      <c r="D109" s="44">
        <f>T!D26</f>
        <v>0</v>
      </c>
      <c r="E109" s="1289">
        <v>2</v>
      </c>
      <c r="F109" s="843">
        <f t="shared" si="5"/>
        <v>0</v>
      </c>
      <c r="G109" s="793"/>
      <c r="H109" s="1521"/>
    </row>
    <row r="110" spans="1:8" ht="16.2" customHeight="1" x14ac:dyDescent="0.25">
      <c r="A110" s="1923"/>
      <c r="B110" s="1521"/>
      <c r="C110" s="216" t="str">
        <f>T!C27</f>
        <v>50 to &lt;100 ft.</v>
      </c>
      <c r="D110" s="44">
        <f>T!D27</f>
        <v>0</v>
      </c>
      <c r="E110" s="1289">
        <v>3</v>
      </c>
      <c r="F110" s="843">
        <f t="shared" si="5"/>
        <v>0</v>
      </c>
      <c r="G110" s="793"/>
      <c r="H110" s="1521"/>
    </row>
    <row r="111" spans="1:8" ht="16.2" customHeight="1" x14ac:dyDescent="0.25">
      <c r="A111" s="1923"/>
      <c r="B111" s="1521"/>
      <c r="C111" s="216" t="str">
        <f>T!C28</f>
        <v>100 to 300 ft.</v>
      </c>
      <c r="D111" s="44">
        <f>T!D28</f>
        <v>0</v>
      </c>
      <c r="E111" s="1289">
        <v>4</v>
      </c>
      <c r="F111" s="843">
        <f t="shared" si="5"/>
        <v>0</v>
      </c>
      <c r="G111" s="793"/>
      <c r="H111" s="1521"/>
    </row>
    <row r="112" spans="1:8" ht="16.2" customHeight="1" thickBot="1" x14ac:dyDescent="0.3">
      <c r="A112" s="1924"/>
      <c r="B112" s="1521"/>
      <c r="C112" s="95" t="str">
        <f>T!C29</f>
        <v>&gt; 300 ft.</v>
      </c>
      <c r="D112" s="198">
        <f>T!D29</f>
        <v>0</v>
      </c>
      <c r="E112" s="1033">
        <v>5</v>
      </c>
      <c r="F112" s="844">
        <f t="shared" si="5"/>
        <v>0</v>
      </c>
      <c r="G112" s="800"/>
      <c r="H112" s="1521"/>
    </row>
    <row r="113" spans="1:9" ht="30" customHeight="1" thickBot="1" x14ac:dyDescent="0.3">
      <c r="A113" s="1922" t="str">
        <f>T!A112</f>
        <v>T20</v>
      </c>
      <c r="B113" s="1522" t="str">
        <f>T!B112</f>
        <v>Species Dominance (VegSpDomT)</v>
      </c>
      <c r="C113" s="75" t="str">
        <f>T!C112</f>
        <v>Within the form identified as the predominant macrophyte, the 2 most common native species together comprise:</v>
      </c>
      <c r="D113" s="549"/>
      <c r="E113" s="1290"/>
      <c r="F113" s="241"/>
      <c r="G113" s="857">
        <f>MAX(F114:F118)/MAX(E114:E118)</f>
        <v>0</v>
      </c>
      <c r="H113" s="1522" t="s">
        <v>729</v>
      </c>
    </row>
    <row r="114" spans="1:9" ht="16.2" customHeight="1" x14ac:dyDescent="0.25">
      <c r="A114" s="1923"/>
      <c r="B114" s="1521"/>
      <c r="C114" s="215" t="str">
        <f>T!C113</f>
        <v>&lt;20% of the AA's vegetated area (most species-rich, no dominants or co-dominants).</v>
      </c>
      <c r="D114" s="44">
        <f>T!D113</f>
        <v>0</v>
      </c>
      <c r="E114" s="1289">
        <v>5</v>
      </c>
      <c r="F114" s="843">
        <f>D114*E114</f>
        <v>0</v>
      </c>
      <c r="G114" s="792"/>
      <c r="H114" s="1521"/>
    </row>
    <row r="115" spans="1:9" ht="16.2" customHeight="1" x14ac:dyDescent="0.25">
      <c r="A115" s="1923"/>
      <c r="B115" s="1521"/>
      <c r="C115" s="216" t="str">
        <f>T!C114</f>
        <v>20 to &lt;40% of the AA's vegetated area.</v>
      </c>
      <c r="D115" s="44">
        <f>T!D114</f>
        <v>0</v>
      </c>
      <c r="E115" s="1289">
        <v>4</v>
      </c>
      <c r="F115" s="843">
        <f>D115*E115</f>
        <v>0</v>
      </c>
      <c r="G115" s="793"/>
      <c r="H115" s="1521"/>
    </row>
    <row r="116" spans="1:9" ht="16.2" customHeight="1" x14ac:dyDescent="0.25">
      <c r="A116" s="1923"/>
      <c r="B116" s="1521"/>
      <c r="C116" s="216" t="str">
        <f>T!C115</f>
        <v>40 to &lt;60% of the AA's vegetated area.</v>
      </c>
      <c r="D116" s="44">
        <f>T!D115</f>
        <v>0</v>
      </c>
      <c r="E116" s="1289">
        <v>3</v>
      </c>
      <c r="F116" s="843">
        <f>D116*E116</f>
        <v>0</v>
      </c>
      <c r="G116" s="793"/>
      <c r="H116" s="1521"/>
    </row>
    <row r="117" spans="1:9" ht="16.2" customHeight="1" x14ac:dyDescent="0.25">
      <c r="A117" s="1923"/>
      <c r="B117" s="1521"/>
      <c r="C117" s="216" t="str">
        <f>T!C116</f>
        <v>60 to 80% of the AA's vegetated area.</v>
      </c>
      <c r="D117" s="44">
        <f>T!D116</f>
        <v>0</v>
      </c>
      <c r="E117" s="1289">
        <v>2</v>
      </c>
      <c r="F117" s="843">
        <f>D117*E117</f>
        <v>0</v>
      </c>
      <c r="G117" s="793"/>
      <c r="H117" s="1521"/>
    </row>
    <row r="118" spans="1:9" ht="16.2" customHeight="1" thickBot="1" x14ac:dyDescent="0.3">
      <c r="A118" s="1924"/>
      <c r="B118" s="1523"/>
      <c r="C118" s="254" t="str">
        <f>T!C117</f>
        <v>&gt;80% of the AA's vegetated area (monotypic or nearly so).</v>
      </c>
      <c r="D118" s="198">
        <f>T!D117</f>
        <v>0</v>
      </c>
      <c r="E118" s="1291">
        <v>1</v>
      </c>
      <c r="F118" s="845">
        <f>D118*E118</f>
        <v>0</v>
      </c>
      <c r="G118" s="800"/>
      <c r="H118" s="1523"/>
    </row>
    <row r="119" spans="1:9" ht="30" customHeight="1" thickBot="1" x14ac:dyDescent="0.3">
      <c r="A119" s="1922" t="str">
        <f>T!A129</f>
        <v>T22</v>
      </c>
      <c r="B119" s="1521" t="str">
        <f>T!B129</f>
        <v>Forb Cover (ForbT)</v>
      </c>
      <c r="C119" s="244" t="str">
        <f>T!C129</f>
        <v>Within parts of the AA that have herbaceous cover (excluding SAV), the areal cover of forbs reaches an annual maximum of:</v>
      </c>
      <c r="D119" s="549"/>
      <c r="E119" s="1288"/>
      <c r="F119" s="60"/>
      <c r="G119" s="857">
        <f>MAX(F120:F124)/MAX(E120:E124)</f>
        <v>0</v>
      </c>
      <c r="H119" s="1521" t="s">
        <v>155</v>
      </c>
    </row>
    <row r="120" spans="1:9" ht="16.2" customHeight="1" x14ac:dyDescent="0.25">
      <c r="A120" s="1923"/>
      <c r="B120" s="1521"/>
      <c r="C120" s="215" t="str">
        <f>T!C130</f>
        <v xml:space="preserve">&lt;5% of the herbaceous part of the AA. </v>
      </c>
      <c r="D120" s="44">
        <f>T!D130</f>
        <v>0</v>
      </c>
      <c r="E120" s="1289">
        <v>1</v>
      </c>
      <c r="F120" s="843">
        <f>D120*E120</f>
        <v>0</v>
      </c>
      <c r="G120" s="792"/>
      <c r="H120" s="1521"/>
    </row>
    <row r="121" spans="1:9" ht="16.2" customHeight="1" x14ac:dyDescent="0.25">
      <c r="A121" s="1923"/>
      <c r="B121" s="1521"/>
      <c r="C121" s="216" t="str">
        <f>T!C131</f>
        <v>5 to &lt;25% of the herbaceous part of the AA.</v>
      </c>
      <c r="D121" s="44">
        <f>T!D131</f>
        <v>0</v>
      </c>
      <c r="E121" s="1289">
        <v>2</v>
      </c>
      <c r="F121" s="843">
        <f>D121*E121</f>
        <v>0</v>
      </c>
      <c r="G121" s="793"/>
      <c r="H121" s="1521"/>
    </row>
    <row r="122" spans="1:9" ht="16.2" customHeight="1" x14ac:dyDescent="0.25">
      <c r="A122" s="1923"/>
      <c r="B122" s="1521"/>
      <c r="C122" s="216" t="str">
        <f>T!C132</f>
        <v>25 to &lt;50% of the herbaceous part of the AA.</v>
      </c>
      <c r="D122" s="44">
        <f>T!D132</f>
        <v>0</v>
      </c>
      <c r="E122" s="1289">
        <v>3</v>
      </c>
      <c r="F122" s="843">
        <f>D122*E122</f>
        <v>0</v>
      </c>
      <c r="G122" s="793"/>
      <c r="H122" s="1521"/>
    </row>
    <row r="123" spans="1:9" ht="16.2" customHeight="1" x14ac:dyDescent="0.25">
      <c r="A123" s="1923"/>
      <c r="B123" s="1521"/>
      <c r="C123" s="216" t="str">
        <f>T!C133</f>
        <v>50 to 95% of the herbaceous part of the AA.</v>
      </c>
      <c r="D123" s="44">
        <f>T!D133</f>
        <v>0</v>
      </c>
      <c r="E123" s="1289">
        <v>4</v>
      </c>
      <c r="F123" s="843">
        <f>D123*E123</f>
        <v>0</v>
      </c>
      <c r="G123" s="793"/>
      <c r="H123" s="1521"/>
    </row>
    <row r="124" spans="1:9" ht="16.2" customHeight="1" thickBot="1" x14ac:dyDescent="0.3">
      <c r="A124" s="1924"/>
      <c r="B124" s="1521"/>
      <c r="C124" s="95" t="str">
        <f>T!C134</f>
        <v>&gt;95% of the herbaceous part of the AA.</v>
      </c>
      <c r="D124" s="198">
        <f>T!D134</f>
        <v>0</v>
      </c>
      <c r="E124" s="1033">
        <v>5</v>
      </c>
      <c r="F124" s="844">
        <f>D124*E124</f>
        <v>0</v>
      </c>
      <c r="G124" s="800"/>
      <c r="H124" s="1521"/>
    </row>
    <row r="125" spans="1:9" ht="59.25" customHeight="1" thickBot="1" x14ac:dyDescent="0.3">
      <c r="A125" s="944" t="str">
        <f>T!A202</f>
        <v>T36</v>
      </c>
      <c r="B125" s="114" t="str">
        <f>T!B202</f>
        <v>Cliffs or Banks (Clifft)</v>
      </c>
      <c r="C125" s="226" t="str">
        <f>T!C202</f>
        <v>Within 300 ft. of the AA, there are elevated terrestrial features such as cliffs, talus slopes, or unarmored banks along nontidal channels that extend at least 6 ft nearly vertically, are unvegetated, and potentially contain crevices or other substrate suitable for nesting or den areas.  Enter 1, if true.</v>
      </c>
      <c r="D125" s="220">
        <f>T!D202</f>
        <v>0</v>
      </c>
      <c r="E125" s="1035"/>
      <c r="F125" s="835"/>
      <c r="G125" s="857" t="str">
        <f>IF((D125=0),"",1)</f>
        <v/>
      </c>
      <c r="H125" s="4" t="s">
        <v>733</v>
      </c>
    </row>
    <row r="126" spans="1:9" s="373" customFormat="1" ht="36" customHeight="1" thickBot="1" x14ac:dyDescent="0.3">
      <c r="A126" s="1003" t="s">
        <v>126</v>
      </c>
      <c r="B126" s="363" t="s">
        <v>1463</v>
      </c>
      <c r="C126" s="442" t="s">
        <v>1271</v>
      </c>
      <c r="D126" s="557" t="s">
        <v>115</v>
      </c>
      <c r="E126" s="863" t="s">
        <v>771</v>
      </c>
      <c r="F126" s="363" t="s">
        <v>1474</v>
      </c>
      <c r="G126" s="808" t="s">
        <v>770</v>
      </c>
      <c r="H126" s="363" t="s">
        <v>772</v>
      </c>
    </row>
    <row r="127" spans="1:9" ht="30" customHeight="1" thickBot="1" x14ac:dyDescent="0.3">
      <c r="A127" s="1796" t="str">
        <f>OF!A48</f>
        <v>OF8</v>
      </c>
      <c r="B127" s="1522" t="str">
        <f>OF!B48</f>
        <v>Wetland Type Local Uniqueness (UniqPatch)</v>
      </c>
      <c r="C127" s="75" t="str">
        <f>OF!C48</f>
        <v xml:space="preserve"> Select EACH of the vegetation types below that comprise more than 10% of the AA AND less than
 10% of a 0.5 mile radius around the AA. (See Column E).</v>
      </c>
      <c r="D127" s="549"/>
      <c r="E127" s="1296"/>
      <c r="F127" s="258"/>
      <c r="G127" s="810">
        <f>((SUM(D128:D130)/3) + MAX(D128:D130))/2</f>
        <v>0</v>
      </c>
      <c r="H127" s="1599" t="s">
        <v>734</v>
      </c>
      <c r="I127" s="2"/>
    </row>
    <row r="128" spans="1:9" ht="28.5" customHeight="1" x14ac:dyDescent="0.25">
      <c r="A128" s="1797"/>
      <c r="B128" s="1521"/>
      <c r="C128" s="2" t="str">
        <f>OF!C49</f>
        <v>Herbaceous vegetation (perennial grasses, sedges, forbs; not under a woody canopy; not crops).</v>
      </c>
      <c r="D128" s="44">
        <f>OF!D49</f>
        <v>0</v>
      </c>
      <c r="E128" s="49"/>
      <c r="F128" s="843"/>
      <c r="G128" s="792"/>
      <c r="H128" s="1582"/>
      <c r="I128" s="2"/>
    </row>
    <row r="129" spans="1:42" ht="16.2" customHeight="1" x14ac:dyDescent="0.25">
      <c r="A129" s="1797"/>
      <c r="B129" s="1521"/>
      <c r="C129" s="95" t="str">
        <f>OF!C50</f>
        <v>Unshaded shrubland (woody plants shorter than 20 ft).</v>
      </c>
      <c r="D129" s="44">
        <f>OF!D50</f>
        <v>0</v>
      </c>
      <c r="E129" s="49"/>
      <c r="F129" s="843"/>
      <c r="G129" s="793"/>
      <c r="H129" s="1582"/>
      <c r="I129" s="2"/>
    </row>
    <row r="130" spans="1:42" ht="16.2" customHeight="1" x14ac:dyDescent="0.25">
      <c r="A130" s="1797"/>
      <c r="B130" s="1521"/>
      <c r="C130" s="95" t="str">
        <f>OF!C51</f>
        <v>Trees (woody plants taller than 20 ft).</v>
      </c>
      <c r="D130" s="44">
        <f>OF!D51</f>
        <v>0</v>
      </c>
      <c r="E130" s="49"/>
      <c r="F130" s="843"/>
      <c r="G130" s="793"/>
      <c r="H130" s="1582"/>
    </row>
    <row r="131" spans="1:42" ht="16.2" customHeight="1" thickBot="1" x14ac:dyDescent="0.3">
      <c r="A131" s="1798"/>
      <c r="B131" s="1523"/>
      <c r="C131" s="254" t="str">
        <f>OF!C52</f>
        <v>None of above.</v>
      </c>
      <c r="D131" s="198">
        <f>OF!D52</f>
        <v>0</v>
      </c>
      <c r="E131" s="245"/>
      <c r="F131" s="845"/>
      <c r="G131" s="794"/>
      <c r="H131" s="1600"/>
    </row>
    <row r="132" spans="1:42" ht="30" customHeight="1" thickBot="1" x14ac:dyDescent="0.3">
      <c r="A132" s="1791" t="str">
        <f>OF!A131</f>
        <v>OF23</v>
      </c>
      <c r="B132" s="1521" t="str">
        <f>OF!B131</f>
        <v>Plant Species of Conservation Concern (RarePspp)</v>
      </c>
      <c r="C132" s="438" t="str">
        <f>OF!C131</f>
        <v xml:space="preserve">According to the ORWAP Report, the score for occurrences of rare wetland-indicator plant species in the vicinity of this AA is: </v>
      </c>
      <c r="D132" s="549"/>
      <c r="E132" s="65"/>
      <c r="F132" s="60"/>
      <c r="G132" s="811">
        <f>MAX(F133:F136)/MAX(E133:E136)</f>
        <v>0</v>
      </c>
      <c r="H132" s="1521" t="s">
        <v>84</v>
      </c>
      <c r="I132" s="2103"/>
    </row>
    <row r="133" spans="1:42" s="32" customFormat="1" ht="43.5" customHeight="1" x14ac:dyDescent="0.25">
      <c r="A133" s="1791"/>
      <c r="B133" s="1521"/>
      <c r="C133" s="11" t="str">
        <f>OF!C132</f>
        <v>High (≥ 0.75 for maximum score, or &gt; 4.00 for sum score), or there is a recent onsite observation of any of these species by a qualified observer under conditions similar to what now occur.</v>
      </c>
      <c r="D133" s="44">
        <f>OF!D132</f>
        <v>0</v>
      </c>
      <c r="E133" s="49">
        <v>2</v>
      </c>
      <c r="F133" s="843">
        <f>D133*E133</f>
        <v>0</v>
      </c>
      <c r="G133" s="60"/>
      <c r="H133" s="1521"/>
      <c r="I133" s="210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row>
    <row r="134" spans="1:42" s="32" customFormat="1" ht="16.2" customHeight="1" x14ac:dyDescent="0.25">
      <c r="A134" s="1791"/>
      <c r="B134" s="1521"/>
      <c r="C134" s="286" t="str">
        <f>OF!C133</f>
        <v>Intermediate (i.e., not as described above or below).</v>
      </c>
      <c r="D134" s="44">
        <f>OF!D133</f>
        <v>0</v>
      </c>
      <c r="E134" s="49">
        <v>1</v>
      </c>
      <c r="F134" s="843">
        <f>D134*E134</f>
        <v>0</v>
      </c>
      <c r="G134" s="59"/>
      <c r="H134" s="1521"/>
      <c r="I134" s="210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row>
    <row r="135" spans="1:42" s="32" customFormat="1" ht="16.2" customHeight="1" x14ac:dyDescent="0.25">
      <c r="A135" s="1791"/>
      <c r="B135" s="1521"/>
      <c r="C135" s="286" t="str">
        <f>OF!C134</f>
        <v>Low (≤ 0.12 for maximum score AND &lt;  0.20 for sum score, but not 0 for both).</v>
      </c>
      <c r="D135" s="44">
        <f>OF!D134</f>
        <v>0</v>
      </c>
      <c r="E135" s="49">
        <v>0</v>
      </c>
      <c r="F135" s="843">
        <f>D135*E135</f>
        <v>0</v>
      </c>
      <c r="G135" s="59"/>
      <c r="H135" s="1521"/>
      <c r="I135" s="210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row>
    <row r="136" spans="1:42" s="32" customFormat="1" ht="27" customHeight="1" thickBot="1" x14ac:dyDescent="0.3">
      <c r="A136" s="1791"/>
      <c r="B136" s="1521"/>
      <c r="C136" s="286" t="str">
        <f>OF!C135</f>
        <v>Zero for both this group's maximum and its sum score, and no recent onsite observation of these species by a qualified observer under conditions similar to what now occur.</v>
      </c>
      <c r="D136" s="17">
        <f>OF!D135</f>
        <v>0</v>
      </c>
      <c r="E136" s="67"/>
      <c r="F136" s="844"/>
      <c r="G136" s="58"/>
      <c r="H136" s="1521"/>
      <c r="I136" s="2104"/>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row>
    <row r="137" spans="1:42" ht="45" customHeight="1" thickBot="1" x14ac:dyDescent="0.3">
      <c r="A137" s="1796" t="str">
        <f>OF!A220</f>
        <v>OF42</v>
      </c>
      <c r="B137" s="1622" t="str">
        <f>OF!B220</f>
        <v>Zoning (Zoning)</v>
      </c>
      <c r="C137" s="75" t="str">
        <f>OF!C220</f>
        <v>According to ORWAP Map Viewer's Oregon Zoning layer, the dominant zoned land use designation for currently undeveloped parcels upslope from the AA and within 300 ft. of its upland edge is:</v>
      </c>
      <c r="D137" s="549"/>
      <c r="E137" s="210"/>
      <c r="F137" s="1044"/>
      <c r="G137" s="810">
        <f>IF((D141=1),"",MAX(F138:F140)/MAX(E138:E140))</f>
        <v>0</v>
      </c>
      <c r="H137" s="1522" t="s">
        <v>1540</v>
      </c>
      <c r="I137" s="11"/>
    </row>
    <row r="138" spans="1:42" ht="27" customHeight="1" x14ac:dyDescent="0.25">
      <c r="A138" s="1797"/>
      <c r="B138" s="1623"/>
      <c r="C138" s="215" t="str">
        <f>OF!C221</f>
        <v>Development (Commercial, Industrial, Urban Residential, etc.), or no undeveloped parcels exist upslope from the AA.</v>
      </c>
      <c r="D138" s="44">
        <f>OF!D221</f>
        <v>0</v>
      </c>
      <c r="E138" s="49">
        <v>2</v>
      </c>
      <c r="F138" s="843">
        <f>D138*E138</f>
        <v>0</v>
      </c>
      <c r="G138" s="59"/>
      <c r="H138" s="1521"/>
      <c r="I138" s="11"/>
    </row>
    <row r="139" spans="1:42" ht="16.2" customHeight="1" x14ac:dyDescent="0.25">
      <c r="A139" s="1797"/>
      <c r="B139" s="1623"/>
      <c r="C139" s="216" t="str">
        <f>OF!C222</f>
        <v>Agriculture or Rural Residential.</v>
      </c>
      <c r="D139" s="44">
        <f>OF!D222</f>
        <v>0</v>
      </c>
      <c r="E139" s="49">
        <v>3</v>
      </c>
      <c r="F139" s="843">
        <f>D139*E139</f>
        <v>0</v>
      </c>
      <c r="G139" s="59"/>
      <c r="H139" s="1521"/>
      <c r="I139" s="11"/>
    </row>
    <row r="140" spans="1:42" ht="16.2" customHeight="1" x14ac:dyDescent="0.25">
      <c r="A140" s="1797"/>
      <c r="B140" s="1623"/>
      <c r="C140" s="216" t="str">
        <f>OF!C223</f>
        <v>Forest or Open Space, or entirely public lands.</v>
      </c>
      <c r="D140" s="44">
        <f>OF!D223</f>
        <v>0</v>
      </c>
      <c r="E140" s="49">
        <v>1</v>
      </c>
      <c r="F140" s="843">
        <f>D140*E140</f>
        <v>0</v>
      </c>
      <c r="G140" s="59"/>
      <c r="H140" s="1521"/>
      <c r="I140" s="11"/>
    </row>
    <row r="141" spans="1:42" ht="16.2" customHeight="1" thickBot="1" x14ac:dyDescent="0.3">
      <c r="A141" s="1798"/>
      <c r="B141" s="1624"/>
      <c r="C141" s="254" t="str">
        <f>OF!C224</f>
        <v>Not zoned, or no information.</v>
      </c>
      <c r="D141" s="17">
        <f>OF!D224</f>
        <v>0</v>
      </c>
      <c r="E141" s="245"/>
      <c r="F141" s="845"/>
      <c r="G141" s="243"/>
      <c r="H141" s="1523"/>
      <c r="I141" s="11"/>
    </row>
    <row r="142" spans="1:42" ht="30" customHeight="1" thickBot="1" x14ac:dyDescent="0.3">
      <c r="A142" s="1828" t="str">
        <f>F!A260</f>
        <v>F52</v>
      </c>
      <c r="B142" s="1522" t="str">
        <f>F!B260</f>
        <v>Upland Perennial Cover - % of Perimeter (PerimPctPer)</v>
      </c>
      <c r="C142" s="1297" t="str">
        <f>F!C260</f>
        <v xml:space="preserve">The percentage of the AA's edge (perimeter) that is comprised of a band of upland perennial cover wider than 10 ft and taller than 6 inches, during most of the growing season is:  </v>
      </c>
      <c r="D142" s="549"/>
      <c r="E142" s="210"/>
      <c r="F142" s="1287"/>
      <c r="G142" s="1298">
        <f>MAX(F143:F148)/MAX(E143:E148)</f>
        <v>0</v>
      </c>
      <c r="H142" s="1522" t="s">
        <v>1541</v>
      </c>
      <c r="I142" s="11"/>
    </row>
    <row r="143" spans="1:42" ht="16.2" customHeight="1" x14ac:dyDescent="0.25">
      <c r="A143" s="1829"/>
      <c r="B143" s="1521"/>
      <c r="C143" s="216" t="str">
        <f>F!C261</f>
        <v>&lt;5%.</v>
      </c>
      <c r="D143" s="44">
        <f>F!D261</f>
        <v>0</v>
      </c>
      <c r="E143" s="49">
        <v>5</v>
      </c>
      <c r="F143" s="843">
        <f t="shared" ref="F143:F148" si="6">D143*E143</f>
        <v>0</v>
      </c>
      <c r="G143" s="59"/>
      <c r="H143" s="1521"/>
      <c r="I143" s="11"/>
    </row>
    <row r="144" spans="1:42" ht="16.2" customHeight="1" x14ac:dyDescent="0.25">
      <c r="A144" s="1829"/>
      <c r="B144" s="1521"/>
      <c r="C144" s="216" t="str">
        <f>F!C262</f>
        <v>5 to &lt;25%.</v>
      </c>
      <c r="D144" s="44">
        <f>F!D262</f>
        <v>0</v>
      </c>
      <c r="E144" s="49">
        <v>4</v>
      </c>
      <c r="F144" s="843">
        <f t="shared" si="6"/>
        <v>0</v>
      </c>
      <c r="G144" s="59"/>
      <c r="H144" s="1521"/>
      <c r="I144" s="11"/>
    </row>
    <row r="145" spans="1:9" ht="16.2" customHeight="1" x14ac:dyDescent="0.25">
      <c r="A145" s="1829"/>
      <c r="B145" s="1521"/>
      <c r="C145" s="216" t="str">
        <f>F!C263</f>
        <v>25 to &lt;50%.</v>
      </c>
      <c r="D145" s="44">
        <f>F!D263</f>
        <v>0</v>
      </c>
      <c r="E145" s="49">
        <v>3</v>
      </c>
      <c r="F145" s="843">
        <f t="shared" si="6"/>
        <v>0</v>
      </c>
      <c r="G145" s="59"/>
      <c r="H145" s="1521"/>
      <c r="I145" s="11"/>
    </row>
    <row r="146" spans="1:9" ht="16.2" customHeight="1" x14ac:dyDescent="0.25">
      <c r="A146" s="1829"/>
      <c r="B146" s="1521"/>
      <c r="C146" s="216" t="str">
        <f>F!C264</f>
        <v>50 to &lt;75%.</v>
      </c>
      <c r="D146" s="44">
        <f>F!D264</f>
        <v>0</v>
      </c>
      <c r="E146" s="49">
        <v>2</v>
      </c>
      <c r="F146" s="843">
        <f t="shared" si="6"/>
        <v>0</v>
      </c>
      <c r="G146" s="59"/>
      <c r="H146" s="1521"/>
      <c r="I146" s="11"/>
    </row>
    <row r="147" spans="1:9" ht="16.2" customHeight="1" x14ac:dyDescent="0.25">
      <c r="A147" s="1829"/>
      <c r="B147" s="1521"/>
      <c r="C147" s="216" t="str">
        <f>F!C265</f>
        <v>75 to 95%.</v>
      </c>
      <c r="D147" s="44">
        <f>F!D265</f>
        <v>0</v>
      </c>
      <c r="E147" s="49">
        <v>1</v>
      </c>
      <c r="F147" s="843">
        <f t="shared" si="6"/>
        <v>0</v>
      </c>
      <c r="G147" s="59"/>
      <c r="H147" s="1521"/>
      <c r="I147" s="11"/>
    </row>
    <row r="148" spans="1:9" ht="16.2" customHeight="1" thickBot="1" x14ac:dyDescent="0.3">
      <c r="A148" s="1830"/>
      <c r="B148" s="1523"/>
      <c r="C148" s="212" t="str">
        <f>F!C266</f>
        <v>&gt;95%.</v>
      </c>
      <c r="D148" s="213">
        <f>F!D266</f>
        <v>0</v>
      </c>
      <c r="E148" s="193">
        <v>0</v>
      </c>
      <c r="F148" s="1299">
        <f t="shared" si="6"/>
        <v>0</v>
      </c>
      <c r="G148" s="243"/>
      <c r="H148" s="1523"/>
      <c r="I148" s="11"/>
    </row>
    <row r="149" spans="1:9" ht="21" customHeight="1" thickBot="1" x14ac:dyDescent="0.3">
      <c r="A149" s="11"/>
      <c r="B149" s="11"/>
      <c r="C149" s="2"/>
      <c r="D149" s="79"/>
      <c r="E149" s="14"/>
      <c r="F149" s="1018"/>
      <c r="G149" s="15"/>
      <c r="H149" s="712"/>
    </row>
    <row r="150" spans="1:9" ht="21" customHeight="1" x14ac:dyDescent="0.25">
      <c r="A150" s="11"/>
      <c r="B150" s="11"/>
      <c r="C150" s="1834" t="s">
        <v>610</v>
      </c>
      <c r="D150" s="1847" t="s">
        <v>170</v>
      </c>
      <c r="E150" s="1847"/>
      <c r="F150" s="1847"/>
      <c r="G150" s="1302">
        <f>IFERROR(AVERAGE(Forb16,(AVERAGE(Gcover16, Invas16, HerbDom16))),"")</f>
        <v>0</v>
      </c>
      <c r="H150" s="267" t="s">
        <v>2005</v>
      </c>
    </row>
    <row r="151" spans="1:9" ht="30" customHeight="1" x14ac:dyDescent="0.25">
      <c r="A151" s="11"/>
      <c r="B151" s="11"/>
      <c r="C151" s="1962"/>
      <c r="D151" s="1846" t="s">
        <v>171</v>
      </c>
      <c r="E151" s="1846"/>
      <c r="F151" s="1846"/>
      <c r="G151" s="275">
        <f>(AVERAGE(BuffWidth16,PerimPctPer16,SizePerenn16,DistPerCov16,PerCovPct16) + AVERAGE(OpenLpct16,DistOpenL16)) /2</f>
        <v>0</v>
      </c>
      <c r="H151" s="268" t="s">
        <v>2153</v>
      </c>
    </row>
    <row r="152" spans="1:9" ht="21" customHeight="1" thickBot="1" x14ac:dyDescent="0.3">
      <c r="A152" s="11"/>
      <c r="B152" s="11"/>
      <c r="C152" s="1962"/>
      <c r="D152" s="2105" t="s">
        <v>162</v>
      </c>
      <c r="E152" s="2105"/>
      <c r="F152" s="2105"/>
      <c r="G152" s="1198">
        <f>AVERAGE(TreeDiams16,Snags16, WoodDown16, Girreg16, Cliff16)</f>
        <v>0</v>
      </c>
      <c r="H152" s="1300" t="s">
        <v>1519</v>
      </c>
    </row>
    <row r="153" spans="1:9" ht="21" customHeight="1" thickBot="1" x14ac:dyDescent="0.3">
      <c r="A153" s="11"/>
      <c r="B153" s="11"/>
      <c r="C153" s="2037"/>
      <c r="D153" s="2072" t="s">
        <v>614</v>
      </c>
      <c r="E153" s="2100"/>
      <c r="F153" s="2101"/>
      <c r="G153" s="1199">
        <f>(2*AVERAGE(ForbT16,LowMarshT16,WidthHiT16) + AVERAGE(VegSpDomT16,CliffT16))/3</f>
        <v>0</v>
      </c>
      <c r="H153" s="1241" t="s">
        <v>1520</v>
      </c>
    </row>
    <row r="154" spans="1:9" ht="33" customHeight="1" thickBot="1" x14ac:dyDescent="0.3">
      <c r="A154" s="11"/>
      <c r="B154" s="11"/>
      <c r="C154" s="1807" t="s">
        <v>8</v>
      </c>
      <c r="D154" s="1808"/>
      <c r="E154" s="1809"/>
      <c r="F154" s="250" t="s">
        <v>6</v>
      </c>
      <c r="G154" s="901">
        <f>10*(IF((Tidal=1),TidalScorePOL, IF((AllPermWater=1),0,AVERAGE(PollenOn,PollenOff,NestSites))))</f>
        <v>0</v>
      </c>
      <c r="H154" s="233" t="s">
        <v>1553</v>
      </c>
    </row>
    <row r="155" spans="1:9" ht="33" customHeight="1" thickBot="1" x14ac:dyDescent="0.3">
      <c r="A155" s="11"/>
      <c r="B155" s="11"/>
      <c r="C155" s="1871" t="s">
        <v>85</v>
      </c>
      <c r="D155" s="1872"/>
      <c r="E155" s="1873"/>
      <c r="F155" s="250" t="s">
        <v>7</v>
      </c>
      <c r="G155" s="779">
        <f>10*(AVERAGE(UniqPatch16v, PerimPctPer16v,Zoning16v,RarePspp16v))</f>
        <v>0</v>
      </c>
      <c r="H155" s="233" t="s">
        <v>1521</v>
      </c>
    </row>
    <row r="156" spans="1:9" ht="21" customHeight="1" thickBot="1" x14ac:dyDescent="0.3"/>
    <row r="157" spans="1:9" ht="21" customHeight="1" thickBot="1" x14ac:dyDescent="0.3">
      <c r="H157" s="234" t="s">
        <v>859</v>
      </c>
    </row>
    <row r="158" spans="1:9" ht="42" customHeight="1" x14ac:dyDescent="0.25">
      <c r="G158" s="1301"/>
      <c r="H158" s="715" t="s">
        <v>1384</v>
      </c>
    </row>
    <row r="159" spans="1:9" ht="27" customHeight="1" x14ac:dyDescent="0.25">
      <c r="H159" s="716" t="s">
        <v>1385</v>
      </c>
    </row>
    <row r="160" spans="1:9" ht="42" customHeight="1" x14ac:dyDescent="0.25">
      <c r="H160" s="716" t="s">
        <v>1976</v>
      </c>
    </row>
    <row r="161" spans="8:8" ht="27" customHeight="1" x14ac:dyDescent="0.25">
      <c r="H161" s="716" t="s">
        <v>860</v>
      </c>
    </row>
    <row r="162" spans="8:8" ht="27" customHeight="1" x14ac:dyDescent="0.25">
      <c r="H162" s="716" t="s">
        <v>861</v>
      </c>
    </row>
    <row r="163" spans="8:8" ht="69" x14ac:dyDescent="0.25">
      <c r="H163" s="716" t="s">
        <v>862</v>
      </c>
    </row>
    <row r="164" spans="8:8" ht="27" customHeight="1" x14ac:dyDescent="0.25">
      <c r="H164" s="716" t="s">
        <v>1386</v>
      </c>
    </row>
    <row r="165" spans="8:8" ht="42" customHeight="1" x14ac:dyDescent="0.25">
      <c r="H165" s="716" t="s">
        <v>863</v>
      </c>
    </row>
    <row r="166" spans="8:8" ht="42" customHeight="1" x14ac:dyDescent="0.25">
      <c r="H166" s="716" t="s">
        <v>864</v>
      </c>
    </row>
    <row r="167" spans="8:8" ht="42" customHeight="1" x14ac:dyDescent="0.25">
      <c r="H167" s="716" t="s">
        <v>865</v>
      </c>
    </row>
    <row r="168" spans="8:8" ht="42" customHeight="1" x14ac:dyDescent="0.25">
      <c r="H168" s="716" t="s">
        <v>866</v>
      </c>
    </row>
    <row r="169" spans="8:8" ht="27" customHeight="1" x14ac:dyDescent="0.25">
      <c r="H169" s="716" t="s">
        <v>1387</v>
      </c>
    </row>
    <row r="170" spans="8:8" ht="42" customHeight="1" x14ac:dyDescent="0.25">
      <c r="H170" s="716" t="s">
        <v>867</v>
      </c>
    </row>
    <row r="171" spans="8:8" ht="42" customHeight="1" x14ac:dyDescent="0.25">
      <c r="H171" s="716" t="s">
        <v>868</v>
      </c>
    </row>
    <row r="172" spans="8:8" ht="42" customHeight="1" x14ac:dyDescent="0.25">
      <c r="H172" s="716" t="s">
        <v>1388</v>
      </c>
    </row>
    <row r="173" spans="8:8" ht="42" customHeight="1" x14ac:dyDescent="0.25">
      <c r="H173" s="723" t="s">
        <v>1389</v>
      </c>
    </row>
    <row r="174" spans="8:8" ht="27" customHeight="1" x14ac:dyDescent="0.25">
      <c r="H174" s="716" t="s">
        <v>869</v>
      </c>
    </row>
    <row r="175" spans="8:8" ht="42" thickBot="1" x14ac:dyDescent="0.3">
      <c r="H175" s="717" t="s">
        <v>1390</v>
      </c>
    </row>
    <row r="176" spans="8:8" x14ac:dyDescent="0.25">
      <c r="H176" s="2"/>
    </row>
  </sheetData>
  <sheetProtection password="C74A" sheet="1" objects="1" scenarios="1" formatCells="0" formatColumns="0" formatRows="0"/>
  <customSheetViews>
    <customSheetView guid="{B8E02330-2419-4DE6-AD01-7ACC7A5D18DD}" scale="70">
      <selection activeCell="C9" sqref="C9"/>
      <pageMargins left="0.75" right="0.75" top="1" bottom="1" header="0.5" footer="0.5"/>
      <pageSetup orientation="portrait" r:id="rId1"/>
      <headerFooter alignWithMargins="0"/>
    </customSheetView>
  </customSheetViews>
  <mergeCells count="82">
    <mergeCell ref="E1:H1"/>
    <mergeCell ref="A37:A42"/>
    <mergeCell ref="C154:E154"/>
    <mergeCell ref="C155:E155"/>
    <mergeCell ref="A142:A148"/>
    <mergeCell ref="H142:H148"/>
    <mergeCell ref="B142:B148"/>
    <mergeCell ref="A1:B1"/>
    <mergeCell ref="A49:A51"/>
    <mergeCell ref="A57:A65"/>
    <mergeCell ref="A43:A48"/>
    <mergeCell ref="B37:B42"/>
    <mergeCell ref="H3:H9"/>
    <mergeCell ref="A3:A9"/>
    <mergeCell ref="A10:A16"/>
    <mergeCell ref="A17:A24"/>
    <mergeCell ref="H25:H30"/>
    <mergeCell ref="H10:H16"/>
    <mergeCell ref="H17:H24"/>
    <mergeCell ref="H31:H36"/>
    <mergeCell ref="H37:H42"/>
    <mergeCell ref="D153:F153"/>
    <mergeCell ref="C150:C153"/>
    <mergeCell ref="H132:H136"/>
    <mergeCell ref="H127:H131"/>
    <mergeCell ref="D150:F150"/>
    <mergeCell ref="D152:F152"/>
    <mergeCell ref="D151:F151"/>
    <mergeCell ref="I132:I136"/>
    <mergeCell ref="H69:H71"/>
    <mergeCell ref="H52:H56"/>
    <mergeCell ref="H119:H124"/>
    <mergeCell ref="H137:H141"/>
    <mergeCell ref="H113:H118"/>
    <mergeCell ref="H79:H85"/>
    <mergeCell ref="H98:H105"/>
    <mergeCell ref="H106:H112"/>
    <mergeCell ref="A132:A136"/>
    <mergeCell ref="H43:H48"/>
    <mergeCell ref="A72:A78"/>
    <mergeCell ref="A92:A95"/>
    <mergeCell ref="A86:A91"/>
    <mergeCell ref="A69:A71"/>
    <mergeCell ref="A79:A85"/>
    <mergeCell ref="H49:H51"/>
    <mergeCell ref="H57:H65"/>
    <mergeCell ref="B43:B48"/>
    <mergeCell ref="A119:A124"/>
    <mergeCell ref="A98:A105"/>
    <mergeCell ref="A66:A68"/>
    <mergeCell ref="H92:H95"/>
    <mergeCell ref="A106:A112"/>
    <mergeCell ref="A113:A118"/>
    <mergeCell ref="A52:A56"/>
    <mergeCell ref="H86:H91"/>
    <mergeCell ref="H66:H68"/>
    <mergeCell ref="H72:H78"/>
    <mergeCell ref="B86:B91"/>
    <mergeCell ref="B31:B36"/>
    <mergeCell ref="B52:B56"/>
    <mergeCell ref="B49:B51"/>
    <mergeCell ref="B57:B65"/>
    <mergeCell ref="B119:B124"/>
    <mergeCell ref="B92:B95"/>
    <mergeCell ref="B98:B105"/>
    <mergeCell ref="B106:B112"/>
    <mergeCell ref="A137:A141"/>
    <mergeCell ref="B3:B9"/>
    <mergeCell ref="B10:B16"/>
    <mergeCell ref="B17:B24"/>
    <mergeCell ref="B25:B30"/>
    <mergeCell ref="A127:A131"/>
    <mergeCell ref="A25:A30"/>
    <mergeCell ref="A31:A36"/>
    <mergeCell ref="B66:B68"/>
    <mergeCell ref="B69:B71"/>
    <mergeCell ref="B72:B78"/>
    <mergeCell ref="B79:B85"/>
    <mergeCell ref="B113:B118"/>
    <mergeCell ref="B132:B136"/>
    <mergeCell ref="B127:B131"/>
    <mergeCell ref="B137:B141"/>
  </mergeCells>
  <phoneticPr fontId="3" type="noConversion"/>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dimension ref="A1:M359"/>
  <sheetViews>
    <sheetView zoomScaleNormal="100" workbookViewId="0">
      <selection activeCell="G307" sqref="G307:G314"/>
    </sheetView>
  </sheetViews>
  <sheetFormatPr defaultColWidth="9.33203125" defaultRowHeight="13.8" x14ac:dyDescent="0.25"/>
  <cols>
    <col min="1" max="1" width="5.77734375" style="31" customWidth="1"/>
    <col min="2" max="2" width="18.77734375" style="31" customWidth="1"/>
    <col min="3" max="3" width="75.77734375" style="29" customWidth="1"/>
    <col min="4" max="4" width="6.77734375" style="63" customWidth="1"/>
    <col min="5" max="5" width="7.77734375" style="63" customWidth="1"/>
    <col min="6" max="6" width="10" style="63" customWidth="1"/>
    <col min="7" max="7" width="12.33203125" style="30" customWidth="1"/>
    <col min="8" max="8" width="75.77734375" style="31" customWidth="1"/>
    <col min="9" max="9" width="17" style="29" customWidth="1"/>
    <col min="10" max="16384" width="9.33203125" style="29"/>
  </cols>
  <sheetData>
    <row r="1" spans="1:8" ht="81.75" customHeight="1" thickBot="1" x14ac:dyDescent="0.3">
      <c r="A1" s="1826" t="s">
        <v>588</v>
      </c>
      <c r="B1" s="1827"/>
      <c r="C1" s="151" t="s">
        <v>604</v>
      </c>
      <c r="D1" s="240" t="s">
        <v>1180</v>
      </c>
      <c r="E1" s="1910"/>
      <c r="F1" s="1910"/>
      <c r="G1" s="1910"/>
      <c r="H1" s="1910"/>
    </row>
    <row r="2" spans="1:8" s="361" customFormat="1" ht="45.75" customHeight="1" thickBot="1" x14ac:dyDescent="0.3">
      <c r="A2" s="786" t="s">
        <v>126</v>
      </c>
      <c r="B2" s="787" t="s">
        <v>1458</v>
      </c>
      <c r="C2" s="831" t="s">
        <v>1271</v>
      </c>
      <c r="D2" s="787" t="s">
        <v>115</v>
      </c>
      <c r="E2" s="789" t="s">
        <v>771</v>
      </c>
      <c r="F2" s="787" t="s">
        <v>1461</v>
      </c>
      <c r="G2" s="790" t="s">
        <v>1273</v>
      </c>
      <c r="H2" s="787" t="s">
        <v>772</v>
      </c>
    </row>
    <row r="3" spans="1:8" ht="30" customHeight="1" thickBot="1" x14ac:dyDescent="0.3">
      <c r="A3" s="1909" t="str">
        <f>OF!A4</f>
        <v>OF1</v>
      </c>
      <c r="B3" s="1818" t="str">
        <f>OF!B4</f>
        <v>Distance to Extensive Perennial Cover (DistPerCov)</v>
      </c>
      <c r="C3" s="4" t="str">
        <f>OF!C4</f>
        <v>The distance from the AA edge to the edge of the closest patch or corridor of perennial cover (see definition in column E) larger than 100 acres is:</v>
      </c>
      <c r="D3" s="1303"/>
      <c r="E3" s="45"/>
      <c r="F3" s="59"/>
      <c r="G3" s="791">
        <f>MAX(F4:F9)/MAX(E4:E9)</f>
        <v>0</v>
      </c>
      <c r="H3" s="1897" t="s">
        <v>1202</v>
      </c>
    </row>
    <row r="4" spans="1:8" ht="16.2" customHeight="1" x14ac:dyDescent="0.25">
      <c r="A4" s="1909"/>
      <c r="B4" s="1521"/>
      <c r="C4" s="236" t="str">
        <f>OF!C5</f>
        <v>&lt;100 ft.</v>
      </c>
      <c r="D4" s="1304">
        <f>OF!D5</f>
        <v>0</v>
      </c>
      <c r="E4" s="45">
        <v>10</v>
      </c>
      <c r="F4" s="45">
        <f t="shared" ref="F4:F9" si="0">D4*E4</f>
        <v>0</v>
      </c>
      <c r="G4" s="792"/>
      <c r="H4" s="1582"/>
    </row>
    <row r="5" spans="1:8" ht="16.2" customHeight="1" x14ac:dyDescent="0.25">
      <c r="A5" s="1909"/>
      <c r="B5" s="1521"/>
      <c r="C5" s="237" t="str">
        <f>OF!C6</f>
        <v>100 to &lt;300 ft.</v>
      </c>
      <c r="D5" s="1081">
        <f>OF!D6</f>
        <v>0</v>
      </c>
      <c r="E5" s="45">
        <v>8</v>
      </c>
      <c r="F5" s="45">
        <f t="shared" si="0"/>
        <v>0</v>
      </c>
      <c r="G5" s="792"/>
      <c r="H5" s="1582"/>
    </row>
    <row r="6" spans="1:8" ht="16.2" customHeight="1" x14ac:dyDescent="0.25">
      <c r="A6" s="1909"/>
      <c r="B6" s="1521"/>
      <c r="C6" s="237" t="str">
        <f>OF!C7</f>
        <v>300 to &lt;1000 ft.</v>
      </c>
      <c r="D6" s="1081">
        <f>OF!D7</f>
        <v>0</v>
      </c>
      <c r="E6" s="45">
        <v>5</v>
      </c>
      <c r="F6" s="45">
        <f t="shared" si="0"/>
        <v>0</v>
      </c>
      <c r="G6" s="793"/>
      <c r="H6" s="1582"/>
    </row>
    <row r="7" spans="1:8" ht="16.2" customHeight="1" x14ac:dyDescent="0.25">
      <c r="A7" s="1909"/>
      <c r="B7" s="1521"/>
      <c r="C7" s="237" t="str">
        <f>OF!C8</f>
        <v>1000 ft. to &lt;0.5 mile.</v>
      </c>
      <c r="D7" s="1081">
        <f>OF!D8</f>
        <v>0</v>
      </c>
      <c r="E7" s="45">
        <v>2</v>
      </c>
      <c r="F7" s="45">
        <f t="shared" si="0"/>
        <v>0</v>
      </c>
      <c r="G7" s="800"/>
      <c r="H7" s="1582"/>
    </row>
    <row r="8" spans="1:8" ht="16.2" customHeight="1" x14ac:dyDescent="0.25">
      <c r="A8" s="1909"/>
      <c r="B8" s="1521"/>
      <c r="C8" s="237" t="str">
        <f>OF!C9</f>
        <v>0.5 mile to 2 miles.</v>
      </c>
      <c r="D8" s="1081">
        <f>OF!D9</f>
        <v>0</v>
      </c>
      <c r="E8" s="45">
        <v>1</v>
      </c>
      <c r="F8" s="45">
        <f t="shared" si="0"/>
        <v>0</v>
      </c>
      <c r="G8" s="800"/>
      <c r="H8" s="1582"/>
    </row>
    <row r="9" spans="1:8" ht="16.2" customHeight="1" thickBot="1" x14ac:dyDescent="0.3">
      <c r="A9" s="1909"/>
      <c r="B9" s="1521"/>
      <c r="C9" s="1275" t="str">
        <f>OF!C10</f>
        <v>&gt; 2 miles.</v>
      </c>
      <c r="D9" s="1276">
        <f>OF!D10</f>
        <v>0</v>
      </c>
      <c r="E9" s="54">
        <v>0</v>
      </c>
      <c r="F9" s="54">
        <f t="shared" si="0"/>
        <v>0</v>
      </c>
      <c r="G9" s="800"/>
      <c r="H9" s="1582"/>
    </row>
    <row r="10" spans="1:8" ht="30" customHeight="1" thickBot="1" x14ac:dyDescent="0.3">
      <c r="A10" s="1799" t="str">
        <f>OF!A15</f>
        <v>OF3</v>
      </c>
      <c r="B10" s="1522" t="str">
        <f>OF!B15</f>
        <v>Distance to Ponded Water (DistPond)</v>
      </c>
      <c r="C10" s="4" t="str">
        <f>OF!C15</f>
        <v>The distance from the AA edge to the closest (but separate) body of nontidal fresh water (wetland, pond, or lake) that  is ponded all or most of the year is:</v>
      </c>
      <c r="D10" s="192"/>
      <c r="E10" s="192"/>
      <c r="F10" s="241"/>
      <c r="G10" s="791">
        <f>MAX(F11:F16)/MAX(E11:E16)</f>
        <v>0</v>
      </c>
      <c r="H10" s="1599" t="s">
        <v>430</v>
      </c>
    </row>
    <row r="11" spans="1:8" ht="16.2" customHeight="1" x14ac:dyDescent="0.25">
      <c r="A11" s="1800"/>
      <c r="B11" s="1521"/>
      <c r="C11" s="236" t="str">
        <f>OF!C16</f>
        <v>&lt;100 ft.</v>
      </c>
      <c r="D11" s="1304">
        <f>OF!D16</f>
        <v>0</v>
      </c>
      <c r="E11" s="45">
        <v>4</v>
      </c>
      <c r="F11" s="45">
        <f t="shared" ref="F11:F16" si="1">D11*E11</f>
        <v>0</v>
      </c>
      <c r="G11" s="792"/>
      <c r="H11" s="1582"/>
    </row>
    <row r="12" spans="1:8" ht="16.2" customHeight="1" x14ac:dyDescent="0.25">
      <c r="A12" s="1800"/>
      <c r="B12" s="1521"/>
      <c r="C12" s="237" t="str">
        <f>OF!C17</f>
        <v>100 to &lt;300 ft.</v>
      </c>
      <c r="D12" s="1081">
        <f>OF!D17</f>
        <v>0</v>
      </c>
      <c r="E12" s="45">
        <v>3</v>
      </c>
      <c r="F12" s="45">
        <f t="shared" si="1"/>
        <v>0</v>
      </c>
      <c r="G12" s="793"/>
      <c r="H12" s="1582"/>
    </row>
    <row r="13" spans="1:8" ht="16.2" customHeight="1" x14ac:dyDescent="0.25">
      <c r="A13" s="1800"/>
      <c r="B13" s="1521"/>
      <c r="C13" s="237" t="str">
        <f>OF!C18</f>
        <v>300 to &lt;1000 ft.</v>
      </c>
      <c r="D13" s="1081">
        <f>OF!D18</f>
        <v>0</v>
      </c>
      <c r="E13" s="45">
        <v>3</v>
      </c>
      <c r="F13" s="45">
        <f t="shared" si="1"/>
        <v>0</v>
      </c>
      <c r="G13" s="793"/>
      <c r="H13" s="1582"/>
    </row>
    <row r="14" spans="1:8" ht="16.2" customHeight="1" x14ac:dyDescent="0.25">
      <c r="A14" s="1800"/>
      <c r="B14" s="1521"/>
      <c r="C14" s="237" t="str">
        <f>OF!C19</f>
        <v>1000 ft. to &lt; 0.5 mile.</v>
      </c>
      <c r="D14" s="1081">
        <f>OF!D19</f>
        <v>0</v>
      </c>
      <c r="E14" s="45">
        <v>2</v>
      </c>
      <c r="F14" s="45">
        <f t="shared" si="1"/>
        <v>0</v>
      </c>
      <c r="G14" s="793"/>
      <c r="H14" s="1582"/>
    </row>
    <row r="15" spans="1:8" ht="16.2" customHeight="1" x14ac:dyDescent="0.25">
      <c r="A15" s="1800"/>
      <c r="B15" s="1521"/>
      <c r="C15" s="237" t="str">
        <f>OF!C20</f>
        <v>0.5 mile to 2 miles.</v>
      </c>
      <c r="D15" s="1081">
        <f>OF!D20</f>
        <v>0</v>
      </c>
      <c r="E15" s="45">
        <v>1</v>
      </c>
      <c r="F15" s="45">
        <f t="shared" si="1"/>
        <v>0</v>
      </c>
      <c r="G15" s="793"/>
      <c r="H15" s="1582"/>
    </row>
    <row r="16" spans="1:8" ht="16.2" customHeight="1" thickBot="1" x14ac:dyDescent="0.3">
      <c r="A16" s="1801"/>
      <c r="B16" s="1523"/>
      <c r="C16" s="212" t="str">
        <f>OF!C21</f>
        <v>&gt;2 miles.</v>
      </c>
      <c r="D16" s="213">
        <f>OF!D21</f>
        <v>0</v>
      </c>
      <c r="E16" s="193">
        <v>0</v>
      </c>
      <c r="F16" s="193">
        <f t="shared" si="1"/>
        <v>0</v>
      </c>
      <c r="G16" s="794"/>
      <c r="H16" s="1600"/>
    </row>
    <row r="17" spans="1:9" ht="30" customHeight="1" thickBot="1" x14ac:dyDescent="0.3">
      <c r="A17" s="1909" t="str">
        <f>OF!A33</f>
        <v>OF6</v>
      </c>
      <c r="B17" s="1521" t="str">
        <f>OF!B33</f>
        <v>Distance to Nearest Busy Road (DistRd)</v>
      </c>
      <c r="C17" s="114" t="str">
        <f>OF!C33</f>
        <v>The distance from the AA center to the nearest road with an average daytime traffic rate of at least 1 vehicle/ minute is:</v>
      </c>
      <c r="D17" s="192"/>
      <c r="E17" s="46"/>
      <c r="F17" s="825"/>
      <c r="G17" s="814">
        <f>MAX(F18:F23)/MAX(E18:E23)</f>
        <v>0</v>
      </c>
      <c r="H17" s="1582" t="s">
        <v>208</v>
      </c>
      <c r="I17" s="2"/>
    </row>
    <row r="18" spans="1:9" ht="16.2" customHeight="1" x14ac:dyDescent="0.25">
      <c r="A18" s="1909"/>
      <c r="B18" s="1521"/>
      <c r="C18" s="1305" t="str">
        <f>OF!C34</f>
        <v>&lt;100 ft.</v>
      </c>
      <c r="D18" s="1306">
        <f>OF!D34</f>
        <v>0</v>
      </c>
      <c r="E18" s="45">
        <v>0</v>
      </c>
      <c r="F18" s="45">
        <f t="shared" ref="F18:F23" si="2">D18*E18</f>
        <v>0</v>
      </c>
      <c r="G18" s="792"/>
      <c r="H18" s="1582"/>
    </row>
    <row r="19" spans="1:9" ht="16.2" customHeight="1" x14ac:dyDescent="0.25">
      <c r="A19" s="1909"/>
      <c r="B19" s="1521"/>
      <c r="C19" s="1307" t="str">
        <f>OF!C35</f>
        <v>100 to &lt;300 ft.</v>
      </c>
      <c r="D19" s="1276">
        <f>OF!D35</f>
        <v>0</v>
      </c>
      <c r="E19" s="45">
        <v>1</v>
      </c>
      <c r="F19" s="45">
        <f t="shared" si="2"/>
        <v>0</v>
      </c>
      <c r="G19" s="793"/>
      <c r="H19" s="1582"/>
    </row>
    <row r="20" spans="1:9" ht="16.2" customHeight="1" x14ac:dyDescent="0.25">
      <c r="A20" s="1909"/>
      <c r="B20" s="1521"/>
      <c r="C20" s="1307" t="str">
        <f>OF!C36</f>
        <v>300 to &lt; 0.5 mile.</v>
      </c>
      <c r="D20" s="1276">
        <f>OF!D36</f>
        <v>0</v>
      </c>
      <c r="E20" s="45">
        <v>3</v>
      </c>
      <c r="F20" s="45">
        <f t="shared" si="2"/>
        <v>0</v>
      </c>
      <c r="G20" s="793"/>
      <c r="H20" s="1582"/>
    </row>
    <row r="21" spans="1:9" ht="16.2" customHeight="1" x14ac:dyDescent="0.25">
      <c r="A21" s="1909"/>
      <c r="B21" s="1521"/>
      <c r="C21" s="1307" t="str">
        <f>OF!C37</f>
        <v>0.5 to &lt;1 miles.</v>
      </c>
      <c r="D21" s="1276">
        <f>OF!D37</f>
        <v>0</v>
      </c>
      <c r="E21" s="45">
        <v>4</v>
      </c>
      <c r="F21" s="45">
        <f t="shared" si="2"/>
        <v>0</v>
      </c>
      <c r="G21" s="793"/>
      <c r="H21" s="1582"/>
    </row>
    <row r="22" spans="1:9" ht="16.2" customHeight="1" x14ac:dyDescent="0.25">
      <c r="A22" s="1909"/>
      <c r="B22" s="1521"/>
      <c r="C22" s="1307" t="str">
        <f>OF!C38</f>
        <v>1 to 2 miles.</v>
      </c>
      <c r="D22" s="1276">
        <f>OF!D38</f>
        <v>0</v>
      </c>
      <c r="E22" s="45">
        <v>5</v>
      </c>
      <c r="F22" s="45">
        <f t="shared" si="2"/>
        <v>0</v>
      </c>
      <c r="G22" s="793"/>
      <c r="H22" s="1582"/>
    </row>
    <row r="23" spans="1:9" ht="16.2" customHeight="1" thickBot="1" x14ac:dyDescent="0.3">
      <c r="A23" s="1909"/>
      <c r="B23" s="1521"/>
      <c r="C23" s="1307" t="str">
        <f>OF!C39</f>
        <v>&gt;2 miles.</v>
      </c>
      <c r="D23" s="1276">
        <f>OF!D39</f>
        <v>0</v>
      </c>
      <c r="E23" s="54">
        <v>6</v>
      </c>
      <c r="F23" s="54">
        <f t="shared" si="2"/>
        <v>0</v>
      </c>
      <c r="G23" s="800"/>
      <c r="H23" s="1582"/>
    </row>
    <row r="24" spans="1:9" ht="30" customHeight="1" thickBot="1" x14ac:dyDescent="0.3">
      <c r="A24" s="1799" t="str">
        <f>OF!A40</f>
        <v>OF7</v>
      </c>
      <c r="B24" s="1522" t="str">
        <f>OF!B40</f>
        <v>Size of Largest Nearby Patch of Perennial Cover (SizePerenn)</v>
      </c>
      <c r="C24" s="114" t="str">
        <f>OF!C40</f>
        <v>Including the AA's vegetated area, the largest patch or corridor that is perennial cover and is contiguous with vegetation in the AA , occupies:</v>
      </c>
      <c r="D24" s="192"/>
      <c r="E24" s="192"/>
      <c r="F24" s="241"/>
      <c r="G24" s="791">
        <f>MAX(F25:F31)/MAX(E25:E31)</f>
        <v>0</v>
      </c>
      <c r="H24" s="1599" t="s">
        <v>202</v>
      </c>
    </row>
    <row r="25" spans="1:9" ht="16.2" customHeight="1" x14ac:dyDescent="0.25">
      <c r="A25" s="1800"/>
      <c r="B25" s="1521"/>
      <c r="C25" s="1305" t="str">
        <f>OF!C41</f>
        <v>&lt;.01 acre.</v>
      </c>
      <c r="D25" s="1306">
        <f>OF!D41</f>
        <v>0</v>
      </c>
      <c r="E25" s="45">
        <v>0</v>
      </c>
      <c r="F25" s="45">
        <f t="shared" ref="F25:F31" si="3">D25*E25</f>
        <v>0</v>
      </c>
      <c r="G25" s="792"/>
      <c r="H25" s="1582"/>
    </row>
    <row r="26" spans="1:9" ht="16.2" customHeight="1" x14ac:dyDescent="0.25">
      <c r="A26" s="1800"/>
      <c r="B26" s="1521"/>
      <c r="C26" s="1307" t="str">
        <f>OF!C42</f>
        <v>.01 to &lt; 1 acre.</v>
      </c>
      <c r="D26" s="1276">
        <f>OF!D42</f>
        <v>0</v>
      </c>
      <c r="E26" s="45">
        <v>1</v>
      </c>
      <c r="F26" s="45">
        <f t="shared" si="3"/>
        <v>0</v>
      </c>
      <c r="G26" s="793"/>
      <c r="H26" s="1582"/>
    </row>
    <row r="27" spans="1:9" ht="16.2" customHeight="1" x14ac:dyDescent="0.25">
      <c r="A27" s="1800"/>
      <c r="B27" s="1521"/>
      <c r="C27" s="1307" t="str">
        <f>OF!C43</f>
        <v>1 to &lt;10 acres.</v>
      </c>
      <c r="D27" s="1276">
        <f>OF!D43</f>
        <v>0</v>
      </c>
      <c r="E27" s="45">
        <v>3</v>
      </c>
      <c r="F27" s="45">
        <f t="shared" si="3"/>
        <v>0</v>
      </c>
      <c r="G27" s="793"/>
      <c r="H27" s="1582"/>
    </row>
    <row r="28" spans="1:9" ht="16.2" customHeight="1" x14ac:dyDescent="0.25">
      <c r="A28" s="1800"/>
      <c r="B28" s="1521"/>
      <c r="C28" s="1307" t="str">
        <f>OF!C44</f>
        <v>10 to &lt;100 acres.</v>
      </c>
      <c r="D28" s="1276">
        <f>OF!D44</f>
        <v>0</v>
      </c>
      <c r="E28" s="45">
        <v>4</v>
      </c>
      <c r="F28" s="45">
        <f t="shared" si="3"/>
        <v>0</v>
      </c>
      <c r="G28" s="793"/>
      <c r="H28" s="1582"/>
    </row>
    <row r="29" spans="1:9" ht="16.2" customHeight="1" x14ac:dyDescent="0.25">
      <c r="A29" s="1800"/>
      <c r="B29" s="1521"/>
      <c r="C29" s="1307" t="str">
        <f>OF!C45</f>
        <v>100 to &lt;1000 acres.</v>
      </c>
      <c r="D29" s="1276">
        <f>OF!D45</f>
        <v>0</v>
      </c>
      <c r="E29" s="45">
        <v>5</v>
      </c>
      <c r="F29" s="45">
        <f t="shared" si="3"/>
        <v>0</v>
      </c>
      <c r="G29" s="800"/>
      <c r="H29" s="1582"/>
    </row>
    <row r="30" spans="1:9" ht="16.2" customHeight="1" x14ac:dyDescent="0.25">
      <c r="A30" s="1800"/>
      <c r="B30" s="1521"/>
      <c r="C30" s="1307" t="str">
        <f>OF!C46</f>
        <v>1000 to 10,000 acres.</v>
      </c>
      <c r="D30" s="1276">
        <f>OF!D46</f>
        <v>0</v>
      </c>
      <c r="E30" s="45">
        <v>6</v>
      </c>
      <c r="F30" s="45">
        <f t="shared" si="3"/>
        <v>0</v>
      </c>
      <c r="G30" s="800"/>
      <c r="H30" s="1582"/>
    </row>
    <row r="31" spans="1:9" ht="16.2" customHeight="1" thickBot="1" x14ac:dyDescent="0.3">
      <c r="A31" s="1801"/>
      <c r="B31" s="1523"/>
      <c r="C31" s="1308" t="str">
        <f>OF!C47</f>
        <v>&gt;10,000 acres.</v>
      </c>
      <c r="D31" s="213">
        <f>OF!D47</f>
        <v>0</v>
      </c>
      <c r="E31" s="193">
        <v>7</v>
      </c>
      <c r="F31" s="193">
        <f t="shared" si="3"/>
        <v>0</v>
      </c>
      <c r="G31" s="794"/>
      <c r="H31" s="1600"/>
    </row>
    <row r="32" spans="1:9" ht="30" customHeight="1" thickBot="1" x14ac:dyDescent="0.3">
      <c r="A32" s="1909" t="str">
        <f>OF!A53</f>
        <v>OF9</v>
      </c>
      <c r="B32" s="1521" t="str">
        <f>OF!B53</f>
        <v>Perennial Cover Percentage (PerCovPct)</v>
      </c>
      <c r="C32" s="4" t="str">
        <f>OF!C53</f>
        <v>Within a 2-mile radius of the AA center, the percentage of land that has perennial cover is:</v>
      </c>
      <c r="D32" s="192"/>
      <c r="E32" s="46"/>
      <c r="F32" s="60"/>
      <c r="G32" s="814">
        <f>MAX(F33:F37)/MAX(E33:E37)</f>
        <v>0</v>
      </c>
      <c r="H32" s="1582" t="s">
        <v>201</v>
      </c>
    </row>
    <row r="33" spans="1:8" ht="16.2" customHeight="1" x14ac:dyDescent="0.25">
      <c r="A33" s="1909"/>
      <c r="B33" s="1521"/>
      <c r="C33" s="236" t="str">
        <f>OF!C54</f>
        <v>&lt;5% of the land.</v>
      </c>
      <c r="D33" s="1304">
        <f>OF!D54</f>
        <v>0</v>
      </c>
      <c r="E33" s="45">
        <v>0</v>
      </c>
      <c r="F33" s="45">
        <f>D33*E33</f>
        <v>0</v>
      </c>
      <c r="G33" s="792"/>
      <c r="H33" s="1582"/>
    </row>
    <row r="34" spans="1:8" ht="16.2" customHeight="1" x14ac:dyDescent="0.25">
      <c r="A34" s="1909"/>
      <c r="B34" s="1521"/>
      <c r="C34" s="237" t="str">
        <f>OF!C55</f>
        <v>5 to &lt;20% of the land.</v>
      </c>
      <c r="D34" s="1081">
        <f>OF!D55</f>
        <v>0</v>
      </c>
      <c r="E34" s="45">
        <v>1</v>
      </c>
      <c r="F34" s="45">
        <f>D34*E34</f>
        <v>0</v>
      </c>
      <c r="G34" s="793"/>
      <c r="H34" s="1582"/>
    </row>
    <row r="35" spans="1:8" ht="16.2" customHeight="1" x14ac:dyDescent="0.25">
      <c r="A35" s="1909"/>
      <c r="B35" s="1521"/>
      <c r="C35" s="237" t="str">
        <f>OF!C56</f>
        <v>20 to &lt;60% of the land.</v>
      </c>
      <c r="D35" s="1081">
        <f>OF!D56</f>
        <v>0</v>
      </c>
      <c r="E35" s="45">
        <v>2</v>
      </c>
      <c r="F35" s="45">
        <f>D35*E35</f>
        <v>0</v>
      </c>
      <c r="G35" s="793"/>
      <c r="H35" s="1582"/>
    </row>
    <row r="36" spans="1:8" ht="16.2" customHeight="1" x14ac:dyDescent="0.25">
      <c r="A36" s="1909"/>
      <c r="B36" s="1521"/>
      <c r="C36" s="237" t="str">
        <f>OF!C57</f>
        <v>60 to 90% of the land.</v>
      </c>
      <c r="D36" s="1081">
        <f>OF!D57</f>
        <v>0</v>
      </c>
      <c r="E36" s="45">
        <v>4</v>
      </c>
      <c r="F36" s="45">
        <f>D36*E36</f>
        <v>0</v>
      </c>
      <c r="G36" s="793"/>
      <c r="H36" s="1582"/>
    </row>
    <row r="37" spans="1:8" ht="16.2" customHeight="1" thickBot="1" x14ac:dyDescent="0.3">
      <c r="A37" s="1909"/>
      <c r="B37" s="1521"/>
      <c r="C37" s="1275" t="str">
        <f>OF!C58</f>
        <v>&gt;90% of the land.</v>
      </c>
      <c r="D37" s="1276">
        <f>OF!D58</f>
        <v>0</v>
      </c>
      <c r="E37" s="54">
        <v>6</v>
      </c>
      <c r="F37" s="54">
        <f>D37*E37</f>
        <v>0</v>
      </c>
      <c r="G37" s="800"/>
      <c r="H37" s="1582"/>
    </row>
    <row r="38" spans="1:8" ht="30" customHeight="1" thickBot="1" x14ac:dyDescent="0.3">
      <c r="A38" s="1799" t="str">
        <f>OF!A59</f>
        <v>OF10</v>
      </c>
      <c r="B38" s="1522" t="str">
        <f>OF!B59</f>
        <v>Forest Percentage (ForestPct)</v>
      </c>
      <c r="C38" s="4" t="str">
        <f>OF!C59</f>
        <v>Within a 2-mile radius of the AA center, the cumulative amount of forest (regardless of forest patch sizes, and including any in the AA) is:</v>
      </c>
      <c r="D38" s="192"/>
      <c r="E38" s="192"/>
      <c r="F38" s="1309"/>
      <c r="G38" s="791">
        <f>IF((HistOpenland=1),"",MAX(F39:F43)/MAX(E39:E43))</f>
        <v>0</v>
      </c>
      <c r="H38" s="1522" t="s">
        <v>739</v>
      </c>
    </row>
    <row r="39" spans="1:8" ht="16.2" customHeight="1" x14ac:dyDescent="0.25">
      <c r="A39" s="1800"/>
      <c r="B39" s="1521"/>
      <c r="C39" s="236" t="str">
        <f>OF!C60</f>
        <v>&lt;5% of the circle.</v>
      </c>
      <c r="D39" s="1304">
        <f>OF!D60</f>
        <v>0</v>
      </c>
      <c r="E39" s="843">
        <v>0</v>
      </c>
      <c r="F39" s="45">
        <f>D39*E39</f>
        <v>0</v>
      </c>
      <c r="G39" s="793"/>
      <c r="H39" s="1521"/>
    </row>
    <row r="40" spans="1:8" ht="16.2" customHeight="1" x14ac:dyDescent="0.25">
      <c r="A40" s="1800"/>
      <c r="B40" s="1521"/>
      <c r="C40" s="237" t="str">
        <f>OF!C61</f>
        <v>5 to &lt;20%.</v>
      </c>
      <c r="D40" s="1081">
        <f>OF!D61</f>
        <v>0</v>
      </c>
      <c r="E40" s="843">
        <v>1</v>
      </c>
      <c r="F40" s="45">
        <f>D40*E40</f>
        <v>0</v>
      </c>
      <c r="G40" s="793"/>
      <c r="H40" s="1521"/>
    </row>
    <row r="41" spans="1:8" ht="16.2" customHeight="1" x14ac:dyDescent="0.25">
      <c r="A41" s="1800"/>
      <c r="B41" s="1521"/>
      <c r="C41" s="237" t="str">
        <f>OF!C62</f>
        <v>20 to &lt;50%.</v>
      </c>
      <c r="D41" s="1081">
        <f>OF!D62</f>
        <v>0</v>
      </c>
      <c r="E41" s="843">
        <v>2</v>
      </c>
      <c r="F41" s="45">
        <f>D41*E41</f>
        <v>0</v>
      </c>
      <c r="G41" s="793"/>
      <c r="H41" s="1521"/>
    </row>
    <row r="42" spans="1:8" ht="16.2" customHeight="1" x14ac:dyDescent="0.25">
      <c r="A42" s="1800"/>
      <c r="B42" s="1521"/>
      <c r="C42" s="237" t="str">
        <f>OF!C63</f>
        <v>50 to 80%.</v>
      </c>
      <c r="D42" s="1081">
        <f>OF!D63</f>
        <v>0</v>
      </c>
      <c r="E42" s="843">
        <v>3</v>
      </c>
      <c r="F42" s="45">
        <f>D42*E42</f>
        <v>0</v>
      </c>
      <c r="G42" s="793"/>
      <c r="H42" s="1521"/>
    </row>
    <row r="43" spans="1:8" ht="16.2" customHeight="1" thickBot="1" x14ac:dyDescent="0.3">
      <c r="A43" s="1801"/>
      <c r="B43" s="1523"/>
      <c r="C43" s="212" t="str">
        <f>OF!C64</f>
        <v>&gt;80%.</v>
      </c>
      <c r="D43" s="213">
        <f>OF!D64</f>
        <v>0</v>
      </c>
      <c r="E43" s="845">
        <v>6</v>
      </c>
      <c r="F43" s="193">
        <f>D43*E43</f>
        <v>0</v>
      </c>
      <c r="G43" s="794"/>
      <c r="H43" s="1523"/>
    </row>
    <row r="44" spans="1:8" ht="21" customHeight="1" thickBot="1" x14ac:dyDescent="0.3">
      <c r="A44" s="1909" t="str">
        <f>OF!A71</f>
        <v>OF12</v>
      </c>
      <c r="B44" s="1521" t="str">
        <f>OF!B71</f>
        <v>Landscape Wetland Connectivity (ConnScapeW)</v>
      </c>
      <c r="C44" s="4" t="str">
        <f>OF!C71</f>
        <v xml:space="preserve">Within a 2-mile radius of the AA center: </v>
      </c>
      <c r="D44" s="192"/>
      <c r="E44" s="46"/>
      <c r="F44" s="885"/>
      <c r="G44" s="814">
        <f>MAX(F45:F48)/MAX(E45:E48)</f>
        <v>0</v>
      </c>
      <c r="H44" s="1521" t="s">
        <v>714</v>
      </c>
    </row>
    <row r="45" spans="1:8" ht="16.2" customHeight="1" x14ac:dyDescent="0.25">
      <c r="A45" s="1909"/>
      <c r="B45" s="1521"/>
      <c r="C45" s="393" t="str">
        <f>OF!C72</f>
        <v>There are NO other wetlands.</v>
      </c>
      <c r="D45" s="1306">
        <f>OF!D72</f>
        <v>0</v>
      </c>
      <c r="E45" s="45">
        <v>0</v>
      </c>
      <c r="F45" s="45">
        <f t="shared" ref="F45:F53" si="4">D45*E45</f>
        <v>0</v>
      </c>
      <c r="G45" s="793"/>
      <c r="H45" s="1521"/>
    </row>
    <row r="46" spans="1:8" ht="42" customHeight="1" x14ac:dyDescent="0.25">
      <c r="A46" s="1909"/>
      <c r="B46" s="1521"/>
      <c r="C46" s="1275" t="str">
        <f>OF!C73</f>
        <v>There are other wetlands (or a wetland), but NONE are connected to the AA by a corridor of perennial vegetation.  The corridor must be at least 150 ft wide along its entire length and not interrupted by roads with regular traffic.</v>
      </c>
      <c r="D46" s="1276">
        <f>OF!D73</f>
        <v>0</v>
      </c>
      <c r="E46" s="45">
        <v>1</v>
      </c>
      <c r="F46" s="45">
        <f t="shared" si="4"/>
        <v>0</v>
      </c>
      <c r="G46" s="793"/>
      <c r="H46" s="1521"/>
    </row>
    <row r="47" spans="1:8" ht="27" customHeight="1" x14ac:dyDescent="0.25">
      <c r="A47" s="1909"/>
      <c r="B47" s="1521"/>
      <c r="C47" s="1275" t="str">
        <f>OF!C74</f>
        <v>There are other wetlands (or a wetland), and ALL are connected to the AA by the type of corridor described.</v>
      </c>
      <c r="D47" s="1276">
        <f>OF!D74</f>
        <v>0</v>
      </c>
      <c r="E47" s="45">
        <v>3</v>
      </c>
      <c r="F47" s="45">
        <f t="shared" si="4"/>
        <v>0</v>
      </c>
      <c r="G47" s="793"/>
      <c r="H47" s="1521"/>
    </row>
    <row r="48" spans="1:8" ht="27" customHeight="1" thickBot="1" x14ac:dyDescent="0.3">
      <c r="A48" s="1909"/>
      <c r="B48" s="1521"/>
      <c r="C48" s="1275" t="str">
        <f>OF!C75</f>
        <v>There are other wetlands (or a wetland), and ONE or MORE (but not all) are connected to the AA by the type of corridor described.</v>
      </c>
      <c r="D48" s="1276">
        <f>OF!D75</f>
        <v>0</v>
      </c>
      <c r="E48" s="54">
        <v>2</v>
      </c>
      <c r="F48" s="54">
        <f t="shared" si="4"/>
        <v>0</v>
      </c>
      <c r="G48" s="800"/>
      <c r="H48" s="1521"/>
    </row>
    <row r="49" spans="1:9" ht="21" customHeight="1" thickBot="1" x14ac:dyDescent="0.3">
      <c r="A49" s="1799" t="str">
        <f>OF!A76</f>
        <v>OF13</v>
      </c>
      <c r="B49" s="1522" t="str">
        <f>OF!B76</f>
        <v>Local Wetland Connectivity (ConnLocalW)</v>
      </c>
      <c r="C49" s="4" t="str">
        <f>OF!C76</f>
        <v>Within a 0.5 mile radius of the AA center:</v>
      </c>
      <c r="D49" s="192"/>
      <c r="E49" s="192"/>
      <c r="F49" s="1309"/>
      <c r="G49" s="791">
        <f>MAX(F50:F53)/MAX(E50:E53)</f>
        <v>0</v>
      </c>
      <c r="H49" s="1522" t="s">
        <v>713</v>
      </c>
    </row>
    <row r="50" spans="1:9" ht="16.2" customHeight="1" x14ac:dyDescent="0.25">
      <c r="A50" s="1800"/>
      <c r="B50" s="1521"/>
      <c r="C50" s="393" t="str">
        <f>OF!C77</f>
        <v>There are NO other wetlands.</v>
      </c>
      <c r="D50" s="1306">
        <f>OF!D77</f>
        <v>0</v>
      </c>
      <c r="E50" s="45">
        <v>0</v>
      </c>
      <c r="F50" s="45">
        <f t="shared" si="4"/>
        <v>0</v>
      </c>
      <c r="G50" s="793"/>
      <c r="H50" s="1521"/>
    </row>
    <row r="51" spans="1:9" ht="42" customHeight="1" x14ac:dyDescent="0.25">
      <c r="A51" s="1800"/>
      <c r="B51" s="1521"/>
      <c r="C51" s="1275" t="str">
        <f>OF!C78</f>
        <v>There are other wetlands (or a wetland), but NONE are connected to the AA by a corridor of perennial vegetation.  The corridor must be at least 150 ft wide along its entire length and not interrupted by roads with regular traffic.</v>
      </c>
      <c r="D51" s="1276">
        <f>OF!D78</f>
        <v>0</v>
      </c>
      <c r="E51" s="45">
        <v>1</v>
      </c>
      <c r="F51" s="45"/>
      <c r="G51" s="793"/>
      <c r="H51" s="1521"/>
    </row>
    <row r="52" spans="1:9" ht="30.75" customHeight="1" x14ac:dyDescent="0.25">
      <c r="A52" s="1800"/>
      <c r="B52" s="1521"/>
      <c r="C52" s="1275" t="str">
        <f>OF!C79</f>
        <v>There are other wetlands (or a wetland), and ALL are connected to the AA by the type of corridor described.</v>
      </c>
      <c r="D52" s="1276">
        <f>OF!D79</f>
        <v>0</v>
      </c>
      <c r="E52" s="45">
        <v>3</v>
      </c>
      <c r="F52" s="45">
        <f t="shared" si="4"/>
        <v>0</v>
      </c>
      <c r="G52" s="793"/>
      <c r="H52" s="1521"/>
    </row>
    <row r="53" spans="1:9" ht="27" customHeight="1" thickBot="1" x14ac:dyDescent="0.3">
      <c r="A53" s="1801"/>
      <c r="B53" s="1523"/>
      <c r="C53" s="212" t="str">
        <f>OF!C80</f>
        <v>There are other wetlands (or a wetland), and ONE or MORE (but not all) are connected to the AA by the type of corridor described.</v>
      </c>
      <c r="D53" s="213">
        <f>OF!D80</f>
        <v>0</v>
      </c>
      <c r="E53" s="193">
        <v>2</v>
      </c>
      <c r="F53" s="193">
        <f t="shared" si="4"/>
        <v>0</v>
      </c>
      <c r="G53" s="794"/>
      <c r="H53" s="1523"/>
    </row>
    <row r="54" spans="1:9" ht="60" customHeight="1" thickBot="1" x14ac:dyDescent="0.3">
      <c r="A54" s="1799" t="str">
        <f>OF!A81</f>
        <v>OF14</v>
      </c>
      <c r="B54" s="1522" t="str">
        <f>OF!B81</f>
        <v>Wetland Number &amp; Diversity Uniqueness (HUCbest)</v>
      </c>
      <c r="C54" s="114" t="str">
        <f>OF!C81</f>
        <v>According to the ORWAP Report, this AA is located in one of the HUCs that are listed as having a large diversity, area, or number of wetlands relative to the area of the HUC.   Select All of the following that are true:</v>
      </c>
      <c r="D54" s="192"/>
      <c r="E54" s="192"/>
      <c r="F54" s="1309"/>
      <c r="G54" s="791">
        <f>IF((D59=1),"",MAX(F55:F58)/MAX(E55:E58))</f>
        <v>0</v>
      </c>
      <c r="H54" s="1522" t="s">
        <v>715</v>
      </c>
    </row>
    <row r="55" spans="1:9" ht="16.2" customHeight="1" x14ac:dyDescent="0.25">
      <c r="A55" s="1800"/>
      <c r="B55" s="1521"/>
      <c r="C55" s="1310" t="str">
        <f>OF!C82</f>
        <v xml:space="preserve">Yes, for the HUC8 watershed               
</v>
      </c>
      <c r="D55" s="1304">
        <f>OF!D82</f>
        <v>0</v>
      </c>
      <c r="E55" s="45">
        <v>3</v>
      </c>
      <c r="F55" s="45">
        <f>D55*E55</f>
        <v>0</v>
      </c>
      <c r="G55" s="793"/>
      <c r="H55" s="1521"/>
    </row>
    <row r="56" spans="1:9" ht="16.2" customHeight="1" x14ac:dyDescent="0.25">
      <c r="A56" s="1800"/>
      <c r="B56" s="1521"/>
      <c r="C56" s="1311" t="str">
        <f>OF!C83</f>
        <v xml:space="preserve">Yes, for the HUC10 watershed </v>
      </c>
      <c r="D56" s="1081">
        <f>OF!D83</f>
        <v>0</v>
      </c>
      <c r="E56" s="45">
        <v>2</v>
      </c>
      <c r="F56" s="45">
        <f>D56*E56</f>
        <v>0</v>
      </c>
      <c r="G56" s="793"/>
      <c r="H56" s="1521"/>
    </row>
    <row r="57" spans="1:9" ht="16.2" customHeight="1" x14ac:dyDescent="0.25">
      <c r="A57" s="1800"/>
      <c r="B57" s="1521"/>
      <c r="C57" s="1311" t="str">
        <f>OF!C84</f>
        <v xml:space="preserve">Yes, for the HUC12 watershed </v>
      </c>
      <c r="D57" s="1081">
        <f>OF!D84</f>
        <v>0</v>
      </c>
      <c r="E57" s="45">
        <v>1</v>
      </c>
      <c r="F57" s="45">
        <f>D57*E57</f>
        <v>0</v>
      </c>
      <c r="G57" s="793"/>
      <c r="H57" s="1521"/>
    </row>
    <row r="58" spans="1:9" ht="16.2" customHeight="1" x14ac:dyDescent="0.25">
      <c r="A58" s="1800"/>
      <c r="B58" s="1521"/>
      <c r="C58" s="1311" t="str">
        <f>OF!C85</f>
        <v>None of above.</v>
      </c>
      <c r="D58" s="1081">
        <f>OF!D85</f>
        <v>0</v>
      </c>
      <c r="E58" s="45">
        <v>0</v>
      </c>
      <c r="F58" s="45">
        <f>D58*E58</f>
        <v>0</v>
      </c>
      <c r="G58" s="793"/>
      <c r="H58" s="1521"/>
    </row>
    <row r="59" spans="1:9" ht="16.2" customHeight="1" thickBot="1" x14ac:dyDescent="0.3">
      <c r="A59" s="1800"/>
      <c r="B59" s="1521"/>
      <c r="C59" s="1307" t="str">
        <f>OF!C86</f>
        <v>Data are inadequate (NWI mapping not completed in HUC).</v>
      </c>
      <c r="D59" s="1276">
        <f>OF!D86</f>
        <v>0</v>
      </c>
      <c r="E59" s="54"/>
      <c r="F59" s="1312"/>
      <c r="G59" s="800"/>
      <c r="H59" s="1521"/>
    </row>
    <row r="60" spans="1:9" ht="18.600000000000001" customHeight="1" thickBot="1" x14ac:dyDescent="0.3">
      <c r="A60" s="1788" t="str">
        <f>OF!A216</f>
        <v>OF41</v>
      </c>
      <c r="B60" s="1522" t="str">
        <f>OF!B216</f>
        <v>Upland Edge Shape Complexity (EdgeShape)</v>
      </c>
      <c r="C60" s="1313" t="str">
        <f>OF!C216</f>
        <v>Most of the edge between the AA's wetland and upland is (select one):</v>
      </c>
      <c r="D60" s="192"/>
      <c r="E60" s="192"/>
      <c r="F60" s="1222"/>
      <c r="G60" s="791">
        <f>MAX(F61:F63)/MAX(E61:E63)</f>
        <v>0</v>
      </c>
      <c r="H60" s="1522" t="s">
        <v>1490</v>
      </c>
      <c r="I60" s="2"/>
    </row>
    <row r="61" spans="1:9" ht="27" customHeight="1" x14ac:dyDescent="0.25">
      <c r="A61" s="1789"/>
      <c r="B61" s="1521"/>
      <c r="C61" s="1310" t="str">
        <f>OF!C217</f>
        <v>Linear: a significant proportion of the wetland's upland edge is straight, as in wetlands bounded partly or wholly by dikes or roads, or the AA is entirely surrounded by water or other wetlands.</v>
      </c>
      <c r="D61" s="1304">
        <f>OF!D217</f>
        <v>0</v>
      </c>
      <c r="E61" s="45">
        <v>1</v>
      </c>
      <c r="F61" s="45">
        <f>D61*E61</f>
        <v>0</v>
      </c>
      <c r="G61" s="792"/>
      <c r="H61" s="1521"/>
    </row>
    <row r="62" spans="1:9" ht="27" customHeight="1" x14ac:dyDescent="0.25">
      <c r="A62" s="1789"/>
      <c r="B62" s="1521"/>
      <c r="C62" s="1311" t="str">
        <f>OF!C218</f>
        <v>Intermediate: Wetland's shape is (a) ovoid, or (b) mildly ragged edge, and/or (c) contains a lesser amount of artificially straight edge.</v>
      </c>
      <c r="D62" s="1081">
        <f>OF!D218</f>
        <v>0</v>
      </c>
      <c r="E62" s="45">
        <v>2</v>
      </c>
      <c r="F62" s="45">
        <f>D62*E62</f>
        <v>0</v>
      </c>
      <c r="G62" s="793"/>
      <c r="H62" s="1521"/>
    </row>
    <row r="63" spans="1:9" ht="27" customHeight="1" thickBot="1" x14ac:dyDescent="0.3">
      <c r="A63" s="1790"/>
      <c r="B63" s="1523"/>
      <c r="C63" s="1308" t="str">
        <f>OF!C219</f>
        <v>Convoluted: Wetland perimeter is many times longer than maximum width of the wetland, with many alcoves and indentations ("fingers").</v>
      </c>
      <c r="D63" s="213">
        <f>OF!D219</f>
        <v>0</v>
      </c>
      <c r="E63" s="193">
        <v>3</v>
      </c>
      <c r="F63" s="193">
        <f>D63*E63</f>
        <v>0</v>
      </c>
      <c r="G63" s="794"/>
      <c r="H63" s="1523"/>
    </row>
    <row r="64" spans="1:9" ht="30" customHeight="1" thickBot="1" x14ac:dyDescent="0.3">
      <c r="A64" s="1946" t="str">
        <f>OF!A225</f>
        <v>OF43</v>
      </c>
      <c r="B64" s="1691" t="str">
        <f>OF!B225</f>
        <v>Growing Degree Days (GDD)</v>
      </c>
      <c r="C64" s="1314" t="str">
        <f>OF!C225</f>
        <v xml:space="preserve">According to ORWAP Map Viewer's Growing Degree Days layer,  the long term normal Growing Degree Days category at the approximate location of the AA is: </v>
      </c>
      <c r="D64" s="192"/>
      <c r="E64" s="46"/>
      <c r="F64" s="46"/>
      <c r="G64" s="814">
        <f>MAX(F65:F71)/MAX(E65:E71)</f>
        <v>0</v>
      </c>
      <c r="H64" s="1521" t="s">
        <v>253</v>
      </c>
      <c r="I64" s="2"/>
    </row>
    <row r="65" spans="1:9" ht="16.2" customHeight="1" x14ac:dyDescent="0.25">
      <c r="A65" s="1946"/>
      <c r="B65" s="1691"/>
      <c r="C65" s="1315" t="str">
        <f>OF!C226</f>
        <v>&lt;256.</v>
      </c>
      <c r="D65" s="1316">
        <f>OF!D226</f>
        <v>0</v>
      </c>
      <c r="E65" s="45">
        <v>1</v>
      </c>
      <c r="F65" s="45">
        <f t="shared" ref="F65:F71" si="5">D65*E65</f>
        <v>0</v>
      </c>
      <c r="G65" s="59"/>
      <c r="H65" s="1521"/>
      <c r="I65" s="2"/>
    </row>
    <row r="66" spans="1:9" ht="16.2" customHeight="1" x14ac:dyDescent="0.25">
      <c r="A66" s="1946"/>
      <c r="B66" s="1691"/>
      <c r="C66" s="1317" t="str">
        <f>OF!C227</f>
        <v>256 - 1020.</v>
      </c>
      <c r="D66" s="1318">
        <f>OF!D227</f>
        <v>0</v>
      </c>
      <c r="E66" s="45">
        <v>2</v>
      </c>
      <c r="F66" s="45">
        <f t="shared" si="5"/>
        <v>0</v>
      </c>
      <c r="G66" s="59"/>
      <c r="H66" s="1521"/>
      <c r="I66" s="2"/>
    </row>
    <row r="67" spans="1:9" ht="16.2" customHeight="1" x14ac:dyDescent="0.25">
      <c r="A67" s="1946"/>
      <c r="B67" s="1691"/>
      <c r="C67" s="1317" t="str">
        <f>OF!C228</f>
        <v>1021-1785.</v>
      </c>
      <c r="D67" s="1318">
        <f>OF!D228</f>
        <v>0</v>
      </c>
      <c r="E67" s="45">
        <v>3</v>
      </c>
      <c r="F67" s="45">
        <f t="shared" si="5"/>
        <v>0</v>
      </c>
      <c r="G67" s="59"/>
      <c r="H67" s="1521"/>
      <c r="I67" s="2"/>
    </row>
    <row r="68" spans="1:9" ht="16.2" customHeight="1" x14ac:dyDescent="0.25">
      <c r="A68" s="1946"/>
      <c r="B68" s="1691"/>
      <c r="C68" s="1317" t="str">
        <f>OF!C229</f>
        <v>1786 - 2550.</v>
      </c>
      <c r="D68" s="1318">
        <f>OF!D229</f>
        <v>0</v>
      </c>
      <c r="E68" s="45">
        <v>4</v>
      </c>
      <c r="F68" s="45">
        <f t="shared" si="5"/>
        <v>0</v>
      </c>
      <c r="G68" s="59"/>
      <c r="H68" s="1521"/>
      <c r="I68" s="2"/>
    </row>
    <row r="69" spans="1:9" ht="16.2" customHeight="1" x14ac:dyDescent="0.25">
      <c r="A69" s="1946"/>
      <c r="B69" s="1691"/>
      <c r="C69" s="1317" t="str">
        <f>OF!C230</f>
        <v>2551 - 3315.</v>
      </c>
      <c r="D69" s="1318">
        <f>OF!D230</f>
        <v>0</v>
      </c>
      <c r="E69" s="45">
        <v>5</v>
      </c>
      <c r="F69" s="45">
        <f t="shared" si="5"/>
        <v>0</v>
      </c>
      <c r="G69" s="59"/>
      <c r="H69" s="1521"/>
      <c r="I69" s="2"/>
    </row>
    <row r="70" spans="1:9" ht="16.2" customHeight="1" x14ac:dyDescent="0.25">
      <c r="A70" s="1946"/>
      <c r="B70" s="1691"/>
      <c r="C70" s="1317" t="str">
        <f>OF!C231</f>
        <v>3316 - 4079.</v>
      </c>
      <c r="D70" s="1318">
        <f>OF!D231</f>
        <v>0</v>
      </c>
      <c r="E70" s="45">
        <v>6</v>
      </c>
      <c r="F70" s="45">
        <f t="shared" si="5"/>
        <v>0</v>
      </c>
      <c r="G70" s="59"/>
      <c r="H70" s="1521"/>
      <c r="I70" s="2"/>
    </row>
    <row r="71" spans="1:9" ht="16.2" customHeight="1" thickBot="1" x14ac:dyDescent="0.3">
      <c r="A71" s="2114"/>
      <c r="B71" s="1692"/>
      <c r="C71" s="1319" t="str">
        <f>OF!C232</f>
        <v>&gt; 4079.</v>
      </c>
      <c r="D71" s="1320">
        <f>OF!D232</f>
        <v>0</v>
      </c>
      <c r="E71" s="193">
        <v>7</v>
      </c>
      <c r="F71" s="193">
        <f t="shared" si="5"/>
        <v>0</v>
      </c>
      <c r="G71" s="243"/>
      <c r="H71" s="1523"/>
      <c r="I71" s="2"/>
    </row>
    <row r="72" spans="1:9" s="2" customFormat="1" ht="45" customHeight="1" thickBot="1" x14ac:dyDescent="0.3">
      <c r="A72" s="1803" t="str">
        <f>F!A28</f>
        <v>F7</v>
      </c>
      <c r="B72" s="1521" t="str">
        <f>F!B28</f>
        <v>Emergent Plants -- Area (EmArea)</v>
      </c>
      <c r="C72" s="114" t="str">
        <f>F!C28</f>
        <v>Consider just the area that has surface water for &gt;1 week during the growing season.  Herbaceous plants (not moss, not woody) whose foliage extends above a water surface in this area (i.e., emergents) cumulatively occupy an annual maximum of:</v>
      </c>
      <c r="D72" s="192"/>
      <c r="E72" s="65"/>
      <c r="F72" s="60"/>
      <c r="G72" s="799">
        <f>IF((NeverWater=1),"",MAX(F73:F78)/MAX(E73:E78))</f>
        <v>0</v>
      </c>
      <c r="H72" s="1521" t="s">
        <v>1655</v>
      </c>
    </row>
    <row r="73" spans="1:9" s="2" customFormat="1" ht="28.5" customHeight="1" x14ac:dyDescent="0.25">
      <c r="A73" s="1803"/>
      <c r="B73" s="1521"/>
      <c r="C73" s="1310" t="str">
        <f>F!C29</f>
        <v>&lt;0.01 acre (&lt; 400 sq.ft).  Enter 1 and SKIP TO F10, unless only part of a wetland is being assessed.</v>
      </c>
      <c r="D73" s="1304">
        <f>F!D29</f>
        <v>0</v>
      </c>
      <c r="E73" s="45">
        <v>0</v>
      </c>
      <c r="F73" s="59">
        <f t="shared" ref="F73:F78" si="6">D73*E73</f>
        <v>0</v>
      </c>
      <c r="G73" s="793"/>
      <c r="H73" s="1521"/>
    </row>
    <row r="74" spans="1:9" s="2" customFormat="1" ht="16.2" customHeight="1" x14ac:dyDescent="0.25">
      <c r="A74" s="1803"/>
      <c r="B74" s="1521"/>
      <c r="C74" s="1310" t="str">
        <f>F!C30</f>
        <v>0.01 to&lt; 0.10 acres (3,920 sq. ft).</v>
      </c>
      <c r="D74" s="1304">
        <f>F!D30</f>
        <v>0</v>
      </c>
      <c r="E74" s="45">
        <v>1</v>
      </c>
      <c r="F74" s="59">
        <f t="shared" si="6"/>
        <v>0</v>
      </c>
      <c r="G74" s="793"/>
      <c r="H74" s="1521"/>
    </row>
    <row r="75" spans="1:9" s="2" customFormat="1" ht="16.2" customHeight="1" x14ac:dyDescent="0.25">
      <c r="A75" s="1803"/>
      <c r="B75" s="1521"/>
      <c r="C75" s="1310" t="str">
        <f>F!C31</f>
        <v>0.10 to &lt;0.50 acres (21,340 sq. ft).</v>
      </c>
      <c r="D75" s="1304">
        <f>F!D31</f>
        <v>0</v>
      </c>
      <c r="E75" s="45">
        <v>2</v>
      </c>
      <c r="F75" s="59">
        <f t="shared" si="6"/>
        <v>0</v>
      </c>
      <c r="G75" s="793"/>
      <c r="H75" s="1521"/>
    </row>
    <row r="76" spans="1:9" s="2" customFormat="1" ht="16.2" customHeight="1" x14ac:dyDescent="0.25">
      <c r="A76" s="1803"/>
      <c r="B76" s="1521"/>
      <c r="C76" s="1310" t="str">
        <f>F!C32</f>
        <v>0.50 to &lt;5 acres.</v>
      </c>
      <c r="D76" s="1304">
        <f>F!D32</f>
        <v>0</v>
      </c>
      <c r="E76" s="45">
        <v>3</v>
      </c>
      <c r="F76" s="59">
        <f t="shared" si="6"/>
        <v>0</v>
      </c>
      <c r="G76" s="793"/>
      <c r="H76" s="1521"/>
    </row>
    <row r="77" spans="1:9" s="2" customFormat="1" ht="16.2" customHeight="1" x14ac:dyDescent="0.25">
      <c r="A77" s="1803"/>
      <c r="B77" s="1521"/>
      <c r="C77" s="1310" t="str">
        <f>F!C33</f>
        <v>5 to 50 acres.</v>
      </c>
      <c r="D77" s="1304">
        <f>F!D33</f>
        <v>0</v>
      </c>
      <c r="E77" s="45">
        <v>5</v>
      </c>
      <c r="F77" s="59">
        <f t="shared" si="6"/>
        <v>0</v>
      </c>
      <c r="G77" s="793"/>
      <c r="H77" s="1521"/>
    </row>
    <row r="78" spans="1:9" s="2" customFormat="1" ht="16.2" customHeight="1" thickBot="1" x14ac:dyDescent="0.3">
      <c r="A78" s="1803"/>
      <c r="B78" s="1521"/>
      <c r="C78" s="1305" t="str">
        <f>F!C34</f>
        <v>&gt;50 acres.</v>
      </c>
      <c r="D78" s="1306">
        <f>F!D34</f>
        <v>0</v>
      </c>
      <c r="E78" s="54">
        <v>7</v>
      </c>
      <c r="F78" s="58">
        <f t="shared" si="6"/>
        <v>0</v>
      </c>
      <c r="G78" s="800"/>
      <c r="H78" s="1521"/>
    </row>
    <row r="79" spans="1:9" s="2" customFormat="1" ht="21" customHeight="1" thickBot="1" x14ac:dyDescent="0.3">
      <c r="A79" s="1804" t="str">
        <f>F!A35</f>
        <v>F8</v>
      </c>
      <c r="B79" s="1522" t="str">
        <f>F!B35</f>
        <v>% Emergent Plants (EmPct)</v>
      </c>
      <c r="C79" s="114" t="str">
        <f>F!C35</f>
        <v>Emergent plants occupy an annual maximum of:</v>
      </c>
      <c r="D79" s="192"/>
      <c r="E79" s="210"/>
      <c r="F79" s="241"/>
      <c r="G79" s="804">
        <f>IF((NeverWater=1),"",IF((NoEm=1),"", MAX(F80:F84)/MAX(E80:E84)))</f>
        <v>0</v>
      </c>
      <c r="H79" s="1522" t="s">
        <v>1686</v>
      </c>
    </row>
    <row r="80" spans="1:9" s="2" customFormat="1" ht="16.2" customHeight="1" x14ac:dyDescent="0.25">
      <c r="A80" s="1805"/>
      <c r="B80" s="1521"/>
      <c r="C80" s="1310" t="str">
        <f>F!C36</f>
        <v>&lt;5% of the parts of the AA that are inundated for &gt;7 days at some time of the year.</v>
      </c>
      <c r="D80" s="1304">
        <f>F!D36</f>
        <v>0</v>
      </c>
      <c r="E80" s="49">
        <v>0</v>
      </c>
      <c r="F80" s="59">
        <f>D80*E80</f>
        <v>0</v>
      </c>
      <c r="G80" s="793"/>
      <c r="H80" s="1521"/>
    </row>
    <row r="81" spans="1:8" s="2" customFormat="1" ht="16.2" customHeight="1" x14ac:dyDescent="0.25">
      <c r="A81" s="1805"/>
      <c r="B81" s="1521"/>
      <c r="C81" s="1310" t="str">
        <f>F!C37</f>
        <v>5 to &lt;30% of the parts of the AA that are inundated for &gt;7 days at some time of the year.</v>
      </c>
      <c r="D81" s="1304">
        <f>F!D37</f>
        <v>0</v>
      </c>
      <c r="E81" s="49">
        <v>1</v>
      </c>
      <c r="F81" s="59">
        <f>D81*E81</f>
        <v>0</v>
      </c>
      <c r="G81" s="793"/>
      <c r="H81" s="1521"/>
    </row>
    <row r="82" spans="1:8" s="2" customFormat="1" ht="16.2" customHeight="1" x14ac:dyDescent="0.25">
      <c r="A82" s="1805"/>
      <c r="B82" s="1521"/>
      <c r="C82" s="1310" t="str">
        <f>F!C38</f>
        <v>30 to &lt;60% of the parts of the AA that are inundated for &gt;7 days at some time of the year.</v>
      </c>
      <c r="D82" s="1304">
        <f>F!D38</f>
        <v>0</v>
      </c>
      <c r="E82" s="49">
        <v>2</v>
      </c>
      <c r="F82" s="59">
        <f>D82*E82</f>
        <v>0</v>
      </c>
      <c r="G82" s="793"/>
      <c r="H82" s="1521"/>
    </row>
    <row r="83" spans="1:8" s="2" customFormat="1" ht="16.2" customHeight="1" x14ac:dyDescent="0.25">
      <c r="A83" s="1805"/>
      <c r="B83" s="1521"/>
      <c r="C83" s="1310" t="str">
        <f>F!C39</f>
        <v>60 to 95% of the parts of the AA that are inundated for &gt;7 days at some time of the year.</v>
      </c>
      <c r="D83" s="1304">
        <f>F!D39</f>
        <v>0</v>
      </c>
      <c r="E83" s="49">
        <v>3</v>
      </c>
      <c r="F83" s="59">
        <f>D83*E83</f>
        <v>0</v>
      </c>
      <c r="G83" s="793"/>
      <c r="H83" s="1521"/>
    </row>
    <row r="84" spans="1:8" s="2" customFormat="1" ht="16.2" customHeight="1" thickBot="1" x14ac:dyDescent="0.3">
      <c r="A84" s="1806"/>
      <c r="B84" s="1523"/>
      <c r="C84" s="1194" t="str">
        <f>F!C40</f>
        <v>&gt;95% of the parts of the AA that are inundated for &gt;7 days at some time of the year.</v>
      </c>
      <c r="D84" s="1321">
        <f>F!D40</f>
        <v>0</v>
      </c>
      <c r="E84" s="245">
        <v>2</v>
      </c>
      <c r="F84" s="243">
        <f>D84*E84</f>
        <v>0</v>
      </c>
      <c r="G84" s="909"/>
      <c r="H84" s="1523"/>
    </row>
    <row r="85" spans="1:8" s="2" customFormat="1" ht="26.25" customHeight="1" thickBot="1" x14ac:dyDescent="0.3">
      <c r="A85" s="1840" t="str">
        <f>F!A41</f>
        <v>F9</v>
      </c>
      <c r="B85" s="1521" t="str">
        <f>F!B41</f>
        <v>Cattail or Tall Bulrush Cover (Cttail)</v>
      </c>
      <c r="C85" s="114" t="str">
        <f>F!C41</f>
        <v>The percentage of the emergent vegetation cover in the AA that is cattail (Typha spp.) or tall bulrush is:</v>
      </c>
      <c r="D85" s="192"/>
      <c r="E85" s="65"/>
      <c r="F85" s="60"/>
      <c r="G85" s="799">
        <f>IF((NeverWater=1),"", IF((NoEm=1),"",MAX(F86:F89)/MAX(E86:E89)))</f>
        <v>0</v>
      </c>
      <c r="H85" s="1521" t="s">
        <v>1687</v>
      </c>
    </row>
    <row r="86" spans="1:8" s="2" customFormat="1" ht="16.2" customHeight="1" x14ac:dyDescent="0.25">
      <c r="A86" s="1802"/>
      <c r="B86" s="1521"/>
      <c r="C86" s="1310" t="str">
        <f>F!C42</f>
        <v>&lt;1% of the emergent vegetation, or cattail and bulrush are absent.</v>
      </c>
      <c r="D86" s="1304">
        <f>F!D42</f>
        <v>0</v>
      </c>
      <c r="E86" s="49">
        <v>0</v>
      </c>
      <c r="F86" s="59">
        <f>D86*E86</f>
        <v>0</v>
      </c>
      <c r="G86" s="793"/>
      <c r="H86" s="1521"/>
    </row>
    <row r="87" spans="1:8" s="2" customFormat="1" ht="16.2" customHeight="1" x14ac:dyDescent="0.25">
      <c r="A87" s="1802"/>
      <c r="B87" s="1521"/>
      <c r="C87" s="1311" t="str">
        <f>F!C43</f>
        <v>1 to &lt;25% of the emergent vegetation.</v>
      </c>
      <c r="D87" s="1081">
        <f>F!D43</f>
        <v>0</v>
      </c>
      <c r="E87" s="49">
        <v>2</v>
      </c>
      <c r="F87" s="59">
        <f>D87*E87</f>
        <v>0</v>
      </c>
      <c r="G87" s="793"/>
      <c r="H87" s="1521"/>
    </row>
    <row r="88" spans="1:8" s="2" customFormat="1" ht="16.2" customHeight="1" x14ac:dyDescent="0.25">
      <c r="A88" s="1802"/>
      <c r="B88" s="1521"/>
      <c r="C88" s="1311" t="str">
        <f>F!C44</f>
        <v>25 to 75% of the emergent vegetation.</v>
      </c>
      <c r="D88" s="1081">
        <f>F!D44</f>
        <v>0</v>
      </c>
      <c r="E88" s="49">
        <v>3</v>
      </c>
      <c r="F88" s="59">
        <f>D88*E88</f>
        <v>0</v>
      </c>
      <c r="G88" s="793"/>
      <c r="H88" s="1521"/>
    </row>
    <row r="89" spans="1:8" s="2" customFormat="1" ht="16.2" customHeight="1" thickBot="1" x14ac:dyDescent="0.3">
      <c r="A89" s="1802"/>
      <c r="B89" s="1521"/>
      <c r="C89" s="1307" t="str">
        <f>F!C45</f>
        <v>&gt;75%, of the emergent vegetation.</v>
      </c>
      <c r="D89" s="1276">
        <f>F!D45</f>
        <v>0</v>
      </c>
      <c r="E89" s="67">
        <v>4</v>
      </c>
      <c r="F89" s="58">
        <f>D89*E89</f>
        <v>0</v>
      </c>
      <c r="G89" s="800"/>
      <c r="H89" s="1521"/>
    </row>
    <row r="90" spans="1:8" ht="45" customHeight="1" thickBot="1" x14ac:dyDescent="0.3">
      <c r="A90" s="1804" t="str">
        <f>F!A46</f>
        <v>F10</v>
      </c>
      <c r="B90" s="1522" t="str">
        <f>F!B46</f>
        <v>Water Shading by AA's Woody Vegetation - Driest  (WoodyDryShade)</v>
      </c>
      <c r="C90" s="114" t="str">
        <f>F!C46</f>
        <v>During an average growing season, when water levels are lowest (but surface water still occupies &gt;400 sq ft or &gt;1% of the AA), the percentage of the remaining surface water within the AA that is shaded by trees and/or shrubs located within the AA is:</v>
      </c>
      <c r="D90" s="192"/>
      <c r="E90" s="210"/>
      <c r="F90" s="241"/>
      <c r="G90" s="804">
        <f>IF((NeverWater+TempWet&gt;0),"",IF((TempWet=1),"",IF((HistOpenland=1),"",MAX(F91:F96)/MAX(E91:E96))))</f>
        <v>0</v>
      </c>
      <c r="H90" s="1522" t="s">
        <v>1656</v>
      </c>
    </row>
    <row r="91" spans="1:8" ht="16.2" customHeight="1" x14ac:dyDescent="0.25">
      <c r="A91" s="1805"/>
      <c r="B91" s="1521"/>
      <c r="C91" s="1310" t="str">
        <f>F!C47</f>
        <v>&lt;5% of the water, and fewer than 10 woody plants taller than 3 ft shade it, or all surface water is flowing.</v>
      </c>
      <c r="D91" s="1304">
        <f>F!D47</f>
        <v>0</v>
      </c>
      <c r="E91" s="49">
        <v>1</v>
      </c>
      <c r="F91" s="45">
        <f t="shared" ref="F91:F96" si="7">D91*E91</f>
        <v>0</v>
      </c>
      <c r="G91" s="793"/>
      <c r="H91" s="1521"/>
    </row>
    <row r="92" spans="1:8" ht="16.2" customHeight="1" x14ac:dyDescent="0.25">
      <c r="A92" s="1805"/>
      <c r="B92" s="1521"/>
      <c r="C92" s="1311" t="str">
        <f>F!C48</f>
        <v>&lt;5% of the water, but more than 10 woody plants taller than 3 ft shade it.</v>
      </c>
      <c r="D92" s="1081">
        <f>F!D48</f>
        <v>0</v>
      </c>
      <c r="E92" s="49">
        <v>2</v>
      </c>
      <c r="F92" s="45">
        <f t="shared" si="7"/>
        <v>0</v>
      </c>
      <c r="G92" s="793"/>
      <c r="H92" s="1521"/>
    </row>
    <row r="93" spans="1:8" ht="16.2" customHeight="1" x14ac:dyDescent="0.25">
      <c r="A93" s="1805"/>
      <c r="B93" s="1521"/>
      <c r="C93" s="1311" t="str">
        <f>F!C49</f>
        <v>5 to &lt;25% of the water.</v>
      </c>
      <c r="D93" s="1081">
        <f>F!D49</f>
        <v>0</v>
      </c>
      <c r="E93" s="49">
        <v>3</v>
      </c>
      <c r="F93" s="45">
        <f t="shared" si="7"/>
        <v>0</v>
      </c>
      <c r="G93" s="793"/>
      <c r="H93" s="1521"/>
    </row>
    <row r="94" spans="1:8" ht="16.2" customHeight="1" x14ac:dyDescent="0.25">
      <c r="A94" s="1805"/>
      <c r="B94" s="1521"/>
      <c r="C94" s="1311" t="str">
        <f>F!C50</f>
        <v>25 to &lt;50% of the water.</v>
      </c>
      <c r="D94" s="1081">
        <f>F!D50</f>
        <v>0</v>
      </c>
      <c r="E94" s="49">
        <v>4</v>
      </c>
      <c r="F94" s="45">
        <f t="shared" si="7"/>
        <v>0</v>
      </c>
      <c r="G94" s="793"/>
      <c r="H94" s="1521"/>
    </row>
    <row r="95" spans="1:8" ht="16.2" customHeight="1" x14ac:dyDescent="0.25">
      <c r="A95" s="1805"/>
      <c r="B95" s="1521"/>
      <c r="C95" s="1311" t="str">
        <f>F!C51</f>
        <v>50 to 95% of the water.</v>
      </c>
      <c r="D95" s="1081">
        <f>F!D51</f>
        <v>0</v>
      </c>
      <c r="E95" s="49">
        <v>5</v>
      </c>
      <c r="F95" s="45">
        <f t="shared" si="7"/>
        <v>0</v>
      </c>
      <c r="G95" s="793"/>
      <c r="H95" s="1521"/>
    </row>
    <row r="96" spans="1:8" ht="16.2" customHeight="1" thickBot="1" x14ac:dyDescent="0.3">
      <c r="A96" s="1806"/>
      <c r="B96" s="1523"/>
      <c r="C96" s="1308" t="str">
        <f>F!C52</f>
        <v>&gt;95% of the water.</v>
      </c>
      <c r="D96" s="213">
        <f>F!D52</f>
        <v>0</v>
      </c>
      <c r="E96" s="245">
        <v>6</v>
      </c>
      <c r="F96" s="193">
        <f t="shared" si="7"/>
        <v>0</v>
      </c>
      <c r="G96" s="794"/>
      <c r="H96" s="1523"/>
    </row>
    <row r="97" spans="1:9" ht="30" customHeight="1" thickBot="1" x14ac:dyDescent="0.3">
      <c r="A97" s="1804" t="str">
        <f>F!A71</f>
        <v>F14</v>
      </c>
      <c r="B97" s="1522" t="str">
        <f>F!B71</f>
        <v>Ponded Open Water Distribution - Wettest  (WaterMixWet)</v>
      </c>
      <c r="C97" s="4" t="str">
        <f>F!C71</f>
        <v>When water levels are highest, during a normal year, the distribution (in aerial view) of ponded open water patches larger than 0.01 acre (400 sq. ft) within the AA is:</v>
      </c>
      <c r="D97" s="192"/>
      <c r="E97" s="210"/>
      <c r="F97" s="241"/>
      <c r="G97" s="804">
        <f>IF((NeverWater+TempWet&gt;0),"",IF((NoPond=1),"",MAX(F98:F101)/MAX(E98:E101)))</f>
        <v>0</v>
      </c>
      <c r="H97" s="1522"/>
      <c r="I97" s="2"/>
    </row>
    <row r="98" spans="1:9" ht="57" customHeight="1" x14ac:dyDescent="0.25">
      <c r="A98" s="1805"/>
      <c r="B98" s="1521"/>
      <c r="C98" s="236" t="str">
        <f>F!C72</f>
        <v>(a) Vegetation and open water EACH comprise 30-70% of the AA (including its bordering waters if any) AND (b) There are many small patches of open water scattered widely within vegetation or many small vegetation clump "islands" scattered widely within open water. Typical (for example) of some extensive bulrush and cattail marshes.</v>
      </c>
      <c r="D98" s="1304">
        <f>F!D72</f>
        <v>0</v>
      </c>
      <c r="E98" s="49">
        <v>4</v>
      </c>
      <c r="F98" s="59">
        <f>D98*E98</f>
        <v>0</v>
      </c>
      <c r="G98" s="60"/>
      <c r="H98" s="1521"/>
      <c r="I98" s="2"/>
    </row>
    <row r="99" spans="1:9" ht="58.5" customHeight="1" x14ac:dyDescent="0.25">
      <c r="A99" s="1805"/>
      <c r="B99" s="1521"/>
      <c r="C99" s="237" t="str">
        <f>F!C73</f>
        <v xml:space="preserve">(a) Vegetation and open water EACH comprise 30-70% of the AA (including its bordering waters if any) AND (b) There are only a few (or no) small patches of open water scattered widely within vegetation or a few small vegetation clump "islands" scattered widely within open water.  </v>
      </c>
      <c r="D99" s="1081">
        <f>F!D73</f>
        <v>0</v>
      </c>
      <c r="E99" s="49">
        <v>3</v>
      </c>
      <c r="F99" s="59">
        <f>D99*E99</f>
        <v>0</v>
      </c>
      <c r="G99" s="60"/>
      <c r="H99" s="1521"/>
      <c r="I99" s="2"/>
    </row>
    <row r="100" spans="1:9" ht="42" customHeight="1" x14ac:dyDescent="0.25">
      <c r="A100" s="1805"/>
      <c r="B100" s="1521"/>
      <c r="C100" s="237" t="str">
        <f>F!C74</f>
        <v xml:space="preserve">(a) Vegetation OR open water comprise &gt;70% of the AA (and its bordering  waters) AND (b) There are several small patches of open water scattered within vegetation or several small vegetation clump "islands" scattered within open water. </v>
      </c>
      <c r="D100" s="1081">
        <f>F!D74</f>
        <v>0</v>
      </c>
      <c r="E100" s="49">
        <v>2</v>
      </c>
      <c r="F100" s="59">
        <f>D100*E100</f>
        <v>0</v>
      </c>
      <c r="G100" s="60"/>
      <c r="H100" s="1521"/>
      <c r="I100" s="2"/>
    </row>
    <row r="101" spans="1:9" ht="71.25" customHeight="1" thickBot="1" x14ac:dyDescent="0.3">
      <c r="A101" s="1806"/>
      <c r="B101" s="1523"/>
      <c r="C101" s="212" t="str">
        <f>F!C75</f>
        <v>(a) Vegetation OR open water comprise &gt;70% of the AA (and its bordering waters) AND (b) Open water is mostly in a single area (e.g., center of the wetland) and vegetation is in the rest (e.g., periphery), with almost no intermixing.  (Typical of many ponds excavated for livestock watering, stormwater treatment, mineral extraction as well as many wetlands that are inundated only temporarily each year).</v>
      </c>
      <c r="D101" s="213">
        <f>F!D75</f>
        <v>0</v>
      </c>
      <c r="E101" s="245">
        <v>1</v>
      </c>
      <c r="F101" s="243">
        <f>D101*E101</f>
        <v>0</v>
      </c>
      <c r="G101" s="1082"/>
      <c r="H101" s="1523"/>
      <c r="I101" s="2"/>
    </row>
    <row r="102" spans="1:9" ht="60" customHeight="1" thickBot="1" x14ac:dyDescent="0.3">
      <c r="A102" s="1803" t="str">
        <f>F!A76</f>
        <v>F15</v>
      </c>
      <c r="B102" s="1521" t="str">
        <f>F!B76</f>
        <v>Width of Vegetated Zone - Wettest  (WidthWet)</v>
      </c>
      <c r="C102" s="114" t="str">
        <f>F!C76</f>
        <v>When water levels are highest, during a normal year, the width of the vegetated wetland  that separates the largest patch of open water within or bordering the AA from the closest adjacent uplands, is predominantly: 
[Note: This is not asking for the maximum width.]</v>
      </c>
      <c r="D102" s="192"/>
      <c r="E102" s="65"/>
      <c r="F102" s="60"/>
      <c r="G102" s="799">
        <f>IF((NeverWater+TempWet&gt;0),"",MAX(F103:F108)/MAX(E103:E108))</f>
        <v>0</v>
      </c>
      <c r="H102" s="1521" t="s">
        <v>1709</v>
      </c>
      <c r="I102" s="2"/>
    </row>
    <row r="103" spans="1:9" ht="16.2" customHeight="1" x14ac:dyDescent="0.25">
      <c r="A103" s="2109"/>
      <c r="B103" s="1714"/>
      <c r="C103" s="1305" t="str">
        <f>F!C77</f>
        <v>&lt;5 ft, or no vegetation between upland and open water.</v>
      </c>
      <c r="D103" s="1306">
        <f>F!D77</f>
        <v>0</v>
      </c>
      <c r="E103" s="49">
        <v>0</v>
      </c>
      <c r="F103" s="45">
        <f t="shared" ref="F103:F108" si="8">D103*E103</f>
        <v>0</v>
      </c>
      <c r="G103" s="1252"/>
      <c r="H103" s="1521"/>
    </row>
    <row r="104" spans="1:9" ht="16.2" customHeight="1" x14ac:dyDescent="0.25">
      <c r="A104" s="2109"/>
      <c r="B104" s="1714"/>
      <c r="C104" s="1307" t="str">
        <f>F!C78</f>
        <v>5 to &lt;30 ft.</v>
      </c>
      <c r="D104" s="1276">
        <f>F!D78</f>
        <v>0</v>
      </c>
      <c r="E104" s="49">
        <v>2</v>
      </c>
      <c r="F104" s="45">
        <f t="shared" si="8"/>
        <v>0</v>
      </c>
      <c r="G104" s="793"/>
      <c r="H104" s="1521"/>
    </row>
    <row r="105" spans="1:9" ht="16.2" customHeight="1" x14ac:dyDescent="0.25">
      <c r="A105" s="2109"/>
      <c r="B105" s="1714"/>
      <c r="C105" s="1307" t="str">
        <f>F!C79</f>
        <v>30 to &lt;50 ft.</v>
      </c>
      <c r="D105" s="1276">
        <f>F!D79</f>
        <v>0</v>
      </c>
      <c r="E105" s="49">
        <v>4</v>
      </c>
      <c r="F105" s="45">
        <f t="shared" si="8"/>
        <v>0</v>
      </c>
      <c r="G105" s="793"/>
      <c r="H105" s="1521"/>
    </row>
    <row r="106" spans="1:9" ht="16.2" customHeight="1" x14ac:dyDescent="0.25">
      <c r="A106" s="2109"/>
      <c r="B106" s="1714"/>
      <c r="C106" s="1307" t="str">
        <f>F!C80</f>
        <v>50 to &lt;100 ft.</v>
      </c>
      <c r="D106" s="1276">
        <f>F!D80</f>
        <v>0</v>
      </c>
      <c r="E106" s="49">
        <v>6</v>
      </c>
      <c r="F106" s="45">
        <f t="shared" si="8"/>
        <v>0</v>
      </c>
      <c r="G106" s="793"/>
      <c r="H106" s="1521"/>
    </row>
    <row r="107" spans="1:9" ht="16.2" customHeight="1" x14ac:dyDescent="0.25">
      <c r="A107" s="2109"/>
      <c r="B107" s="1714"/>
      <c r="C107" s="1307" t="str">
        <f>F!C81</f>
        <v>100 to 300 ft.</v>
      </c>
      <c r="D107" s="1276">
        <f>F!D81</f>
        <v>0</v>
      </c>
      <c r="E107" s="49">
        <v>7</v>
      </c>
      <c r="F107" s="45">
        <f t="shared" si="8"/>
        <v>0</v>
      </c>
      <c r="G107" s="793"/>
      <c r="H107" s="1521"/>
    </row>
    <row r="108" spans="1:9" ht="16.2" customHeight="1" thickBot="1" x14ac:dyDescent="0.3">
      <c r="A108" s="2109"/>
      <c r="B108" s="1714"/>
      <c r="C108" s="1307" t="str">
        <f>F!C82</f>
        <v>&gt; 300 ft.</v>
      </c>
      <c r="D108" s="1276">
        <f>F!D82</f>
        <v>0</v>
      </c>
      <c r="E108" s="67">
        <v>8</v>
      </c>
      <c r="F108" s="58">
        <f t="shared" si="8"/>
        <v>0</v>
      </c>
      <c r="G108" s="806"/>
      <c r="H108" s="1521"/>
    </row>
    <row r="109" spans="1:9" s="96" customFormat="1" ht="21" customHeight="1" thickBot="1" x14ac:dyDescent="0.3">
      <c r="A109" s="1804" t="str">
        <f>F!A120</f>
        <v>F22</v>
      </c>
      <c r="B109" s="1522" t="str">
        <f>F!B120</f>
        <v>Beaver (Beaver)</v>
      </c>
      <c r="C109" s="4" t="str">
        <f>F!C120</f>
        <v>Use of the AA by beaver during the past 5 years is:  Select most applicable ONE.</v>
      </c>
      <c r="D109" s="192"/>
      <c r="E109" s="192"/>
      <c r="F109" s="241"/>
      <c r="G109" s="804">
        <f>IF((NeverWater+TempWet&gt;0),"",IF((NoPondOW2=1),"",MAX(F110:F114)/MAX(E110:E114)))</f>
        <v>0</v>
      </c>
      <c r="H109" s="1522" t="s">
        <v>1657</v>
      </c>
      <c r="I109" s="95"/>
    </row>
    <row r="110" spans="1:9" ht="18.75" customHeight="1" x14ac:dyDescent="0.25">
      <c r="A110" s="1805"/>
      <c r="B110" s="1521"/>
      <c r="C110" s="393" t="str">
        <f>F!C121</f>
        <v>Evident from direct observation or presence of gnawed limbs, dams, tracks, dens, or lodges.</v>
      </c>
      <c r="D110" s="1306">
        <f>F!D121</f>
        <v>0</v>
      </c>
      <c r="E110" s="46">
        <v>5</v>
      </c>
      <c r="F110" s="45">
        <f>D110*E110</f>
        <v>0</v>
      </c>
      <c r="G110" s="792"/>
      <c r="H110" s="1521"/>
    </row>
    <row r="111" spans="1:9" ht="69.75" customHeight="1" x14ac:dyDescent="0.25">
      <c r="A111" s="1805"/>
      <c r="B111" s="1521"/>
      <c r="C111" s="1275" t="str">
        <f>F!C122</f>
        <v>Very likely based on known occurrence in this part of the region and proximity to ALL of the following (a) a persistent freshwater wetland, pond, or lake, or a perennial low-gradient (&lt;5%) channel, and (b) average valley width is &gt; 150 ft and (c) &gt;20% cumulative cover of aspen, cottonwood, alder, and willow in vegetated areas within 150 ft of the AA's edge.  Or there is evidence of beaver just outside the AA.</v>
      </c>
      <c r="D111" s="1276">
        <f>F!D122</f>
        <v>0</v>
      </c>
      <c r="E111" s="46">
        <v>3</v>
      </c>
      <c r="F111" s="45">
        <f>D111*E111</f>
        <v>0</v>
      </c>
      <c r="G111" s="793"/>
      <c r="H111" s="1521"/>
    </row>
    <row r="112" spans="1:9" ht="57" customHeight="1" x14ac:dyDescent="0.25">
      <c r="A112" s="1805"/>
      <c r="B112" s="1521"/>
      <c r="C112" s="1275" t="str">
        <f>F!C123</f>
        <v>Somewhat likely based on known occurrence in this part of the region and proximity to ALL of the following (a) a persistent freshwater wetland, pond, or lake, or a perennial low or mid-gradient (&lt;10%) channel, and (b) average valley width is &gt;50 ft, and (c) &gt;20% cumulative cover of hardwood trees and shrubs in vegetated areas within 150 ft of the AA's edge.</v>
      </c>
      <c r="D112" s="1276">
        <f>F!D123</f>
        <v>0</v>
      </c>
      <c r="E112" s="46">
        <v>2</v>
      </c>
      <c r="F112" s="45">
        <f>D112*E112</f>
        <v>0</v>
      </c>
      <c r="G112" s="793"/>
      <c r="H112" s="1521"/>
    </row>
    <row r="113" spans="1:9" ht="27" customHeight="1" x14ac:dyDescent="0.25">
      <c r="A113" s="1805"/>
      <c r="B113" s="1521"/>
      <c r="C113" s="1275" t="str">
        <f>F!C124</f>
        <v>Unlikely because site characteristics above are deficient, and/or this is an area where beaver are routinely removed.  But beaver occur within 2 miles.</v>
      </c>
      <c r="D113" s="1276">
        <f>F!D124</f>
        <v>0</v>
      </c>
      <c r="E113" s="46">
        <v>1</v>
      </c>
      <c r="F113" s="45">
        <f>D113*E113</f>
        <v>0</v>
      </c>
      <c r="G113" s="793"/>
      <c r="H113" s="1521"/>
    </row>
    <row r="114" spans="1:9" s="97" customFormat="1" ht="16.2" customHeight="1" thickBot="1" x14ac:dyDescent="0.3">
      <c r="A114" s="1806"/>
      <c r="B114" s="1523"/>
      <c r="C114" s="212" t="str">
        <f>F!C125</f>
        <v>None.  Beaver are absent from this part of the region.</v>
      </c>
      <c r="D114" s="213">
        <f>F!D125</f>
        <v>0</v>
      </c>
      <c r="E114" s="1322">
        <v>0</v>
      </c>
      <c r="F114" s="193">
        <f>D114*E114</f>
        <v>0</v>
      </c>
      <c r="G114" s="794"/>
      <c r="H114" s="1523"/>
    </row>
    <row r="115" spans="1:9" ht="45" customHeight="1" thickBot="1" x14ac:dyDescent="0.3">
      <c r="A115" s="1802" t="str">
        <f>F!A134</f>
        <v>F26</v>
      </c>
      <c r="B115" s="1521" t="str">
        <f>F!B134</f>
        <v>% Only Saturated or Seasonally Flooded (SeasPct)</v>
      </c>
      <c r="C115" s="727"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115" s="192"/>
      <c r="E115" s="65"/>
      <c r="F115" s="46"/>
      <c r="G115" s="799">
        <f>MAX(F116:F120)/MAX(E116:E120)</f>
        <v>0</v>
      </c>
      <c r="H115" s="1521" t="s">
        <v>626</v>
      </c>
      <c r="I115" s="2"/>
    </row>
    <row r="116" spans="1:9" ht="16.2" customHeight="1" x14ac:dyDescent="0.25">
      <c r="A116" s="1802"/>
      <c r="B116" s="1521"/>
      <c r="C116" s="1310" t="str">
        <f>F!C135</f>
        <v>&lt;5% of the AA, or none (i.e., all water persists for &gt;4 months).</v>
      </c>
      <c r="D116" s="1304">
        <f>F!D135</f>
        <v>0</v>
      </c>
      <c r="E116" s="49">
        <v>0</v>
      </c>
      <c r="F116" s="45">
        <f>D116*E116</f>
        <v>0</v>
      </c>
      <c r="G116" s="59"/>
      <c r="H116" s="1521"/>
      <c r="I116" s="2"/>
    </row>
    <row r="117" spans="1:9" ht="16.2" customHeight="1" x14ac:dyDescent="0.25">
      <c r="A117" s="1802"/>
      <c r="B117" s="1521"/>
      <c r="C117" s="1311" t="str">
        <f>F!C136</f>
        <v>5 to &lt;25% of the AA.</v>
      </c>
      <c r="D117" s="1081">
        <f>F!D136</f>
        <v>0</v>
      </c>
      <c r="E117" s="49">
        <v>1</v>
      </c>
      <c r="F117" s="45">
        <f>D117*E117</f>
        <v>0</v>
      </c>
      <c r="G117" s="59"/>
      <c r="H117" s="1521"/>
      <c r="I117" s="2"/>
    </row>
    <row r="118" spans="1:9" ht="16.2" customHeight="1" x14ac:dyDescent="0.25">
      <c r="A118" s="1802"/>
      <c r="B118" s="1521"/>
      <c r="C118" s="1311" t="str">
        <f>F!C137</f>
        <v>25 to &lt;50% of the AA.</v>
      </c>
      <c r="D118" s="1081">
        <f>F!D137</f>
        <v>0</v>
      </c>
      <c r="E118" s="49">
        <v>2</v>
      </c>
      <c r="F118" s="45">
        <f>D118*E118</f>
        <v>0</v>
      </c>
      <c r="G118" s="59"/>
      <c r="H118" s="1521"/>
      <c r="I118" s="2"/>
    </row>
    <row r="119" spans="1:9" ht="16.2" customHeight="1" x14ac:dyDescent="0.25">
      <c r="A119" s="1802"/>
      <c r="B119" s="1521"/>
      <c r="C119" s="1311" t="str">
        <f>F!C138</f>
        <v>50 to 75% of the AA.</v>
      </c>
      <c r="D119" s="1081">
        <f>F!D138</f>
        <v>0</v>
      </c>
      <c r="E119" s="49">
        <v>4</v>
      </c>
      <c r="F119" s="45">
        <f>D119*E119</f>
        <v>0</v>
      </c>
      <c r="G119" s="59"/>
      <c r="H119" s="1521"/>
      <c r="I119" s="2"/>
    </row>
    <row r="120" spans="1:9" ht="16.2" customHeight="1" thickBot="1" x14ac:dyDescent="0.3">
      <c r="A120" s="1802"/>
      <c r="B120" s="1521"/>
      <c r="C120" s="1307" t="str">
        <f>F!C139</f>
        <v>&gt;75% of the AA.</v>
      </c>
      <c r="D120" s="1276">
        <f>F!D139</f>
        <v>0</v>
      </c>
      <c r="E120" s="67">
        <v>3</v>
      </c>
      <c r="F120" s="54">
        <f>D120*E120</f>
        <v>0</v>
      </c>
      <c r="G120" s="58"/>
      <c r="H120" s="1521"/>
      <c r="I120" s="2"/>
    </row>
    <row r="121" spans="1:9" ht="46.5" customHeight="1" thickBot="1" x14ac:dyDescent="0.3">
      <c r="A121" s="1804" t="str">
        <f>F!A205</f>
        <v>F40</v>
      </c>
      <c r="B121" s="1522" t="str">
        <f>F!B205</f>
        <v>Species Dominance - Herbaceous (HerbDom)</v>
      </c>
      <c r="C121" s="4" t="str">
        <f>F!C205</f>
        <v>Determine which two native herbaceous (forb, fern, and graminoid) species comprise the greatest portion of the herbaceous cover that is unshaded by a woody canopy.  Then select one:</v>
      </c>
      <c r="D121" s="192"/>
      <c r="E121" s="192"/>
      <c r="F121" s="241"/>
      <c r="G121" s="804" t="str">
        <f>IF((NoHerb=1),"", IF((D123=1),1,""))</f>
        <v/>
      </c>
      <c r="H121" s="1522" t="s">
        <v>1732</v>
      </c>
      <c r="I121" s="2"/>
    </row>
    <row r="122" spans="1:9" ht="42" customHeight="1" x14ac:dyDescent="0.25">
      <c r="A122" s="1805"/>
      <c r="B122" s="1521"/>
      <c r="C122" s="236" t="str">
        <f>F!C206</f>
        <v>Those species together comprise more than half of the areal cover of native herbaceous plants at any time during the year, i.e., one dominant species or two co-dominants.  Also mark this if &lt;20% of the vegetated cover is native species.</v>
      </c>
      <c r="D122" s="1304">
        <f>F!D206</f>
        <v>0</v>
      </c>
      <c r="E122" s="45">
        <v>0</v>
      </c>
      <c r="F122" s="45">
        <f>D122*E122</f>
        <v>0</v>
      </c>
      <c r="G122" s="792"/>
      <c r="H122" s="1521"/>
    </row>
    <row r="123" spans="1:9" ht="27" customHeight="1" thickBot="1" x14ac:dyDescent="0.3">
      <c r="A123" s="1806"/>
      <c r="B123" s="1523"/>
      <c r="C123" s="212" t="str">
        <f>F!C207</f>
        <v>Those species together comprise less than half of the areal cover of native herbaceous plants at any time during the year.</v>
      </c>
      <c r="D123" s="213">
        <f>F!D207</f>
        <v>0</v>
      </c>
      <c r="E123" s="193">
        <v>1</v>
      </c>
      <c r="F123" s="193">
        <f>D123*E123</f>
        <v>0</v>
      </c>
      <c r="G123" s="794"/>
      <c r="H123" s="1523"/>
    </row>
    <row r="124" spans="1:9" s="2" customFormat="1" ht="55.5" customHeight="1" thickBot="1" x14ac:dyDescent="0.3">
      <c r="A124" s="1804" t="str">
        <f>F!A213</f>
        <v>F42</v>
      </c>
      <c r="B124" s="1522" t="str">
        <f>F!B213</f>
        <v>Mowing, Grazing, Fire (VegCut)</v>
      </c>
      <c r="C124" s="114" t="str">
        <f>F!C213</f>
        <v>There is evidence that grazing by domestic or wild animals -- or mowing (multiple times per year), plowing, herbicides, harvesting, or fire -- has repeatedly reduced the AA's vegetation cover (plants that normally grows taller than 4") to less than 4 inches, or has created an obvious browse line, over the following extent:</v>
      </c>
      <c r="D124" s="192"/>
      <c r="E124" s="210"/>
      <c r="F124" s="241"/>
      <c r="G124" s="804">
        <f>MAX(F125:F129)/MAX(E125:E129)</f>
        <v>0</v>
      </c>
      <c r="H124" s="1522" t="s">
        <v>716</v>
      </c>
    </row>
    <row r="125" spans="1:9" s="2" customFormat="1" ht="16.2" customHeight="1" x14ac:dyDescent="0.25">
      <c r="A125" s="1805"/>
      <c r="B125" s="1521"/>
      <c r="C125" s="1310" t="str">
        <f>F!C214</f>
        <v>0% (No evidence of such activities).</v>
      </c>
      <c r="D125" s="1304">
        <f>F!D214</f>
        <v>0</v>
      </c>
      <c r="E125" s="49">
        <v>5</v>
      </c>
      <c r="F125" s="59">
        <f>D125*E125</f>
        <v>0</v>
      </c>
      <c r="G125" s="793"/>
      <c r="H125" s="1521"/>
    </row>
    <row r="126" spans="1:9" s="2" customFormat="1" ht="27" customHeight="1" x14ac:dyDescent="0.25">
      <c r="A126" s="1805"/>
      <c r="B126" s="1521"/>
      <c r="C126" s="1311" t="str">
        <f>F!C215</f>
        <v>Trace to 5% of the normally vegetated AA (grazing, mowing, or fire have occurred but vegetation height effects are mostly unnoticeable).</v>
      </c>
      <c r="D126" s="1081">
        <f>F!D215</f>
        <v>0</v>
      </c>
      <c r="E126" s="49">
        <v>5</v>
      </c>
      <c r="F126" s="59">
        <f>D126*E126</f>
        <v>0</v>
      </c>
      <c r="G126" s="793"/>
      <c r="H126" s="1521"/>
    </row>
    <row r="127" spans="1:9" s="2" customFormat="1" ht="16.2" customHeight="1" x14ac:dyDescent="0.25">
      <c r="A127" s="1805"/>
      <c r="B127" s="1521"/>
      <c r="C127" s="1311" t="str">
        <f>F!C216</f>
        <v>5 to &lt;50% of the normally vegetated AA.</v>
      </c>
      <c r="D127" s="1081">
        <f>F!D216</f>
        <v>0</v>
      </c>
      <c r="E127" s="49">
        <v>2</v>
      </c>
      <c r="F127" s="59">
        <f>D127*E127</f>
        <v>0</v>
      </c>
      <c r="G127" s="793"/>
      <c r="H127" s="1521"/>
    </row>
    <row r="128" spans="1:9" s="2" customFormat="1" ht="16.2" customHeight="1" x14ac:dyDescent="0.25">
      <c r="A128" s="1805"/>
      <c r="B128" s="1521"/>
      <c r="C128" s="1311" t="str">
        <f>F!C217</f>
        <v>50 to 95% of the normally vegetated AA.</v>
      </c>
      <c r="D128" s="1081">
        <f>F!D217</f>
        <v>0</v>
      </c>
      <c r="E128" s="49">
        <v>1</v>
      </c>
      <c r="F128" s="59">
        <f>D128*E128</f>
        <v>0</v>
      </c>
      <c r="G128" s="793"/>
      <c r="H128" s="1521"/>
    </row>
    <row r="129" spans="1:9" s="2" customFormat="1" ht="16.2" customHeight="1" thickBot="1" x14ac:dyDescent="0.3">
      <c r="A129" s="1806"/>
      <c r="B129" s="1523"/>
      <c r="C129" s="1308" t="str">
        <f>F!C218</f>
        <v>&gt;95% of the normally vegetated AA.</v>
      </c>
      <c r="D129" s="213">
        <f>F!D218</f>
        <v>0</v>
      </c>
      <c r="E129" s="245">
        <v>0</v>
      </c>
      <c r="F129" s="243">
        <f>D129*E129</f>
        <v>0</v>
      </c>
      <c r="G129" s="909"/>
      <c r="H129" s="1523"/>
    </row>
    <row r="130" spans="1:9" ht="30.75" customHeight="1" thickBot="1" x14ac:dyDescent="0.3">
      <c r="A130" s="1803" t="str">
        <f>F!A221</f>
        <v>F45</v>
      </c>
      <c r="B130" s="1521" t="str">
        <f>F!B221</f>
        <v>Woody Extent (WoodyPct)</v>
      </c>
      <c r="C130" s="4" t="str">
        <f>F!C221</f>
        <v>Within the vegetated part of the AA, woody vegetation (trees, shrubs, robust vines) taller than 3 ft occupies:</v>
      </c>
      <c r="D130" s="192"/>
      <c r="E130" s="46"/>
      <c r="F130" s="60"/>
      <c r="G130" s="799">
        <f>MAX(F131:F135)/MAX(E131:E135)</f>
        <v>0</v>
      </c>
      <c r="H130" s="1521" t="s">
        <v>336</v>
      </c>
      <c r="I130" s="2"/>
    </row>
    <row r="131" spans="1:9" ht="16.2" customHeight="1" x14ac:dyDescent="0.25">
      <c r="A131" s="1803"/>
      <c r="B131" s="1521"/>
      <c r="C131" s="236" t="str">
        <f>F!C222</f>
        <v>&lt;5% of the vegetated AA, and fewer than 10 trees are present.  Enter 1 and SKIP to F51.</v>
      </c>
      <c r="D131" s="1304">
        <f>F!D222</f>
        <v>0</v>
      </c>
      <c r="E131" s="45">
        <v>1</v>
      </c>
      <c r="F131" s="45">
        <f>D131*E131</f>
        <v>0</v>
      </c>
      <c r="G131" s="792"/>
      <c r="H131" s="1521"/>
    </row>
    <row r="132" spans="1:9" ht="16.2" customHeight="1" x14ac:dyDescent="0.25">
      <c r="A132" s="1803"/>
      <c r="B132" s="1521"/>
      <c r="C132" s="237" t="str">
        <f>F!C224</f>
        <v>5 to &lt;25% of the vegetated AA.</v>
      </c>
      <c r="D132" s="1081">
        <f>F!D224</f>
        <v>0</v>
      </c>
      <c r="E132" s="45">
        <v>2</v>
      </c>
      <c r="F132" s="45">
        <f>D132*E132</f>
        <v>0</v>
      </c>
      <c r="G132" s="793"/>
      <c r="H132" s="1521"/>
    </row>
    <row r="133" spans="1:9" ht="16.2" customHeight="1" x14ac:dyDescent="0.25">
      <c r="A133" s="1803"/>
      <c r="B133" s="1521"/>
      <c r="C133" s="237" t="str">
        <f>F!C225</f>
        <v>25 to &lt;50% of the vegetated AA.</v>
      </c>
      <c r="D133" s="1081">
        <f>F!D225</f>
        <v>0</v>
      </c>
      <c r="E133" s="45">
        <v>3</v>
      </c>
      <c r="F133" s="45">
        <f>D133*E133</f>
        <v>0</v>
      </c>
      <c r="G133" s="793"/>
      <c r="H133" s="1521"/>
    </row>
    <row r="134" spans="1:9" ht="16.2" customHeight="1" x14ac:dyDescent="0.25">
      <c r="A134" s="1803"/>
      <c r="B134" s="1521"/>
      <c r="C134" s="237" t="str">
        <f>F!C226</f>
        <v>50 to 95% of the vegetated AA.</v>
      </c>
      <c r="D134" s="1081">
        <f>F!D226</f>
        <v>0</v>
      </c>
      <c r="E134" s="45">
        <v>3</v>
      </c>
      <c r="F134" s="45">
        <f>D134*E134</f>
        <v>0</v>
      </c>
      <c r="G134" s="793"/>
      <c r="H134" s="1521"/>
    </row>
    <row r="135" spans="1:9" ht="16.2" customHeight="1" thickBot="1" x14ac:dyDescent="0.3">
      <c r="A135" s="1803"/>
      <c r="B135" s="1521"/>
      <c r="C135" s="1275" t="str">
        <f>F!C227</f>
        <v>&gt;95% of the vegetated part of the AA.</v>
      </c>
      <c r="D135" s="1276">
        <f>F!D227</f>
        <v>0</v>
      </c>
      <c r="E135" s="54">
        <v>2</v>
      </c>
      <c r="F135" s="54">
        <f>D135*E135</f>
        <v>0</v>
      </c>
      <c r="G135" s="800"/>
      <c r="H135" s="1521"/>
    </row>
    <row r="136" spans="1:9" ht="30" customHeight="1" thickBot="1" x14ac:dyDescent="0.3">
      <c r="A136" s="1804" t="str">
        <f>F!A228</f>
        <v>F46</v>
      </c>
      <c r="B136" s="1522" t="str">
        <f>F!B228</f>
        <v>Woody Diameter Classes (TreeDiams)</v>
      </c>
      <c r="C136" s="4" t="str">
        <f>F!C228</f>
        <v>Select All the types that comprise &gt;5% of the woody canopy cover in the AA or &gt;5% of its wooded upland edge if any:</v>
      </c>
      <c r="D136" s="192"/>
      <c r="E136" s="192"/>
      <c r="F136" s="241"/>
      <c r="G136" s="804">
        <f>IF((NoWoody=1),"",IF((HistOpenland=1),"", ((SUM(D137:D144)/8+ MAX(F137:F144)/MAX(E137:E144)))/2))</f>
        <v>0</v>
      </c>
      <c r="H136" s="1622" t="s">
        <v>1757</v>
      </c>
      <c r="I136" s="2"/>
    </row>
    <row r="137" spans="1:9" ht="16.2" customHeight="1" x14ac:dyDescent="0.25">
      <c r="A137" s="1805"/>
      <c r="B137" s="1521"/>
      <c r="C137" s="393" t="str">
        <f>F!C229</f>
        <v>Deciduous 1-4" diameter (DBH) and &gt;3 ft tall.</v>
      </c>
      <c r="D137" s="1306">
        <f>F!D229</f>
        <v>0</v>
      </c>
      <c r="E137" s="45">
        <v>1</v>
      </c>
      <c r="F137" s="45">
        <f t="shared" ref="F137:F144" si="9">D137*E137</f>
        <v>0</v>
      </c>
      <c r="G137" s="792"/>
      <c r="H137" s="1623"/>
    </row>
    <row r="138" spans="1:9" ht="16.2" customHeight="1" x14ac:dyDescent="0.25">
      <c r="A138" s="1805"/>
      <c r="B138" s="1521"/>
      <c r="C138" s="1275" t="str">
        <f>F!C230</f>
        <v>Evergreen 1-4" diameter and &gt;3 ft tall.</v>
      </c>
      <c r="D138" s="1276">
        <f>F!D230</f>
        <v>0</v>
      </c>
      <c r="E138" s="45">
        <v>1</v>
      </c>
      <c r="F138" s="45">
        <f t="shared" si="9"/>
        <v>0</v>
      </c>
      <c r="G138" s="793"/>
      <c r="H138" s="1623"/>
    </row>
    <row r="139" spans="1:9" ht="16.2" customHeight="1" x14ac:dyDescent="0.25">
      <c r="A139" s="1805"/>
      <c r="B139" s="1521"/>
      <c r="C139" s="1275" t="str">
        <f>F!C231</f>
        <v>Deciduous 4-9" diameter.</v>
      </c>
      <c r="D139" s="1276">
        <f>F!D231</f>
        <v>0</v>
      </c>
      <c r="E139" s="45">
        <v>2</v>
      </c>
      <c r="F139" s="45">
        <f t="shared" si="9"/>
        <v>0</v>
      </c>
      <c r="G139" s="793"/>
      <c r="H139" s="1623"/>
    </row>
    <row r="140" spans="1:9" ht="16.2" customHeight="1" x14ac:dyDescent="0.25">
      <c r="A140" s="1805"/>
      <c r="B140" s="1521"/>
      <c r="C140" s="1275" t="str">
        <f>F!C232</f>
        <v>Evergreen 4-9" diameter.</v>
      </c>
      <c r="D140" s="1276">
        <f>F!D232</f>
        <v>0</v>
      </c>
      <c r="E140" s="45">
        <v>2</v>
      </c>
      <c r="F140" s="45">
        <f t="shared" si="9"/>
        <v>0</v>
      </c>
      <c r="G140" s="793"/>
      <c r="H140" s="1623"/>
    </row>
    <row r="141" spans="1:9" ht="16.2" customHeight="1" x14ac:dyDescent="0.25">
      <c r="A141" s="1805"/>
      <c r="B141" s="1521"/>
      <c r="C141" s="1275" t="str">
        <f>F!C233</f>
        <v>Deciduous 9-21" diameter.</v>
      </c>
      <c r="D141" s="1276">
        <f>F!D233</f>
        <v>0</v>
      </c>
      <c r="E141" s="45">
        <v>4</v>
      </c>
      <c r="F141" s="45">
        <f t="shared" si="9"/>
        <v>0</v>
      </c>
      <c r="G141" s="793"/>
      <c r="H141" s="1623"/>
    </row>
    <row r="142" spans="1:9" ht="16.2" customHeight="1" x14ac:dyDescent="0.25">
      <c r="A142" s="1805"/>
      <c r="B142" s="1521"/>
      <c r="C142" s="1275" t="str">
        <f>F!C234</f>
        <v>Evergreen 9-21" diameter.</v>
      </c>
      <c r="D142" s="1276">
        <f>F!D234</f>
        <v>0</v>
      </c>
      <c r="E142" s="45">
        <v>3</v>
      </c>
      <c r="F142" s="45">
        <f t="shared" si="9"/>
        <v>0</v>
      </c>
      <c r="G142" s="793"/>
      <c r="H142" s="1623"/>
    </row>
    <row r="143" spans="1:9" ht="16.2" customHeight="1" x14ac:dyDescent="0.25">
      <c r="A143" s="1805"/>
      <c r="B143" s="1521"/>
      <c r="C143" s="1275" t="str">
        <f>F!C235</f>
        <v>Deciduous &gt;21" diameter.</v>
      </c>
      <c r="D143" s="1276">
        <f>F!D235</f>
        <v>0</v>
      </c>
      <c r="E143" s="45">
        <v>6</v>
      </c>
      <c r="F143" s="45">
        <f t="shared" si="9"/>
        <v>0</v>
      </c>
      <c r="G143" s="793"/>
      <c r="H143" s="1623"/>
    </row>
    <row r="144" spans="1:9" ht="16.2" customHeight="1" thickBot="1" x14ac:dyDescent="0.3">
      <c r="A144" s="1806"/>
      <c r="B144" s="1523"/>
      <c r="C144" s="212" t="str">
        <f>F!C236</f>
        <v>Evergreen &gt;21" diameter.</v>
      </c>
      <c r="D144" s="213">
        <f>F!D236</f>
        <v>0</v>
      </c>
      <c r="E144" s="193">
        <v>5</v>
      </c>
      <c r="F144" s="193">
        <f t="shared" si="9"/>
        <v>0</v>
      </c>
      <c r="G144" s="794"/>
      <c r="H144" s="1624"/>
    </row>
    <row r="145" spans="1:9" ht="21" customHeight="1" thickBot="1" x14ac:dyDescent="0.3">
      <c r="A145" s="1803" t="str">
        <f>F!A237</f>
        <v>F47</v>
      </c>
      <c r="B145" s="1521" t="str">
        <f>F!B237</f>
        <v>Snags (Snags)</v>
      </c>
      <c r="C145" s="4" t="str">
        <f>F!C237</f>
        <v>The number of large snags (diameter &gt;12 inches) in the AA plus 100 ft uphill of its edge is:</v>
      </c>
      <c r="D145" s="192"/>
      <c r="E145" s="46"/>
      <c r="F145" s="60"/>
      <c r="G145" s="799">
        <f>IF((NoWoody=1),"",IF((HistOpenland=1),"",MAX(F146:F147)/MAX(E146:E147)))</f>
        <v>0</v>
      </c>
      <c r="H145" s="1521" t="s">
        <v>1758</v>
      </c>
      <c r="I145" s="2"/>
    </row>
    <row r="146" spans="1:9" ht="16.2" customHeight="1" x14ac:dyDescent="0.25">
      <c r="A146" s="1803"/>
      <c r="B146" s="1521"/>
      <c r="C146" s="236" t="str">
        <f>F!C238</f>
        <v>Few or none.</v>
      </c>
      <c r="D146" s="1304">
        <f>F!D238</f>
        <v>0</v>
      </c>
      <c r="E146" s="45">
        <v>0</v>
      </c>
      <c r="F146" s="45">
        <f>D146*E146</f>
        <v>0</v>
      </c>
      <c r="G146" s="792"/>
      <c r="H146" s="1521"/>
    </row>
    <row r="147" spans="1:9" ht="16.2" customHeight="1" thickBot="1" x14ac:dyDescent="0.3">
      <c r="A147" s="1803"/>
      <c r="B147" s="1521"/>
      <c r="C147" s="1275" t="str">
        <f>F!C239</f>
        <v>Several.</v>
      </c>
      <c r="D147" s="1276">
        <f>F!D239</f>
        <v>0</v>
      </c>
      <c r="E147" s="54">
        <v>1</v>
      </c>
      <c r="F147" s="54">
        <f>D147*E147</f>
        <v>0</v>
      </c>
      <c r="G147" s="800"/>
      <c r="H147" s="1521"/>
    </row>
    <row r="148" spans="1:9" ht="30" customHeight="1" thickBot="1" x14ac:dyDescent="0.3">
      <c r="A148" s="1804" t="str">
        <f>F!A244</f>
        <v>F49</v>
      </c>
      <c r="B148" s="1522" t="str">
        <f>F!B244</f>
        <v>Downed Wood (WoodDown)</v>
      </c>
      <c r="C148" s="4" t="str">
        <f>F!C244</f>
        <v>The number of downed wood pieces longer than 6 ft and with diameter &gt;4 inches that are not submerged during most of the growing season, is:</v>
      </c>
      <c r="D148" s="192"/>
      <c r="E148" s="192"/>
      <c r="F148" s="241"/>
      <c r="G148" s="804" t="str">
        <f>IF((NoWoody=1),"",IF((HistOpenland=1),"",IF((D150=1),1,"")))</f>
        <v/>
      </c>
      <c r="H148" s="1599" t="s">
        <v>1759</v>
      </c>
      <c r="I148" s="2"/>
    </row>
    <row r="149" spans="1:9" ht="21" customHeight="1" x14ac:dyDescent="0.25">
      <c r="A149" s="1805"/>
      <c r="B149" s="1521"/>
      <c r="C149" s="393" t="str">
        <f>F!C245</f>
        <v>Few or none.</v>
      </c>
      <c r="D149" s="1306">
        <f>F!D245</f>
        <v>0</v>
      </c>
      <c r="E149" s="45">
        <v>0</v>
      </c>
      <c r="F149" s="45">
        <f>D149*E149</f>
        <v>0</v>
      </c>
      <c r="G149" s="792"/>
      <c r="H149" s="1582"/>
    </row>
    <row r="150" spans="1:9" ht="21" customHeight="1" thickBot="1" x14ac:dyDescent="0.3">
      <c r="A150" s="1806"/>
      <c r="B150" s="1523"/>
      <c r="C150" s="212" t="str">
        <f>F!C246</f>
        <v>Several.</v>
      </c>
      <c r="D150" s="213">
        <f>F!D246</f>
        <v>0</v>
      </c>
      <c r="E150" s="193">
        <v>1</v>
      </c>
      <c r="F150" s="193">
        <f>D150*E150</f>
        <v>0</v>
      </c>
      <c r="G150" s="794"/>
      <c r="H150" s="1600"/>
    </row>
    <row r="151" spans="1:9" ht="30" customHeight="1" thickBot="1" x14ac:dyDescent="0.3">
      <c r="A151" s="1803" t="str">
        <f>F!A247</f>
        <v>F50</v>
      </c>
      <c r="B151" s="1521" t="str">
        <f>F!B247</f>
        <v>Exposed Shrub Canopy (ShrExpos)</v>
      </c>
      <c r="C151" s="4" t="str">
        <f>F!C247</f>
        <v>Within the vegetated part of the AA, shrubs shorter than 20 ft that are not overtopped by trees occupy: 
Select first statement that is true.</v>
      </c>
      <c r="D151" s="192"/>
      <c r="E151" s="192"/>
      <c r="F151" s="241"/>
      <c r="G151" s="801">
        <f>IF((NoWoody=1),"",IF((HistOpenland=1),"",MAX(F152:F156)/MAX(E152:E156)))</f>
        <v>0</v>
      </c>
      <c r="H151" s="1522" t="s">
        <v>1760</v>
      </c>
      <c r="I151" s="2"/>
    </row>
    <row r="152" spans="1:9" ht="16.2" customHeight="1" x14ac:dyDescent="0.25">
      <c r="A152" s="1803"/>
      <c r="B152" s="1521"/>
      <c r="C152" s="265" t="str">
        <f>F!C248</f>
        <v xml:space="preserve">&lt;5% of the vegetated AA and &lt;0.01 acre (400 sq ft). </v>
      </c>
      <c r="D152" s="1323">
        <f>F!D248</f>
        <v>0</v>
      </c>
      <c r="E152" s="45">
        <v>2</v>
      </c>
      <c r="F152" s="45">
        <f>D152*E152</f>
        <v>0</v>
      </c>
      <c r="G152" s="796"/>
      <c r="H152" s="1521"/>
    </row>
    <row r="153" spans="1:9" ht="16.2" customHeight="1" x14ac:dyDescent="0.25">
      <c r="A153" s="1803"/>
      <c r="B153" s="1521"/>
      <c r="C153" s="266" t="str">
        <f>F!C249</f>
        <v>5 to &lt;25% of the vegetated AA or the water edge (whichever is greater in early summer).</v>
      </c>
      <c r="D153" s="1324">
        <f>F!D249</f>
        <v>0</v>
      </c>
      <c r="E153" s="45">
        <v>3</v>
      </c>
      <c r="F153" s="45">
        <f>D153*E153</f>
        <v>0</v>
      </c>
      <c r="G153" s="797"/>
      <c r="H153" s="1521"/>
    </row>
    <row r="154" spans="1:9" ht="16.2" customHeight="1" x14ac:dyDescent="0.25">
      <c r="A154" s="1803"/>
      <c r="B154" s="1521"/>
      <c r="C154" s="266" t="str">
        <f>F!C250</f>
        <v>25 to &lt;50% of the vegetated AA or the water edge (whichever is greater in early summer).</v>
      </c>
      <c r="D154" s="1324">
        <f>F!D250</f>
        <v>0</v>
      </c>
      <c r="E154" s="45">
        <v>4</v>
      </c>
      <c r="F154" s="45">
        <f>D154*E154</f>
        <v>0</v>
      </c>
      <c r="G154" s="797"/>
      <c r="H154" s="1521"/>
    </row>
    <row r="155" spans="1:9" ht="16.2" customHeight="1" x14ac:dyDescent="0.25">
      <c r="A155" s="1803"/>
      <c r="B155" s="1521"/>
      <c r="C155" s="266" t="str">
        <f>F!C251</f>
        <v>50 to 95% of the vegetated AA or the water edge (whichever is greater in early summer).</v>
      </c>
      <c r="D155" s="1324">
        <f>F!D251</f>
        <v>0</v>
      </c>
      <c r="E155" s="45">
        <v>3</v>
      </c>
      <c r="F155" s="45">
        <f>D155*E155</f>
        <v>0</v>
      </c>
      <c r="G155" s="797"/>
      <c r="H155" s="1521"/>
    </row>
    <row r="156" spans="1:9" ht="16.2" customHeight="1" thickBot="1" x14ac:dyDescent="0.3">
      <c r="A156" s="1803"/>
      <c r="B156" s="1521"/>
      <c r="C156" s="1325" t="str">
        <f>F!C252</f>
        <v>&gt;95% of the vegetated part of the AA or the water edge (whichever is greater in early summer).</v>
      </c>
      <c r="D156" s="1326">
        <f>F!D252</f>
        <v>0</v>
      </c>
      <c r="E156" s="54">
        <v>1</v>
      </c>
      <c r="F156" s="54">
        <f>D156*E156</f>
        <v>0</v>
      </c>
      <c r="G156" s="803"/>
      <c r="H156" s="1523"/>
    </row>
    <row r="157" spans="1:9" ht="30" customHeight="1" thickBot="1" x14ac:dyDescent="0.3">
      <c r="A157" s="1804" t="str">
        <f>F!A260</f>
        <v>F52</v>
      </c>
      <c r="B157" s="1522" t="str">
        <f>F!B260</f>
        <v>Upland Perennial Cover - % of Perimeter (PerimPctPer)</v>
      </c>
      <c r="C157" s="4" t="str">
        <f>F!C260</f>
        <v xml:space="preserve">The percentage of the AA's edge (perimeter) that is comprised of a band of upland perennial cover wider than 10 ft and taller than 6 inches, during most of the growing season is:  </v>
      </c>
      <c r="D157" s="192"/>
      <c r="E157" s="192"/>
      <c r="F157" s="241"/>
      <c r="G157" s="801">
        <f>MAX(F158:F163)/MAX(E158:E163)</f>
        <v>0</v>
      </c>
      <c r="H157" s="1521" t="s">
        <v>255</v>
      </c>
      <c r="I157" s="2"/>
    </row>
    <row r="158" spans="1:9" ht="16.2" customHeight="1" x14ac:dyDescent="0.25">
      <c r="A158" s="1960"/>
      <c r="B158" s="1714"/>
      <c r="C158" s="393" t="str">
        <f>F!C261</f>
        <v>&lt;5%.</v>
      </c>
      <c r="D158" s="1306">
        <f>F!D261</f>
        <v>0</v>
      </c>
      <c r="E158" s="45">
        <v>0</v>
      </c>
      <c r="F158" s="59">
        <f t="shared" ref="F158:F163" si="10">D158*E158</f>
        <v>0</v>
      </c>
      <c r="G158" s="797"/>
      <c r="H158" s="1521"/>
    </row>
    <row r="159" spans="1:9" ht="16.2" customHeight="1" x14ac:dyDescent="0.25">
      <c r="A159" s="1960"/>
      <c r="B159" s="1714"/>
      <c r="C159" s="1275" t="str">
        <f>F!C262</f>
        <v>5 to &lt;25%.</v>
      </c>
      <c r="D159" s="1276">
        <f>F!D262</f>
        <v>0</v>
      </c>
      <c r="E159" s="45">
        <v>1</v>
      </c>
      <c r="F159" s="59">
        <f t="shared" si="10"/>
        <v>0</v>
      </c>
      <c r="G159" s="797"/>
      <c r="H159" s="1521"/>
    </row>
    <row r="160" spans="1:9" ht="16.2" customHeight="1" x14ac:dyDescent="0.25">
      <c r="A160" s="1960"/>
      <c r="B160" s="1714"/>
      <c r="C160" s="1275" t="str">
        <f>F!C263</f>
        <v>25 to &lt;50%.</v>
      </c>
      <c r="D160" s="1276">
        <f>F!D263</f>
        <v>0</v>
      </c>
      <c r="E160" s="45">
        <v>2</v>
      </c>
      <c r="F160" s="59">
        <f t="shared" si="10"/>
        <v>0</v>
      </c>
      <c r="G160" s="797"/>
      <c r="H160" s="1521"/>
    </row>
    <row r="161" spans="1:9" ht="16.2" customHeight="1" x14ac:dyDescent="0.25">
      <c r="A161" s="1960"/>
      <c r="B161" s="1714"/>
      <c r="C161" s="1275" t="str">
        <f>F!C264</f>
        <v>50 to &lt;75%.</v>
      </c>
      <c r="D161" s="1276">
        <f>F!D264</f>
        <v>0</v>
      </c>
      <c r="E161" s="45">
        <v>3</v>
      </c>
      <c r="F161" s="59">
        <f t="shared" si="10"/>
        <v>0</v>
      </c>
      <c r="G161" s="797"/>
      <c r="H161" s="1521"/>
    </row>
    <row r="162" spans="1:9" ht="16.2" customHeight="1" x14ac:dyDescent="0.25">
      <c r="A162" s="1960"/>
      <c r="B162" s="1714"/>
      <c r="C162" s="1275" t="str">
        <f>F!C265</f>
        <v>75 to 95%.</v>
      </c>
      <c r="D162" s="1276">
        <f>F!D265</f>
        <v>0</v>
      </c>
      <c r="E162" s="45">
        <v>4</v>
      </c>
      <c r="F162" s="59">
        <f t="shared" si="10"/>
        <v>0</v>
      </c>
      <c r="G162" s="797"/>
      <c r="H162" s="1521"/>
    </row>
    <row r="163" spans="1:9" ht="16.2" customHeight="1" thickBot="1" x14ac:dyDescent="0.3">
      <c r="A163" s="1961"/>
      <c r="B163" s="1715"/>
      <c r="C163" s="212" t="str">
        <f>F!C266</f>
        <v>&gt;95%.</v>
      </c>
      <c r="D163" s="213">
        <f>F!D266</f>
        <v>0</v>
      </c>
      <c r="E163" s="193">
        <v>5</v>
      </c>
      <c r="F163" s="243">
        <f t="shared" si="10"/>
        <v>0</v>
      </c>
      <c r="G163" s="798"/>
      <c r="H163" s="1521"/>
    </row>
    <row r="164" spans="1:9" ht="70.5" customHeight="1" thickBot="1" x14ac:dyDescent="0.3">
      <c r="A164" s="1804" t="str">
        <f>F!A267</f>
        <v>F53</v>
      </c>
      <c r="B164" s="1522" t="str">
        <f>F!B267</f>
        <v>Upland Perennial Cover - Width (Buffer)  (BuffWidth)</v>
      </c>
      <c r="C164" s="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64" s="192"/>
      <c r="E164" s="192"/>
      <c r="F164" s="241"/>
      <c r="G164" s="804">
        <f>MAX(F165:F170)/MAX(E165:E170)</f>
        <v>0</v>
      </c>
      <c r="H164" s="1599" t="s">
        <v>746</v>
      </c>
      <c r="I164" s="2"/>
    </row>
    <row r="165" spans="1:9" ht="16.2" customHeight="1" x14ac:dyDescent="0.25">
      <c r="A165" s="1960"/>
      <c r="B165" s="1714"/>
      <c r="C165" s="393" t="str">
        <f>F!C268</f>
        <v xml:space="preserve">&lt; 5 ft, or none.  </v>
      </c>
      <c r="D165" s="1306">
        <f>F!D268</f>
        <v>0</v>
      </c>
      <c r="E165" s="45">
        <v>0</v>
      </c>
      <c r="F165" s="45">
        <f t="shared" ref="F165:F170" si="11">D165*E165</f>
        <v>0</v>
      </c>
      <c r="G165" s="792"/>
      <c r="H165" s="1582"/>
    </row>
    <row r="166" spans="1:9" ht="16.2" customHeight="1" x14ac:dyDescent="0.25">
      <c r="A166" s="1960"/>
      <c r="B166" s="1714"/>
      <c r="C166" s="1275" t="str">
        <f>F!C269</f>
        <v>5 to &lt;30 ft.</v>
      </c>
      <c r="D166" s="1276">
        <f>F!D269</f>
        <v>0</v>
      </c>
      <c r="E166" s="45">
        <v>2</v>
      </c>
      <c r="F166" s="45">
        <f t="shared" si="11"/>
        <v>0</v>
      </c>
      <c r="G166" s="793"/>
      <c r="H166" s="1582"/>
    </row>
    <row r="167" spans="1:9" ht="16.2" customHeight="1" x14ac:dyDescent="0.25">
      <c r="A167" s="1960"/>
      <c r="B167" s="1714"/>
      <c r="C167" s="1275" t="str">
        <f>F!C270</f>
        <v>30 to &lt;50 ft.</v>
      </c>
      <c r="D167" s="1276">
        <f>F!D270</f>
        <v>0</v>
      </c>
      <c r="E167" s="45">
        <v>4</v>
      </c>
      <c r="F167" s="45">
        <f t="shared" si="11"/>
        <v>0</v>
      </c>
      <c r="G167" s="793"/>
      <c r="H167" s="1582"/>
    </row>
    <row r="168" spans="1:9" ht="16.2" customHeight="1" x14ac:dyDescent="0.25">
      <c r="A168" s="1960"/>
      <c r="B168" s="1714"/>
      <c r="C168" s="1275" t="str">
        <f>F!C271</f>
        <v>50 to &lt;100 ft.</v>
      </c>
      <c r="D168" s="1276">
        <f>F!D271</f>
        <v>0</v>
      </c>
      <c r="E168" s="45">
        <v>5</v>
      </c>
      <c r="F168" s="45">
        <f t="shared" si="11"/>
        <v>0</v>
      </c>
      <c r="G168" s="793"/>
      <c r="H168" s="1582"/>
    </row>
    <row r="169" spans="1:9" ht="16.2" customHeight="1" x14ac:dyDescent="0.25">
      <c r="A169" s="1960"/>
      <c r="B169" s="1714"/>
      <c r="C169" s="1275" t="str">
        <f>F!C272</f>
        <v>100  to 300 ft.</v>
      </c>
      <c r="D169" s="1276">
        <f>F!D272</f>
        <v>0</v>
      </c>
      <c r="E169" s="45">
        <v>6</v>
      </c>
      <c r="F169" s="59">
        <f t="shared" si="11"/>
        <v>0</v>
      </c>
      <c r="G169" s="800"/>
      <c r="H169" s="1582"/>
    </row>
    <row r="170" spans="1:9" ht="16.2" customHeight="1" thickBot="1" x14ac:dyDescent="0.3">
      <c r="A170" s="1961"/>
      <c r="B170" s="1715"/>
      <c r="C170" s="212" t="str">
        <f>F!C273</f>
        <v xml:space="preserve">&gt; 300 ft. </v>
      </c>
      <c r="D170" s="213">
        <f>F!D273</f>
        <v>0</v>
      </c>
      <c r="E170" s="193">
        <v>7</v>
      </c>
      <c r="F170" s="243">
        <f t="shared" si="11"/>
        <v>0</v>
      </c>
      <c r="G170" s="794"/>
      <c r="H170" s="1600"/>
    </row>
    <row r="171" spans="1:9" ht="30" customHeight="1" thickBot="1" x14ac:dyDescent="0.3">
      <c r="A171" s="1803" t="str">
        <f>F!A274</f>
        <v>F54</v>
      </c>
      <c r="B171" s="1521" t="str">
        <f>F!B274</f>
        <v>Upland Trees as % of All Perennial Cover (UpTreePctPer)</v>
      </c>
      <c r="C171" s="114" t="str">
        <f>F!C274</f>
        <v>Within 100 f.t landward from the AA's edge (perimeter), the percentage of the upland perennial cover that is woody plants taller than 20 ft is:</v>
      </c>
      <c r="D171" s="192"/>
      <c r="E171" s="46"/>
      <c r="F171" s="46"/>
      <c r="G171" s="799">
        <f>IF((HistOpenland=1),"",MAX(F172:F177)/MAX(E172:E177))</f>
        <v>0</v>
      </c>
      <c r="H171" s="1521" t="s">
        <v>254</v>
      </c>
      <c r="I171" s="2"/>
    </row>
    <row r="172" spans="1:9" ht="16.2" customHeight="1" x14ac:dyDescent="0.25">
      <c r="A172" s="1803"/>
      <c r="B172" s="1521"/>
      <c r="C172" s="1310" t="str">
        <f>F!C275</f>
        <v>&lt;5%, or there is no upland perennial cover along the upland edge.</v>
      </c>
      <c r="D172" s="1304">
        <f>F!D275</f>
        <v>0</v>
      </c>
      <c r="E172" s="45">
        <v>0</v>
      </c>
      <c r="F172" s="58">
        <f t="shared" ref="F172:F177" si="12">D172*E172</f>
        <v>0</v>
      </c>
      <c r="G172" s="793"/>
      <c r="H172" s="1521"/>
    </row>
    <row r="173" spans="1:9" ht="16.2" customHeight="1" x14ac:dyDescent="0.25">
      <c r="A173" s="1803"/>
      <c r="B173" s="1521"/>
      <c r="C173" s="1311" t="str">
        <f>F!C276</f>
        <v>5 to &lt;25% of perennial cover.</v>
      </c>
      <c r="D173" s="1081">
        <f>F!D276</f>
        <v>0</v>
      </c>
      <c r="E173" s="45">
        <v>1</v>
      </c>
      <c r="F173" s="58">
        <f t="shared" si="12"/>
        <v>0</v>
      </c>
      <c r="G173" s="793"/>
      <c r="H173" s="1521"/>
    </row>
    <row r="174" spans="1:9" ht="16.2" customHeight="1" x14ac:dyDescent="0.25">
      <c r="A174" s="1803"/>
      <c r="B174" s="1521"/>
      <c r="C174" s="1311" t="str">
        <f>F!C277</f>
        <v>25 to &lt;50% of perennial cover.</v>
      </c>
      <c r="D174" s="1081">
        <f>F!D277</f>
        <v>0</v>
      </c>
      <c r="E174" s="45">
        <v>2</v>
      </c>
      <c r="F174" s="58">
        <f t="shared" si="12"/>
        <v>0</v>
      </c>
      <c r="G174" s="793"/>
      <c r="H174" s="1521"/>
    </row>
    <row r="175" spans="1:9" ht="16.2" customHeight="1" x14ac:dyDescent="0.25">
      <c r="A175" s="1803"/>
      <c r="B175" s="1521"/>
      <c r="C175" s="1311" t="str">
        <f>F!C278</f>
        <v>50 to &lt;75% of perennial cover.</v>
      </c>
      <c r="D175" s="1081">
        <f>F!D278</f>
        <v>0</v>
      </c>
      <c r="E175" s="45">
        <v>2</v>
      </c>
      <c r="F175" s="58">
        <f t="shared" si="12"/>
        <v>0</v>
      </c>
      <c r="G175" s="793"/>
      <c r="H175" s="1521"/>
    </row>
    <row r="176" spans="1:9" ht="16.2" customHeight="1" x14ac:dyDescent="0.25">
      <c r="A176" s="1803"/>
      <c r="B176" s="1521"/>
      <c r="C176" s="1311" t="str">
        <f>F!C279</f>
        <v>75 to 95% of perennial cover.</v>
      </c>
      <c r="D176" s="1081">
        <f>F!D279</f>
        <v>0</v>
      </c>
      <c r="E176" s="45">
        <v>2</v>
      </c>
      <c r="F176" s="58">
        <f t="shared" si="12"/>
        <v>0</v>
      </c>
      <c r="G176" s="793"/>
      <c r="H176" s="1521"/>
    </row>
    <row r="177" spans="1:9" ht="16.2" customHeight="1" thickBot="1" x14ac:dyDescent="0.3">
      <c r="A177" s="1803"/>
      <c r="B177" s="1521"/>
      <c r="C177" s="1307" t="str">
        <f>F!C280</f>
        <v>&gt;95% of perennial cover.</v>
      </c>
      <c r="D177" s="1276">
        <f>F!D280</f>
        <v>0</v>
      </c>
      <c r="E177" s="54">
        <v>1</v>
      </c>
      <c r="F177" s="54">
        <f t="shared" si="12"/>
        <v>0</v>
      </c>
      <c r="G177" s="800"/>
      <c r="H177" s="1521"/>
    </row>
    <row r="178" spans="1:9" ht="44.25" customHeight="1" thickBot="1" x14ac:dyDescent="0.3">
      <c r="A178" s="1804" t="str">
        <f>F!A288</f>
        <v>F56</v>
      </c>
      <c r="B178" s="1522" t="str">
        <f>F!B288</f>
        <v>Bare Ground &amp; Accumulated Plant Litter (Gcover)</v>
      </c>
      <c r="C178" s="4" t="str">
        <f>F!C288</f>
        <v>Consider the parts of the AA that go dry during a normal year. Viewed from 6 inches above the soil surface, the condition in most of that area just before the year's longest inundation period begins is:</v>
      </c>
      <c r="D178" s="192"/>
      <c r="E178" s="192"/>
      <c r="F178" s="241"/>
      <c r="G178" s="804">
        <f>IF((D183=1),"",MAX(F179:F182)/MAX(E179:E182))</f>
        <v>0</v>
      </c>
      <c r="H178" s="1599" t="s">
        <v>120</v>
      </c>
      <c r="I178" s="2"/>
    </row>
    <row r="179" spans="1:9" ht="57" customHeight="1" x14ac:dyDescent="0.25">
      <c r="A179" s="1805"/>
      <c r="B179" s="1521"/>
      <c r="C179" s="393"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179" s="1306">
        <f>F!D289</f>
        <v>0</v>
      </c>
      <c r="E179" s="45">
        <v>5</v>
      </c>
      <c r="F179" s="45">
        <f>D179*E179</f>
        <v>0</v>
      </c>
      <c r="G179" s="792"/>
      <c r="H179" s="1582"/>
    </row>
    <row r="180" spans="1:9" ht="27" customHeight="1" x14ac:dyDescent="0.25">
      <c r="A180" s="1805"/>
      <c r="B180" s="1521"/>
      <c r="C180" s="1275" t="str">
        <f>F!C290</f>
        <v>Some (5-20%) bare ground or remaining thatch is visible.  Herbaceous plants have moderate stem densities and do not closely hug the ground.</v>
      </c>
      <c r="D180" s="1276">
        <f>F!D290</f>
        <v>0</v>
      </c>
      <c r="E180" s="45">
        <v>4</v>
      </c>
      <c r="F180" s="45">
        <f>D180*E180</f>
        <v>0</v>
      </c>
      <c r="G180" s="793"/>
      <c r="H180" s="1582"/>
    </row>
    <row r="181" spans="1:9" ht="27" customHeight="1" x14ac:dyDescent="0.25">
      <c r="A181" s="1805"/>
      <c r="B181" s="1521"/>
      <c r="C181" s="1275" t="str">
        <f>F!C291</f>
        <v>Much (20-50%) bare ground or thatch is visible.  Low stem density and/or tall plants with little living ground cover during early growing season.</v>
      </c>
      <c r="D181" s="1276">
        <f>F!D291</f>
        <v>0</v>
      </c>
      <c r="E181" s="45">
        <v>3</v>
      </c>
      <c r="F181" s="45">
        <f>D181*E181</f>
        <v>0</v>
      </c>
      <c r="G181" s="793"/>
      <c r="H181" s="1582"/>
    </row>
    <row r="182" spans="1:9" ht="16.2" customHeight="1" x14ac:dyDescent="0.25">
      <c r="A182" s="1805"/>
      <c r="B182" s="1521"/>
      <c r="C182" s="1275" t="str">
        <f>F!C292</f>
        <v>Mostly (&gt;50%) bare ground or thatch.</v>
      </c>
      <c r="D182" s="1276">
        <f>F!D292</f>
        <v>0</v>
      </c>
      <c r="E182" s="45">
        <v>1</v>
      </c>
      <c r="F182" s="45">
        <f>D182*E182</f>
        <v>0</v>
      </c>
      <c r="G182" s="800"/>
      <c r="H182" s="1582"/>
    </row>
    <row r="183" spans="1:9" ht="16.2" customHeight="1" thickBot="1" x14ac:dyDescent="0.3">
      <c r="A183" s="1806"/>
      <c r="B183" s="1523"/>
      <c r="C183" s="212" t="str">
        <f>F!C293</f>
        <v>Not applicable.  All of the AA is inundated throughout most years.</v>
      </c>
      <c r="D183" s="213">
        <f>F!D293</f>
        <v>0</v>
      </c>
      <c r="E183" s="193"/>
      <c r="F183" s="193"/>
      <c r="G183" s="794"/>
      <c r="H183" s="1600"/>
    </row>
    <row r="184" spans="1:9" ht="42" customHeight="1" thickBot="1" x14ac:dyDescent="0.3">
      <c r="A184" s="1803" t="str">
        <f>F!A294</f>
        <v>F57</v>
      </c>
      <c r="B184" s="1521" t="str">
        <f>F!B294</f>
        <v>Ground Irregularity (Girreg)</v>
      </c>
      <c r="C184" s="4" t="str">
        <f>F!C294</f>
        <v xml:space="preserve"> In parts of the AA that lack persistent water, the number of small pits, raised mounds, hummocks, boulders, upturned trees, animal burrows, islands, natural levees, wide soil cracks, and microdepressions is:</v>
      </c>
      <c r="D184" s="192"/>
      <c r="E184" s="46"/>
      <c r="F184" s="60"/>
      <c r="G184" s="799">
        <f>MAX(F185:F187)/MAX(E185:E187)</f>
        <v>0</v>
      </c>
      <c r="H184" s="1582" t="s">
        <v>649</v>
      </c>
      <c r="I184" s="2"/>
    </row>
    <row r="185" spans="1:9" ht="27" customHeight="1" x14ac:dyDescent="0.25">
      <c r="A185" s="1803"/>
      <c r="B185" s="1521"/>
      <c r="C185" s="393" t="str">
        <f>F!C295</f>
        <v>Few or none, or the entire AA is always water-covered.  Minimal microtopography; &lt;1% of the AA, e.g., many flat sites having a single hydroperiod.</v>
      </c>
      <c r="D185" s="1306">
        <f>F!D295</f>
        <v>0</v>
      </c>
      <c r="E185" s="45">
        <v>1</v>
      </c>
      <c r="F185" s="45">
        <f>D185*E185</f>
        <v>0</v>
      </c>
      <c r="G185" s="792"/>
      <c r="H185" s="1582"/>
    </row>
    <row r="186" spans="1:9" ht="16.2" customHeight="1" x14ac:dyDescent="0.25">
      <c r="A186" s="1803"/>
      <c r="B186" s="1521"/>
      <c r="C186" s="1275" t="str">
        <f>F!C296</f>
        <v>Intermediate.</v>
      </c>
      <c r="D186" s="1276">
        <f>F!D296</f>
        <v>0</v>
      </c>
      <c r="E186" s="45">
        <v>2</v>
      </c>
      <c r="F186" s="45">
        <f>D186*E186</f>
        <v>0</v>
      </c>
      <c r="G186" s="793"/>
      <c r="H186" s="1582"/>
    </row>
    <row r="187" spans="1:9" ht="16.2" customHeight="1" thickBot="1" x14ac:dyDescent="0.3">
      <c r="A187" s="1803"/>
      <c r="B187" s="1521"/>
      <c r="C187" s="1275" t="str">
        <f>F!C297</f>
        <v>Several (extensive micro-topography).</v>
      </c>
      <c r="D187" s="1276">
        <f>F!D297</f>
        <v>0</v>
      </c>
      <c r="E187" s="54">
        <v>3</v>
      </c>
      <c r="F187" s="54">
        <f>D187*E187</f>
        <v>0</v>
      </c>
      <c r="G187" s="800"/>
      <c r="H187" s="1582"/>
    </row>
    <row r="188" spans="1:9" ht="47.25" customHeight="1" thickBot="1" x14ac:dyDescent="0.3">
      <c r="A188" s="833" t="str">
        <f>F!A303</f>
        <v>F59</v>
      </c>
      <c r="B188" s="114" t="str">
        <f>F!B303</f>
        <v>Cliffs or Banks (Cliff)</v>
      </c>
      <c r="C188" s="1278" t="str">
        <f>F!C303</f>
        <v>Within 300 ft of the AA, there are elevated terrestrial features such as cliffs, bluffs, talus slopes, or unarmored stream banks that extend at least 6 ft nearly vertically, are unvegetated, and potentially contain crevices or other substrate suitable for nesting or den areas.  Enter 1, if true.</v>
      </c>
      <c r="D188" s="1279">
        <f>F!D303</f>
        <v>0</v>
      </c>
      <c r="E188" s="249"/>
      <c r="F188" s="835"/>
      <c r="G188" s="804">
        <f>D188</f>
        <v>0</v>
      </c>
      <c r="H188" s="114" t="s">
        <v>747</v>
      </c>
      <c r="I188" s="2"/>
    </row>
    <row r="189" spans="1:9" ht="60" customHeight="1" thickBot="1" x14ac:dyDescent="0.3">
      <c r="A189" s="1803" t="str">
        <f>F!A328</f>
        <v>F68</v>
      </c>
      <c r="B189" s="1521" t="str">
        <f>F!B328</f>
        <v>Core Area 1 (VisitNo)</v>
      </c>
      <c r="C189" s="4"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189" s="192"/>
      <c r="E189" s="46"/>
      <c r="F189" s="60"/>
      <c r="G189" s="799">
        <f>MAX(F190:F195)/MAX(E190:E195)</f>
        <v>0</v>
      </c>
      <c r="H189" s="1582" t="s">
        <v>135</v>
      </c>
      <c r="I189" s="2"/>
    </row>
    <row r="190" spans="1:9" ht="16.2" customHeight="1" x14ac:dyDescent="0.25">
      <c r="A190" s="1803"/>
      <c r="B190" s="1521"/>
      <c r="C190" s="236" t="str">
        <f>F!C329</f>
        <v>&lt;5% and no inhabited building is within 300 ft of the AA.</v>
      </c>
      <c r="D190" s="1304">
        <f>F!D329</f>
        <v>0</v>
      </c>
      <c r="E190" s="1064">
        <v>1</v>
      </c>
      <c r="F190" s="45">
        <f t="shared" ref="F190:F195" si="13">D190*E190</f>
        <v>0</v>
      </c>
      <c r="G190" s="792"/>
      <c r="H190" s="1582"/>
    </row>
    <row r="191" spans="1:9" ht="16.2" customHeight="1" x14ac:dyDescent="0.25">
      <c r="A191" s="1803"/>
      <c r="B191" s="1521"/>
      <c r="C191" s="237" t="str">
        <f>F!C330</f>
        <v>&lt;5% and inhabited building is within 300 ft of the AA.</v>
      </c>
      <c r="D191" s="1081">
        <f>F!D330</f>
        <v>0</v>
      </c>
      <c r="E191" s="1064">
        <v>0</v>
      </c>
      <c r="F191" s="45">
        <f t="shared" si="13"/>
        <v>0</v>
      </c>
      <c r="G191" s="793"/>
      <c r="H191" s="1582"/>
    </row>
    <row r="192" spans="1:9" ht="16.2" customHeight="1" x14ac:dyDescent="0.25">
      <c r="A192" s="1803"/>
      <c r="B192" s="1521"/>
      <c r="C192" s="237" t="str">
        <f>F!C331</f>
        <v>5 to &lt;50% and no inhabited building is within 300 ft of the AA.</v>
      </c>
      <c r="D192" s="1081">
        <f>F!D331</f>
        <v>0</v>
      </c>
      <c r="E192" s="1064">
        <v>3</v>
      </c>
      <c r="F192" s="45">
        <f t="shared" si="13"/>
        <v>0</v>
      </c>
      <c r="G192" s="793"/>
      <c r="H192" s="1582"/>
    </row>
    <row r="193" spans="1:9" ht="16.2" customHeight="1" x14ac:dyDescent="0.25">
      <c r="A193" s="1803"/>
      <c r="B193" s="1521"/>
      <c r="C193" s="237" t="str">
        <f>F!C332</f>
        <v>5 to &lt;50% and inhabited building is within 300 ft of the AA.</v>
      </c>
      <c r="D193" s="1081">
        <f>F!D332</f>
        <v>0</v>
      </c>
      <c r="E193" s="1064">
        <v>2</v>
      </c>
      <c r="F193" s="45">
        <f t="shared" si="13"/>
        <v>0</v>
      </c>
      <c r="G193" s="800"/>
      <c r="H193" s="1582"/>
    </row>
    <row r="194" spans="1:9" ht="16.2" customHeight="1" x14ac:dyDescent="0.25">
      <c r="A194" s="1803"/>
      <c r="B194" s="1521"/>
      <c r="C194" s="237" t="str">
        <f>F!C333</f>
        <v>50 to 95% with or without inhabited building nearby.</v>
      </c>
      <c r="D194" s="1081">
        <f>F!D333</f>
        <v>0</v>
      </c>
      <c r="E194" s="1064">
        <v>4</v>
      </c>
      <c r="F194" s="45">
        <f t="shared" si="13"/>
        <v>0</v>
      </c>
      <c r="G194" s="800"/>
      <c r="H194" s="1582"/>
    </row>
    <row r="195" spans="1:9" ht="16.2" customHeight="1" thickBot="1" x14ac:dyDescent="0.3">
      <c r="A195" s="1803"/>
      <c r="B195" s="1521"/>
      <c r="C195" s="1275" t="str">
        <f>F!C334</f>
        <v>&gt;95% of the AA with or without inhabited building nearby.</v>
      </c>
      <c r="D195" s="1276">
        <f>F!D334</f>
        <v>0</v>
      </c>
      <c r="E195" s="1066">
        <v>5</v>
      </c>
      <c r="F195" s="54">
        <f t="shared" si="13"/>
        <v>0</v>
      </c>
      <c r="G195" s="800"/>
      <c r="H195" s="1582"/>
    </row>
    <row r="196" spans="1:9" ht="30" customHeight="1" thickBot="1" x14ac:dyDescent="0.3">
      <c r="A196" s="1804" t="str">
        <f>F!A335</f>
        <v>F69</v>
      </c>
      <c r="B196" s="1522" t="str">
        <f>F!B335</f>
        <v>Core Area 2 (VisitOften)</v>
      </c>
      <c r="C196" s="4" t="str">
        <f>F!C335</f>
        <v>The part of the AA visited by humans almost daily for several weeks during an average growing season probably comprises:  [The Note in the preceding question applies here as well].</v>
      </c>
      <c r="D196" s="192"/>
      <c r="E196" s="1054"/>
      <c r="F196" s="241"/>
      <c r="G196" s="804">
        <f>MAX(F197:F200)/MAX(E197:E200)</f>
        <v>0</v>
      </c>
      <c r="H196" s="1599" t="s">
        <v>124</v>
      </c>
      <c r="I196" s="2"/>
    </row>
    <row r="197" spans="1:9" ht="16.2" customHeight="1" x14ac:dyDescent="0.25">
      <c r="A197" s="1805"/>
      <c r="B197" s="1521"/>
      <c r="C197" s="236" t="str">
        <f>F!C336</f>
        <v>&lt;5%.</v>
      </c>
      <c r="D197" s="1304">
        <f>F!D336</f>
        <v>0</v>
      </c>
      <c r="E197" s="1064">
        <v>3</v>
      </c>
      <c r="F197" s="45">
        <f>D197*E197</f>
        <v>0</v>
      </c>
      <c r="G197" s="792"/>
      <c r="H197" s="1582"/>
    </row>
    <row r="198" spans="1:9" ht="16.2" customHeight="1" x14ac:dyDescent="0.25">
      <c r="A198" s="1805"/>
      <c r="B198" s="1521"/>
      <c r="C198" s="237" t="str">
        <f>F!C337</f>
        <v>5 to &lt;50%.</v>
      </c>
      <c r="D198" s="1081">
        <f>F!D337</f>
        <v>0</v>
      </c>
      <c r="E198" s="1064">
        <v>2</v>
      </c>
      <c r="F198" s="45">
        <f>D198*E198</f>
        <v>0</v>
      </c>
      <c r="G198" s="793"/>
      <c r="H198" s="1582"/>
    </row>
    <row r="199" spans="1:9" ht="16.2" customHeight="1" x14ac:dyDescent="0.25">
      <c r="A199" s="1805"/>
      <c r="B199" s="1521"/>
      <c r="C199" s="237" t="str">
        <f>F!C338</f>
        <v>50 to 95%.</v>
      </c>
      <c r="D199" s="1081">
        <f>F!D338</f>
        <v>0</v>
      </c>
      <c r="E199" s="1064">
        <v>1</v>
      </c>
      <c r="F199" s="45">
        <f>D199*E199</f>
        <v>0</v>
      </c>
      <c r="G199" s="793"/>
      <c r="H199" s="1582"/>
    </row>
    <row r="200" spans="1:9" ht="16.2" customHeight="1" thickBot="1" x14ac:dyDescent="0.3">
      <c r="A200" s="1805"/>
      <c r="B200" s="1523"/>
      <c r="C200" s="212" t="str">
        <f>F!C339</f>
        <v>&gt;95% of the AA.</v>
      </c>
      <c r="D200" s="213">
        <f>F!D339</f>
        <v>0</v>
      </c>
      <c r="E200" s="1070">
        <v>0</v>
      </c>
      <c r="F200" s="193">
        <f>D200*E200</f>
        <v>0</v>
      </c>
      <c r="G200" s="794"/>
      <c r="H200" s="1600"/>
    </row>
    <row r="201" spans="1:9" s="361" customFormat="1" ht="36" customHeight="1" thickBot="1" x14ac:dyDescent="0.3">
      <c r="A201" s="374" t="s">
        <v>126</v>
      </c>
      <c r="B201" s="1327" t="s">
        <v>1468</v>
      </c>
      <c r="C201" s="920" t="s">
        <v>1271</v>
      </c>
      <c r="D201" s="920" t="s">
        <v>115</v>
      </c>
      <c r="E201" s="920" t="s">
        <v>771</v>
      </c>
      <c r="F201" s="920" t="s">
        <v>1462</v>
      </c>
      <c r="G201" s="920" t="s">
        <v>770</v>
      </c>
      <c r="H201" s="920" t="s">
        <v>772</v>
      </c>
    </row>
    <row r="202" spans="1:9" ht="21" customHeight="1" thickBot="1" x14ac:dyDescent="0.3">
      <c r="A202" s="2111" t="str">
        <f>T!A9</f>
        <v>T2</v>
      </c>
      <c r="B202" s="1911" t="str">
        <f>T!B9</f>
        <v>Salinity (SalinT)</v>
      </c>
      <c r="C202" s="114" t="str">
        <f>T!C9</f>
        <v>At high tide during most of the year, the daily salinity in most of the inundated part of the AA is:</v>
      </c>
      <c r="D202" s="210"/>
      <c r="E202" s="192"/>
      <c r="F202" s="192"/>
      <c r="G202" s="857">
        <f>IF((D207=1),"",MAX(F203:F207)/MAX(E203:E207))</f>
        <v>0</v>
      </c>
      <c r="H202" s="1522" t="s">
        <v>882</v>
      </c>
    </row>
    <row r="203" spans="1:9" ht="16.2" customHeight="1" x14ac:dyDescent="0.25">
      <c r="A203" s="2112"/>
      <c r="B203" s="1912"/>
      <c r="C203" s="1310" t="str">
        <f>T!C10</f>
        <v xml:space="preserve">Saline (&gt;25 ppt salinity, undiluted seawater).  </v>
      </c>
      <c r="D203" s="44">
        <f>T!D10</f>
        <v>0</v>
      </c>
      <c r="E203" s="45">
        <v>0</v>
      </c>
      <c r="F203" s="45">
        <f>D203*E203</f>
        <v>0</v>
      </c>
      <c r="G203" s="792"/>
      <c r="H203" s="1521"/>
    </row>
    <row r="204" spans="1:9" ht="16.2" customHeight="1" x14ac:dyDescent="0.25">
      <c r="A204" s="2112"/>
      <c r="B204" s="1912"/>
      <c r="C204" s="1311" t="str">
        <f>T!C11</f>
        <v>Moderately saline (5 to 25 ppt salinity).</v>
      </c>
      <c r="D204" s="44">
        <f>T!D11</f>
        <v>0</v>
      </c>
      <c r="E204" s="45">
        <v>1</v>
      </c>
      <c r="F204" s="45">
        <f>D204*E204</f>
        <v>0</v>
      </c>
      <c r="G204" s="793"/>
      <c r="H204" s="1521"/>
    </row>
    <row r="205" spans="1:9" ht="16.2" customHeight="1" x14ac:dyDescent="0.25">
      <c r="A205" s="2112"/>
      <c r="B205" s="1912"/>
      <c r="C205" s="1311" t="str">
        <f>T!C12</f>
        <v>Brackish (0.5 to &lt;5 ppt salinity, "oligohaline").</v>
      </c>
      <c r="D205" s="44">
        <f>T!D12</f>
        <v>0</v>
      </c>
      <c r="E205" s="45">
        <v>2</v>
      </c>
      <c r="F205" s="45">
        <f>D205*E205</f>
        <v>0</v>
      </c>
      <c r="G205" s="793"/>
      <c r="H205" s="1521"/>
    </row>
    <row r="206" spans="1:9" ht="16.2" customHeight="1" x14ac:dyDescent="0.25">
      <c r="A206" s="2112"/>
      <c r="B206" s="1912"/>
      <c r="C206" s="1311" t="str">
        <f>T!C13</f>
        <v>Fresh (&lt;0.5 ppt salinity).</v>
      </c>
      <c r="D206" s="44">
        <f>T!D13</f>
        <v>0</v>
      </c>
      <c r="E206" s="45">
        <v>3</v>
      </c>
      <c r="F206" s="45">
        <f>D206*E206</f>
        <v>0</v>
      </c>
      <c r="G206" s="793"/>
      <c r="H206" s="1521"/>
    </row>
    <row r="207" spans="1:9" ht="16.2" customHeight="1" thickBot="1" x14ac:dyDescent="0.3">
      <c r="A207" s="2113"/>
      <c r="B207" s="1913"/>
      <c r="C207" s="1308" t="str">
        <f>T!C14</f>
        <v>Unknown.</v>
      </c>
      <c r="D207" s="198">
        <f>T!D14</f>
        <v>0</v>
      </c>
      <c r="E207" s="193"/>
      <c r="F207" s="193"/>
      <c r="G207" s="794"/>
      <c r="H207" s="1523"/>
    </row>
    <row r="208" spans="1:9" ht="30" customHeight="1" thickBot="1" x14ac:dyDescent="0.3">
      <c r="A208" s="2111" t="str">
        <f>T!A15</f>
        <v>T3</v>
      </c>
      <c r="B208" s="1912" t="str">
        <f>T!B15</f>
        <v>Low Marsh (LowMarshT)</v>
      </c>
      <c r="C208" s="114" t="str">
        <f>T!C15</f>
        <v>The percent of the vegetated part of the AA that is "low marsh" (covered by tidal water for part of almost every day) is:</v>
      </c>
      <c r="D208" s="65"/>
      <c r="E208" s="46"/>
      <c r="F208" s="46"/>
      <c r="G208" s="857">
        <f>MAX(F209:F215)/MAX(E209:E215)</f>
        <v>0</v>
      </c>
      <c r="H208" s="1521" t="s">
        <v>881</v>
      </c>
    </row>
    <row r="209" spans="1:8" ht="16.2" customHeight="1" x14ac:dyDescent="0.25">
      <c r="A209" s="2112"/>
      <c r="B209" s="1912"/>
      <c r="C209" s="1310" t="str">
        <f>T!C16</f>
        <v>None, or &lt;1%.</v>
      </c>
      <c r="D209" s="44">
        <f>T!D16</f>
        <v>0</v>
      </c>
      <c r="E209" s="45">
        <v>6</v>
      </c>
      <c r="F209" s="45">
        <f t="shared" ref="F209:F215" si="14">D209*E209</f>
        <v>0</v>
      </c>
      <c r="G209" s="792"/>
      <c r="H209" s="1521"/>
    </row>
    <row r="210" spans="1:8" ht="16.2" customHeight="1" x14ac:dyDescent="0.25">
      <c r="A210" s="2112"/>
      <c r="B210" s="1912"/>
      <c r="C210" s="1311" t="str">
        <f>T!C17</f>
        <v>1 to &lt;10%.</v>
      </c>
      <c r="D210" s="44">
        <f>T!D17</f>
        <v>0</v>
      </c>
      <c r="E210" s="45">
        <v>5</v>
      </c>
      <c r="F210" s="45">
        <f t="shared" si="14"/>
        <v>0</v>
      </c>
      <c r="G210" s="793"/>
      <c r="H210" s="1521"/>
    </row>
    <row r="211" spans="1:8" ht="16.2" customHeight="1" x14ac:dyDescent="0.25">
      <c r="A211" s="2112"/>
      <c r="B211" s="1912"/>
      <c r="C211" s="1311" t="str">
        <f>T!C18</f>
        <v>10 to &lt;25%.</v>
      </c>
      <c r="D211" s="44">
        <f>T!D18</f>
        <v>0</v>
      </c>
      <c r="E211" s="45">
        <v>4</v>
      </c>
      <c r="F211" s="45">
        <f t="shared" si="14"/>
        <v>0</v>
      </c>
      <c r="G211" s="793"/>
      <c r="H211" s="1521"/>
    </row>
    <row r="212" spans="1:8" ht="16.2" customHeight="1" x14ac:dyDescent="0.25">
      <c r="A212" s="2112"/>
      <c r="B212" s="1912"/>
      <c r="C212" s="1311" t="str">
        <f>T!C19</f>
        <v>25 &lt;50%.</v>
      </c>
      <c r="D212" s="44">
        <f>T!D19</f>
        <v>0</v>
      </c>
      <c r="E212" s="45">
        <v>3</v>
      </c>
      <c r="F212" s="45">
        <f t="shared" si="14"/>
        <v>0</v>
      </c>
      <c r="G212" s="793"/>
      <c r="H212" s="1521"/>
    </row>
    <row r="213" spans="1:8" ht="16.2" customHeight="1" x14ac:dyDescent="0.25">
      <c r="A213" s="2112"/>
      <c r="B213" s="1912"/>
      <c r="C213" s="1311" t="str">
        <f>T!C20</f>
        <v>50 to &lt;75%.</v>
      </c>
      <c r="D213" s="44">
        <f>T!D20</f>
        <v>0</v>
      </c>
      <c r="E213" s="45">
        <v>2</v>
      </c>
      <c r="F213" s="45">
        <f t="shared" si="14"/>
        <v>0</v>
      </c>
      <c r="G213" s="793"/>
      <c r="H213" s="1521"/>
    </row>
    <row r="214" spans="1:8" ht="16.2" customHeight="1" x14ac:dyDescent="0.25">
      <c r="A214" s="2112"/>
      <c r="B214" s="1912"/>
      <c r="C214" s="1311" t="str">
        <f>T!C21</f>
        <v>75 to 90%.</v>
      </c>
      <c r="D214" s="44">
        <f>T!D21</f>
        <v>0</v>
      </c>
      <c r="E214" s="45">
        <v>1</v>
      </c>
      <c r="F214" s="45">
        <f t="shared" si="14"/>
        <v>0</v>
      </c>
      <c r="G214" s="793"/>
      <c r="H214" s="1521"/>
    </row>
    <row r="215" spans="1:8" ht="16.2" customHeight="1" thickBot="1" x14ac:dyDescent="0.3">
      <c r="A215" s="2113"/>
      <c r="B215" s="1912"/>
      <c r="C215" s="1307" t="str">
        <f>T!C22</f>
        <v>&gt;90%.</v>
      </c>
      <c r="D215" s="17">
        <f>T!D22</f>
        <v>0</v>
      </c>
      <c r="E215" s="54">
        <v>0</v>
      </c>
      <c r="F215" s="54">
        <f t="shared" si="14"/>
        <v>0</v>
      </c>
      <c r="G215" s="800"/>
      <c r="H215" s="1521"/>
    </row>
    <row r="216" spans="1:8" ht="30" customHeight="1" thickBot="1" x14ac:dyDescent="0.3">
      <c r="A216" s="2111" t="str">
        <f>T!A23</f>
        <v>T4</v>
      </c>
      <c r="B216" s="1911" t="str">
        <f>T!B23</f>
        <v>Width of Vegetated Zone at Daily High Tide (WidthHiT)</v>
      </c>
      <c r="C216" s="114" t="str">
        <f>T!C23</f>
        <v>At average daily HIGH tide condition, the width of the vegetated wetland that separates adjoining uplands (if any) from subtidal water within or adjoining the AA, is predominantly:</v>
      </c>
      <c r="D216" s="210"/>
      <c r="E216" s="192"/>
      <c r="F216" s="192"/>
      <c r="G216" s="857">
        <f>MAX(F217:F222)/MAX(E217:E222)</f>
        <v>0</v>
      </c>
      <c r="H216" s="1522" t="s">
        <v>740</v>
      </c>
    </row>
    <row r="217" spans="1:8" ht="16.2" customHeight="1" x14ac:dyDescent="0.25">
      <c r="A217" s="2112"/>
      <c r="B217" s="1912"/>
      <c r="C217" s="1310" t="str">
        <f>T!C24</f>
        <v>&lt;5 ft, or no vegetation between upland and subtidal water.</v>
      </c>
      <c r="D217" s="44">
        <f>T!D24</f>
        <v>0</v>
      </c>
      <c r="E217" s="45">
        <v>0</v>
      </c>
      <c r="F217" s="45">
        <f t="shared" ref="F217:F222" si="15">D217*E217</f>
        <v>0</v>
      </c>
      <c r="G217" s="792"/>
      <c r="H217" s="1521"/>
    </row>
    <row r="218" spans="1:8" ht="16.2" customHeight="1" x14ac:dyDescent="0.25">
      <c r="A218" s="2112"/>
      <c r="B218" s="1912"/>
      <c r="C218" s="1311" t="str">
        <f>T!C25</f>
        <v>5 to &lt;30 ft.</v>
      </c>
      <c r="D218" s="44">
        <f>T!D25</f>
        <v>0</v>
      </c>
      <c r="E218" s="45">
        <v>2</v>
      </c>
      <c r="F218" s="45">
        <f t="shared" si="15"/>
        <v>0</v>
      </c>
      <c r="G218" s="793"/>
      <c r="H218" s="1521"/>
    </row>
    <row r="219" spans="1:8" ht="16.2" customHeight="1" x14ac:dyDescent="0.25">
      <c r="A219" s="2112"/>
      <c r="B219" s="1912"/>
      <c r="C219" s="1311" t="str">
        <f>T!C26</f>
        <v>30 to &lt;50 ft.</v>
      </c>
      <c r="D219" s="44">
        <f>T!D26</f>
        <v>0</v>
      </c>
      <c r="E219" s="45">
        <v>3</v>
      </c>
      <c r="F219" s="45">
        <f t="shared" si="15"/>
        <v>0</v>
      </c>
      <c r="G219" s="793"/>
      <c r="H219" s="1521"/>
    </row>
    <row r="220" spans="1:8" ht="16.2" customHeight="1" x14ac:dyDescent="0.25">
      <c r="A220" s="2112"/>
      <c r="B220" s="1912"/>
      <c r="C220" s="1311" t="str">
        <f>T!C27</f>
        <v>50 to &lt;100 ft.</v>
      </c>
      <c r="D220" s="44">
        <f>T!D27</f>
        <v>0</v>
      </c>
      <c r="E220" s="45">
        <v>4</v>
      </c>
      <c r="F220" s="45">
        <f t="shared" si="15"/>
        <v>0</v>
      </c>
      <c r="G220" s="793"/>
      <c r="H220" s="1521"/>
    </row>
    <row r="221" spans="1:8" ht="16.2" customHeight="1" x14ac:dyDescent="0.25">
      <c r="A221" s="2112"/>
      <c r="B221" s="1912"/>
      <c r="C221" s="1311" t="str">
        <f>T!C28</f>
        <v>100 to 300 ft.</v>
      </c>
      <c r="D221" s="44">
        <f>T!D28</f>
        <v>0</v>
      </c>
      <c r="E221" s="45">
        <v>5</v>
      </c>
      <c r="F221" s="45">
        <f t="shared" si="15"/>
        <v>0</v>
      </c>
      <c r="G221" s="793"/>
      <c r="H221" s="1521"/>
    </row>
    <row r="222" spans="1:8" ht="16.2" customHeight="1" thickBot="1" x14ac:dyDescent="0.3">
      <c r="A222" s="2113"/>
      <c r="B222" s="1913"/>
      <c r="C222" s="1308" t="str">
        <f>T!C29</f>
        <v>&gt; 300 ft.</v>
      </c>
      <c r="D222" s="198">
        <f>T!D29</f>
        <v>0</v>
      </c>
      <c r="E222" s="193">
        <v>6</v>
      </c>
      <c r="F222" s="193">
        <f t="shared" si="15"/>
        <v>0</v>
      </c>
      <c r="G222" s="794"/>
      <c r="H222" s="1523"/>
    </row>
    <row r="223" spans="1:8" ht="24" customHeight="1" thickBot="1" x14ac:dyDescent="0.3">
      <c r="A223" s="2111" t="str">
        <f>T!A57</f>
        <v>T10</v>
      </c>
      <c r="B223" s="1912" t="str">
        <f>T!B57</f>
        <v>Tidal-Nontidal Hydro- connectivity (TnonT)</v>
      </c>
      <c r="C223" s="114" t="str">
        <f>T!C57</f>
        <v>This tidal wetland is : Select first one that applies.</v>
      </c>
      <c r="D223" s="65"/>
      <c r="E223" s="46"/>
      <c r="F223" s="46"/>
      <c r="G223" s="857">
        <f>MAX(F224:F229)/MAX(E224:E229)</f>
        <v>0</v>
      </c>
      <c r="H223" s="1521" t="s">
        <v>741</v>
      </c>
    </row>
    <row r="224" spans="1:8" ht="41.25" customHeight="1" x14ac:dyDescent="0.25">
      <c r="A224" s="2112"/>
      <c r="B224" s="1912"/>
      <c r="C224" s="1310" t="str">
        <f>T!C58</f>
        <v xml:space="preserve">Adjacent to a nontidal palustrine wetland that contains surface water at least seasonally. Anadromous fish can access both wetlands during spring. Mostly not separated by a dike or other barrier.  </v>
      </c>
      <c r="D224" s="44">
        <f>T!D58</f>
        <v>0</v>
      </c>
      <c r="E224" s="45">
        <v>2</v>
      </c>
      <c r="F224" s="45">
        <f t="shared" ref="F224:F241" si="16">D224*E224</f>
        <v>0</v>
      </c>
      <c r="G224" s="792"/>
      <c r="H224" s="1521"/>
    </row>
    <row r="225" spans="1:8" ht="40.5" customHeight="1" x14ac:dyDescent="0.25">
      <c r="A225" s="2112"/>
      <c r="B225" s="1912"/>
      <c r="C225" s="1311" t="str">
        <f>T!C59</f>
        <v>Adjacent to a nontidal palustrine wetland that contains surface water at least seasonally. Anadromous fish can access both wetlands during spring.  Mostly separated by a dike, road, or other partial barrier.</v>
      </c>
      <c r="D225" s="44">
        <f>T!D59</f>
        <v>0</v>
      </c>
      <c r="E225" s="45">
        <v>2</v>
      </c>
      <c r="F225" s="45">
        <f t="shared" si="16"/>
        <v>0</v>
      </c>
      <c r="G225" s="793"/>
      <c r="H225" s="1521"/>
    </row>
    <row r="226" spans="1:8" ht="27" customHeight="1" x14ac:dyDescent="0.25">
      <c r="A226" s="2112"/>
      <c r="B226" s="1912"/>
      <c r="C226" s="1311" t="str">
        <f>T!C60</f>
        <v xml:space="preserve">Adjacent to a nontidal palustrine wetland that contains surface water at least seasonally. Anadromous fish cannot access both wetlands during spring.  </v>
      </c>
      <c r="D226" s="44">
        <f>T!D60</f>
        <v>0</v>
      </c>
      <c r="E226" s="45">
        <v>2</v>
      </c>
      <c r="F226" s="45">
        <f t="shared" si="16"/>
        <v>0</v>
      </c>
      <c r="G226" s="793"/>
      <c r="H226" s="1521"/>
    </row>
    <row r="227" spans="1:8" ht="27" customHeight="1" x14ac:dyDescent="0.25">
      <c r="A227" s="2112"/>
      <c r="B227" s="1912"/>
      <c r="C227" s="1311" t="str">
        <f>T!C61</f>
        <v>Not adjacent to a nontidal palustrine wetland that contains surface water.  Has a freshwater tributary that allows fish passage during the springtime to a nontidal wetland &lt; 1 mile upstream.</v>
      </c>
      <c r="D227" s="44">
        <f>T!D61</f>
        <v>0</v>
      </c>
      <c r="E227" s="45">
        <v>1</v>
      </c>
      <c r="F227" s="45">
        <f t="shared" si="16"/>
        <v>0</v>
      </c>
      <c r="G227" s="793"/>
      <c r="H227" s="1521"/>
    </row>
    <row r="228" spans="1:8" ht="30.75" customHeight="1" x14ac:dyDescent="0.25">
      <c r="A228" s="2112"/>
      <c r="B228" s="1912"/>
      <c r="C228" s="1311" t="str">
        <f>T!C62</f>
        <v>Not adjacent to a nontidal palustrine wetland that contains surface water.  Has a freshwater tributary that allows fish passage during the springtime to a nontidal wetland &gt; 1 mile upstream.</v>
      </c>
      <c r="D228" s="44">
        <f>T!D62</f>
        <v>0</v>
      </c>
      <c r="E228" s="45">
        <v>1</v>
      </c>
      <c r="F228" s="45">
        <f t="shared" si="16"/>
        <v>0</v>
      </c>
      <c r="G228" s="793"/>
      <c r="H228" s="1521"/>
    </row>
    <row r="229" spans="1:8" ht="42.75" customHeight="1" thickBot="1" x14ac:dyDescent="0.3">
      <c r="A229" s="2113"/>
      <c r="B229" s="1912"/>
      <c r="C229" s="1307" t="str">
        <f>T!C63</f>
        <v>Not adjacent to a nontidal palustrine wetland that contains surface water.  Lacks a freshwater tributary that provides fish access to an upstream wetland  that contains surface water at least seasonally.</v>
      </c>
      <c r="D229" s="17">
        <f>T!D63</f>
        <v>0</v>
      </c>
      <c r="E229" s="54">
        <v>0</v>
      </c>
      <c r="F229" s="54">
        <f t="shared" si="16"/>
        <v>0</v>
      </c>
      <c r="G229" s="800"/>
      <c r="H229" s="1521"/>
    </row>
    <row r="230" spans="1:8" ht="30" customHeight="1" thickBot="1" x14ac:dyDescent="0.3">
      <c r="A230" s="2111" t="str">
        <f>T!A96</f>
        <v>T17</v>
      </c>
      <c r="B230" s="1911" t="str">
        <f>T!B96</f>
        <v>Vegetation Forms Significantly Present (VegformsT)</v>
      </c>
      <c r="C230" s="114" t="str">
        <f>T!C96</f>
        <v>The living vegetation forms that comprise &gt;5% of the AA's vegetative cover in late summer is: Select all that appy.</v>
      </c>
      <c r="D230" s="210"/>
      <c r="E230" s="192"/>
      <c r="F230" s="192"/>
      <c r="G230" s="857">
        <f>((SUM(D231:D235)/5) +MAX(F231:F235)/MAX(E231:E235))/2</f>
        <v>0</v>
      </c>
      <c r="H230" s="1522" t="s">
        <v>742</v>
      </c>
    </row>
    <row r="231" spans="1:8" ht="16.2" customHeight="1" x14ac:dyDescent="0.25">
      <c r="A231" s="2112"/>
      <c r="B231" s="1912"/>
      <c r="C231" s="1310" t="str">
        <f>T!C97</f>
        <v>Macroalgae (seaweed).</v>
      </c>
      <c r="D231" s="44">
        <f>T!D97</f>
        <v>0</v>
      </c>
      <c r="E231" s="45">
        <v>0</v>
      </c>
      <c r="F231" s="45">
        <f t="shared" si="16"/>
        <v>0</v>
      </c>
      <c r="G231" s="792"/>
      <c r="H231" s="1521"/>
    </row>
    <row r="232" spans="1:8" ht="16.2" customHeight="1" x14ac:dyDescent="0.25">
      <c r="A232" s="2112"/>
      <c r="B232" s="1912"/>
      <c r="C232" s="1311" t="str">
        <f>T!C98</f>
        <v>Eelgrass.</v>
      </c>
      <c r="D232" s="44">
        <f>T!D98</f>
        <v>0</v>
      </c>
      <c r="E232" s="45">
        <v>0</v>
      </c>
      <c r="F232" s="45">
        <f t="shared" si="16"/>
        <v>0</v>
      </c>
      <c r="G232" s="793"/>
      <c r="H232" s="1521"/>
    </row>
    <row r="233" spans="1:8" ht="16.2" customHeight="1" x14ac:dyDescent="0.25">
      <c r="A233" s="2112"/>
      <c r="B233" s="1912"/>
      <c r="C233" s="1311" t="str">
        <f>T!C99</f>
        <v>Graminoids (other than eelgrass).</v>
      </c>
      <c r="D233" s="44">
        <f>T!D99</f>
        <v>0</v>
      </c>
      <c r="E233" s="45">
        <v>1</v>
      </c>
      <c r="F233" s="45">
        <f t="shared" si="16"/>
        <v>0</v>
      </c>
      <c r="G233" s="793"/>
      <c r="H233" s="1521"/>
    </row>
    <row r="234" spans="1:8" ht="16.2" customHeight="1" x14ac:dyDescent="0.25">
      <c r="A234" s="2112"/>
      <c r="B234" s="1912"/>
      <c r="C234" s="1311" t="str">
        <f>T!C100</f>
        <v>Forbs.</v>
      </c>
      <c r="D234" s="44">
        <f>T!D100</f>
        <v>0</v>
      </c>
      <c r="E234" s="45">
        <v>1</v>
      </c>
      <c r="F234" s="45">
        <f t="shared" si="16"/>
        <v>0</v>
      </c>
      <c r="G234" s="793"/>
      <c r="H234" s="1521"/>
    </row>
    <row r="235" spans="1:8" ht="16.2" customHeight="1" thickBot="1" x14ac:dyDescent="0.3">
      <c r="A235" s="2113"/>
      <c r="B235" s="1913"/>
      <c r="C235" s="1308" t="str">
        <f>T!C101</f>
        <v>Shrubs and/or trees.</v>
      </c>
      <c r="D235" s="198">
        <f>T!D101</f>
        <v>0</v>
      </c>
      <c r="E235" s="193">
        <v>2</v>
      </c>
      <c r="F235" s="193">
        <f t="shared" si="16"/>
        <v>0</v>
      </c>
      <c r="G235" s="794"/>
      <c r="H235" s="1523"/>
    </row>
    <row r="236" spans="1:8" ht="30" customHeight="1" thickBot="1" x14ac:dyDescent="0.3">
      <c r="A236" s="2111" t="str">
        <f>T!A112</f>
        <v>T20</v>
      </c>
      <c r="B236" s="1912" t="str">
        <f>T!B112</f>
        <v>Species Dominance (VegSpDomT)</v>
      </c>
      <c r="C236" s="114" t="str">
        <f>T!C112</f>
        <v>Within the form identified as the predominant macrophyte, the 2 most common native species together comprise:</v>
      </c>
      <c r="D236" s="65"/>
      <c r="E236" s="46"/>
      <c r="F236" s="46"/>
      <c r="G236" s="857">
        <f>MAX(F237:F241)/MAX(E237:E241)</f>
        <v>0</v>
      </c>
      <c r="H236" s="1521" t="s">
        <v>743</v>
      </c>
    </row>
    <row r="237" spans="1:8" ht="16.2" customHeight="1" x14ac:dyDescent="0.25">
      <c r="A237" s="2112"/>
      <c r="B237" s="1912"/>
      <c r="C237" s="1310" t="str">
        <f>T!C113</f>
        <v>&lt;20% of the AA's vegetated area (most species-rich, no dominants or co-dominants).</v>
      </c>
      <c r="D237" s="44">
        <f>T!D113</f>
        <v>0</v>
      </c>
      <c r="E237" s="45">
        <v>5</v>
      </c>
      <c r="F237" s="45">
        <f t="shared" si="16"/>
        <v>0</v>
      </c>
      <c r="G237" s="792"/>
      <c r="H237" s="1521"/>
    </row>
    <row r="238" spans="1:8" ht="16.2" customHeight="1" x14ac:dyDescent="0.25">
      <c r="A238" s="2112"/>
      <c r="B238" s="1912"/>
      <c r="C238" s="1311" t="str">
        <f>T!C114</f>
        <v>20 to &lt;40% of the AA's vegetated area.</v>
      </c>
      <c r="D238" s="44">
        <f>T!D114</f>
        <v>0</v>
      </c>
      <c r="E238" s="45">
        <v>4</v>
      </c>
      <c r="F238" s="45">
        <f t="shared" si="16"/>
        <v>0</v>
      </c>
      <c r="G238" s="793"/>
      <c r="H238" s="1521"/>
    </row>
    <row r="239" spans="1:8" ht="16.2" customHeight="1" x14ac:dyDescent="0.25">
      <c r="A239" s="2112"/>
      <c r="B239" s="1912"/>
      <c r="C239" s="1311" t="str">
        <f>T!C115</f>
        <v>40 to &lt;60% of the AA's vegetated area.</v>
      </c>
      <c r="D239" s="44">
        <f>T!D115</f>
        <v>0</v>
      </c>
      <c r="E239" s="45">
        <v>3</v>
      </c>
      <c r="F239" s="45">
        <f t="shared" si="16"/>
        <v>0</v>
      </c>
      <c r="G239" s="793"/>
      <c r="H239" s="1521"/>
    </row>
    <row r="240" spans="1:8" ht="16.2" customHeight="1" x14ac:dyDescent="0.25">
      <c r="A240" s="2112"/>
      <c r="B240" s="1912"/>
      <c r="C240" s="1311" t="str">
        <f>T!C116</f>
        <v>60 to 80% of the AA's vegetated area.</v>
      </c>
      <c r="D240" s="44">
        <f>T!D116</f>
        <v>0</v>
      </c>
      <c r="E240" s="45">
        <v>2</v>
      </c>
      <c r="F240" s="45">
        <f t="shared" si="16"/>
        <v>0</v>
      </c>
      <c r="G240" s="793"/>
      <c r="H240" s="1521"/>
    </row>
    <row r="241" spans="1:8" ht="16.2" customHeight="1" thickBot="1" x14ac:dyDescent="0.3">
      <c r="A241" s="2113"/>
      <c r="B241" s="1912"/>
      <c r="C241" s="1307" t="str">
        <f>T!C117</f>
        <v>&gt;80% of the AA's vegetated area (monotypic or nearly so).</v>
      </c>
      <c r="D241" s="17">
        <f>T!D117</f>
        <v>0</v>
      </c>
      <c r="E241" s="54">
        <v>1</v>
      </c>
      <c r="F241" s="54">
        <f t="shared" si="16"/>
        <v>0</v>
      </c>
      <c r="G241" s="800"/>
      <c r="H241" s="1521"/>
    </row>
    <row r="242" spans="1:8" ht="21" customHeight="1" thickBot="1" x14ac:dyDescent="0.3">
      <c r="A242" s="2111" t="str">
        <f>T!A118</f>
        <v>T21</v>
      </c>
      <c r="B242" s="1911" t="str">
        <f>T!B118</f>
        <v>Emergent Plants -- Area (EmAreaT)</v>
      </c>
      <c r="C242" s="114" t="str">
        <f>T!C118</f>
        <v>For the wetland as a whole, emergent plants cumulatively occupy an annual maximum of:</v>
      </c>
      <c r="D242" s="210"/>
      <c r="E242" s="192"/>
      <c r="F242" s="192"/>
      <c r="G242" s="857">
        <f>MAX(F243:F252)/MAX(E243:E252)</f>
        <v>0</v>
      </c>
      <c r="H242" s="1522" t="s">
        <v>744</v>
      </c>
    </row>
    <row r="243" spans="1:8" ht="16.2" customHeight="1" x14ac:dyDescent="0.25">
      <c r="A243" s="2112"/>
      <c r="B243" s="1912"/>
      <c r="C243" s="1310" t="str">
        <f>T!C119</f>
        <v>&lt;0.01 acre (&lt; 400 sq.ft) or none.</v>
      </c>
      <c r="D243" s="44">
        <f>T!D119</f>
        <v>0</v>
      </c>
      <c r="E243" s="45">
        <v>0</v>
      </c>
      <c r="F243" s="45">
        <f t="shared" ref="F243:F252" si="17">D243*E243</f>
        <v>0</v>
      </c>
      <c r="G243" s="792"/>
      <c r="H243" s="1521"/>
    </row>
    <row r="244" spans="1:8" ht="16.2" customHeight="1" x14ac:dyDescent="0.25">
      <c r="A244" s="2112"/>
      <c r="B244" s="1912"/>
      <c r="C244" s="1311" t="str">
        <f>T!C120</f>
        <v>0.01 to &lt;0.10 acres (3,920 sq. ft).</v>
      </c>
      <c r="D244" s="44">
        <f>T!D120</f>
        <v>0</v>
      </c>
      <c r="E244" s="45">
        <v>1</v>
      </c>
      <c r="F244" s="45">
        <f t="shared" si="17"/>
        <v>0</v>
      </c>
      <c r="G244" s="793"/>
      <c r="H244" s="1521"/>
    </row>
    <row r="245" spans="1:8" ht="16.2" customHeight="1" x14ac:dyDescent="0.25">
      <c r="A245" s="2112"/>
      <c r="B245" s="1912"/>
      <c r="C245" s="1311" t="str">
        <f>T!C121</f>
        <v>0.10 to &lt;0.50 acres (21,340 sq. ft).</v>
      </c>
      <c r="D245" s="44">
        <f>T!D121</f>
        <v>0</v>
      </c>
      <c r="E245" s="45">
        <v>2</v>
      </c>
      <c r="F245" s="45">
        <f t="shared" si="17"/>
        <v>0</v>
      </c>
      <c r="G245" s="793"/>
      <c r="H245" s="1521"/>
    </row>
    <row r="246" spans="1:8" ht="16.2" customHeight="1" x14ac:dyDescent="0.25">
      <c r="A246" s="2112"/>
      <c r="B246" s="1912"/>
      <c r="C246" s="1311" t="str">
        <f>T!C122</f>
        <v>0.50 to &lt;1 acres.</v>
      </c>
      <c r="D246" s="44">
        <f>T!D122</f>
        <v>0</v>
      </c>
      <c r="E246" s="45">
        <v>3</v>
      </c>
      <c r="F246" s="45">
        <f t="shared" si="17"/>
        <v>0</v>
      </c>
      <c r="G246" s="793"/>
      <c r="H246" s="1521"/>
    </row>
    <row r="247" spans="1:8" ht="16.2" customHeight="1" x14ac:dyDescent="0.25">
      <c r="A247" s="2112"/>
      <c r="B247" s="1912"/>
      <c r="C247" s="1311" t="str">
        <f>T!C123</f>
        <v>1 to &lt;5 acres.</v>
      </c>
      <c r="D247" s="44">
        <f>T!D123</f>
        <v>0</v>
      </c>
      <c r="E247" s="45">
        <v>5</v>
      </c>
      <c r="F247" s="45">
        <f t="shared" si="17"/>
        <v>0</v>
      </c>
      <c r="G247" s="793"/>
      <c r="H247" s="1521"/>
    </row>
    <row r="248" spans="1:8" ht="16.2" customHeight="1" x14ac:dyDescent="0.25">
      <c r="A248" s="2112"/>
      <c r="B248" s="1912"/>
      <c r="C248" s="1311" t="str">
        <f>T!C124</f>
        <v>5 to &lt;50 acres.</v>
      </c>
      <c r="D248" s="44">
        <f>T!D124</f>
        <v>0</v>
      </c>
      <c r="E248" s="45">
        <v>7</v>
      </c>
      <c r="F248" s="45">
        <f t="shared" si="17"/>
        <v>0</v>
      </c>
      <c r="G248" s="793"/>
      <c r="H248" s="1521"/>
    </row>
    <row r="249" spans="1:8" ht="16.2" customHeight="1" x14ac:dyDescent="0.25">
      <c r="A249" s="2112"/>
      <c r="B249" s="1912"/>
      <c r="C249" s="1311" t="str">
        <f>T!C125</f>
        <v>50 to &lt;640 acres (1 sq. mi).</v>
      </c>
      <c r="D249" s="44">
        <f>T!D125</f>
        <v>0</v>
      </c>
      <c r="E249" s="45">
        <v>9</v>
      </c>
      <c r="F249" s="45">
        <f t="shared" si="17"/>
        <v>0</v>
      </c>
      <c r="G249" s="793"/>
      <c r="H249" s="1521"/>
    </row>
    <row r="250" spans="1:8" ht="16.2" customHeight="1" x14ac:dyDescent="0.25">
      <c r="A250" s="2112"/>
      <c r="B250" s="1912"/>
      <c r="C250" s="1311" t="str">
        <f>T!C126</f>
        <v>640 to &lt;1000 acres .</v>
      </c>
      <c r="D250" s="44">
        <f>T!D126</f>
        <v>0</v>
      </c>
      <c r="E250" s="45">
        <v>10</v>
      </c>
      <c r="F250" s="45">
        <f t="shared" si="17"/>
        <v>0</v>
      </c>
      <c r="G250" s="793"/>
      <c r="H250" s="1521"/>
    </row>
    <row r="251" spans="1:8" ht="16.2" customHeight="1" x14ac:dyDescent="0.25">
      <c r="A251" s="2112"/>
      <c r="B251" s="1912"/>
      <c r="C251" s="1311" t="str">
        <f>T!C127</f>
        <v>1000 to 2500 acres.</v>
      </c>
      <c r="D251" s="44">
        <f>T!D127</f>
        <v>0</v>
      </c>
      <c r="E251" s="45">
        <v>11</v>
      </c>
      <c r="F251" s="45">
        <f t="shared" si="17"/>
        <v>0</v>
      </c>
      <c r="G251" s="793"/>
      <c r="H251" s="1521"/>
    </row>
    <row r="252" spans="1:8" ht="16.2" customHeight="1" thickBot="1" x14ac:dyDescent="0.3">
      <c r="A252" s="2113"/>
      <c r="B252" s="1913"/>
      <c r="C252" s="1308" t="str">
        <f>T!C128</f>
        <v>&gt;2500 acres (&gt;4 sq.mi).</v>
      </c>
      <c r="D252" s="198">
        <f>T!D128</f>
        <v>0</v>
      </c>
      <c r="E252" s="193">
        <v>12</v>
      </c>
      <c r="F252" s="193">
        <f t="shared" si="17"/>
        <v>0</v>
      </c>
      <c r="G252" s="794"/>
      <c r="H252" s="1523"/>
    </row>
    <row r="253" spans="1:8" ht="21" customHeight="1" thickBot="1" x14ac:dyDescent="0.3">
      <c r="A253" s="2111" t="str">
        <f>T!A140</f>
        <v>T25</v>
      </c>
      <c r="B253" s="1911" t="str">
        <f>T!B140</f>
        <v>Driftwood (DriftwoodT)</v>
      </c>
      <c r="C253" s="114" t="str">
        <f>T!C140</f>
        <v>The extent of driftwood on the land surface is:</v>
      </c>
      <c r="D253" s="210"/>
      <c r="E253" s="192"/>
      <c r="F253" s="192"/>
      <c r="G253" s="857">
        <f>MAX(F254:F256)/MAX(E254:E256)</f>
        <v>0</v>
      </c>
      <c r="H253" s="1522" t="s">
        <v>745</v>
      </c>
    </row>
    <row r="254" spans="1:8" ht="16.2" customHeight="1" x14ac:dyDescent="0.25">
      <c r="A254" s="2112"/>
      <c r="B254" s="1912"/>
      <c r="C254" s="1310" t="str">
        <f>T!C141</f>
        <v>None or little.</v>
      </c>
      <c r="D254" s="44">
        <f>T!D141</f>
        <v>0</v>
      </c>
      <c r="E254" s="45">
        <v>0</v>
      </c>
      <c r="F254" s="45">
        <f>D254*E254</f>
        <v>0</v>
      </c>
      <c r="G254" s="792"/>
      <c r="H254" s="1521"/>
    </row>
    <row r="255" spans="1:8" ht="16.2" customHeight="1" x14ac:dyDescent="0.25">
      <c r="A255" s="2112"/>
      <c r="B255" s="1912"/>
      <c r="C255" s="1311" t="str">
        <f>T!C142</f>
        <v>Intermediate (~ 1 piece/200 ft. of shoreline, or &gt;1,000 square feet).</v>
      </c>
      <c r="D255" s="44">
        <f>T!D142</f>
        <v>0</v>
      </c>
      <c r="E255" s="45">
        <v>1</v>
      </c>
      <c r="F255" s="45">
        <f>D255*E255</f>
        <v>0</v>
      </c>
      <c r="G255" s="793"/>
      <c r="H255" s="1521"/>
    </row>
    <row r="256" spans="1:8" ht="16.2" customHeight="1" thickBot="1" x14ac:dyDescent="0.3">
      <c r="A256" s="2113"/>
      <c r="B256" s="1913"/>
      <c r="C256" s="1308" t="str">
        <f>T!C143</f>
        <v>High (&gt;1 piece/100 ft. of shoreline, or &gt;1,000 square feet ).</v>
      </c>
      <c r="D256" s="198">
        <f>T!D143</f>
        <v>0</v>
      </c>
      <c r="E256" s="193">
        <v>2</v>
      </c>
      <c r="F256" s="193">
        <f>D256*E256</f>
        <v>0</v>
      </c>
      <c r="G256" s="794"/>
      <c r="H256" s="1523"/>
    </row>
    <row r="257" spans="1:8" ht="30" customHeight="1" thickBot="1" x14ac:dyDescent="0.3">
      <c r="A257" s="2111" t="str">
        <f>T!A149</f>
        <v>T27</v>
      </c>
      <c r="B257" s="1912" t="str">
        <f>T!B149</f>
        <v>Upland Perennial Cover - % of AA's Edge (PerimPctPerT)</v>
      </c>
      <c r="C257" s="114" t="str">
        <f>T!C149</f>
        <v xml:space="preserve">The percentage of the AA's edge (perimeter) that is comprised of a band of upland perennial cover wider than 10 ft and taller than 6 inches during most of the growing season is:  </v>
      </c>
      <c r="D257" s="65"/>
      <c r="E257" s="46"/>
      <c r="F257" s="46"/>
      <c r="G257" s="857">
        <f>MAX(F258:F263)/MAX(E258:E263)</f>
        <v>0</v>
      </c>
      <c r="H257" s="1521" t="s">
        <v>255</v>
      </c>
    </row>
    <row r="258" spans="1:8" ht="16.2" customHeight="1" x14ac:dyDescent="0.25">
      <c r="A258" s="2112"/>
      <c r="B258" s="1912"/>
      <c r="C258" s="1310" t="str">
        <f>T!C150</f>
        <v>&lt;5%.</v>
      </c>
      <c r="D258" s="44">
        <f>T!D150</f>
        <v>0</v>
      </c>
      <c r="E258" s="45">
        <v>0</v>
      </c>
      <c r="F258" s="45">
        <f t="shared" ref="F258:F263" si="18">D258*E258</f>
        <v>0</v>
      </c>
      <c r="G258" s="792"/>
      <c r="H258" s="1521"/>
    </row>
    <row r="259" spans="1:8" ht="16.2" customHeight="1" x14ac:dyDescent="0.25">
      <c r="A259" s="2112"/>
      <c r="B259" s="1912"/>
      <c r="C259" s="1311" t="str">
        <f>T!C151</f>
        <v>5 to &lt;25%.</v>
      </c>
      <c r="D259" s="44">
        <f>T!D151</f>
        <v>0</v>
      </c>
      <c r="E259" s="45">
        <v>2</v>
      </c>
      <c r="F259" s="45">
        <f t="shared" si="18"/>
        <v>0</v>
      </c>
      <c r="G259" s="793"/>
      <c r="H259" s="1521"/>
    </row>
    <row r="260" spans="1:8" ht="16.2" customHeight="1" x14ac:dyDescent="0.25">
      <c r="A260" s="2112"/>
      <c r="B260" s="1912"/>
      <c r="C260" s="1311" t="str">
        <f>T!C152</f>
        <v>25 to &lt;50%.</v>
      </c>
      <c r="D260" s="44">
        <f>T!D152</f>
        <v>0</v>
      </c>
      <c r="E260" s="45">
        <v>4</v>
      </c>
      <c r="F260" s="45">
        <f t="shared" si="18"/>
        <v>0</v>
      </c>
      <c r="G260" s="793"/>
      <c r="H260" s="1521"/>
    </row>
    <row r="261" spans="1:8" ht="16.2" customHeight="1" x14ac:dyDescent="0.25">
      <c r="A261" s="2112"/>
      <c r="B261" s="1912"/>
      <c r="C261" s="1311" t="str">
        <f>T!C153</f>
        <v>50 to &lt;75%.</v>
      </c>
      <c r="D261" s="44">
        <f>T!D153</f>
        <v>0</v>
      </c>
      <c r="E261" s="45">
        <v>5</v>
      </c>
      <c r="F261" s="45">
        <f t="shared" si="18"/>
        <v>0</v>
      </c>
      <c r="G261" s="793"/>
      <c r="H261" s="1521"/>
    </row>
    <row r="262" spans="1:8" ht="16.2" customHeight="1" x14ac:dyDescent="0.25">
      <c r="A262" s="2112"/>
      <c r="B262" s="1912"/>
      <c r="C262" s="1311" t="str">
        <f>T!C154</f>
        <v>75 to 95%.</v>
      </c>
      <c r="D262" s="44">
        <f>T!D154</f>
        <v>0</v>
      </c>
      <c r="E262" s="45">
        <v>6</v>
      </c>
      <c r="F262" s="45">
        <f t="shared" si="18"/>
        <v>0</v>
      </c>
      <c r="G262" s="793"/>
      <c r="H262" s="1521"/>
    </row>
    <row r="263" spans="1:8" ht="16.2" customHeight="1" thickBot="1" x14ac:dyDescent="0.3">
      <c r="A263" s="2113"/>
      <c r="B263" s="1912"/>
      <c r="C263" s="1307" t="str">
        <f>T!C155</f>
        <v>&gt;95%.</v>
      </c>
      <c r="D263" s="17">
        <f>T!D155</f>
        <v>0</v>
      </c>
      <c r="E263" s="54">
        <v>7</v>
      </c>
      <c r="F263" s="54">
        <f t="shared" si="18"/>
        <v>0</v>
      </c>
      <c r="G263" s="800"/>
      <c r="H263" s="1521"/>
    </row>
    <row r="264" spans="1:8" ht="45" customHeight="1" thickBot="1" x14ac:dyDescent="0.3">
      <c r="A264" s="2111" t="str">
        <f>T!A156</f>
        <v>T28</v>
      </c>
      <c r="B264" s="1911" t="str">
        <f>T!B156</f>
        <v>Upland Perennial Cover - Width (Buffer)  (BuffWidthT)</v>
      </c>
      <c r="C264" s="114" t="str">
        <f>T!C156</f>
        <v>Along the greatest portion of the AA's upland edge, the width (not necessarily the maximum width) of perennial cover taller than 6 inches during most of the growing season and extending upslope from the AA until mostly shorter or non-perennial cover is reached is:</v>
      </c>
      <c r="D264" s="210"/>
      <c r="E264" s="192"/>
      <c r="F264" s="192"/>
      <c r="G264" s="857">
        <f>MAX(F265:F270)/MAX(E265:E270)</f>
        <v>0</v>
      </c>
      <c r="H264" s="1599" t="s">
        <v>883</v>
      </c>
    </row>
    <row r="265" spans="1:8" ht="16.2" customHeight="1" x14ac:dyDescent="0.25">
      <c r="A265" s="2112"/>
      <c r="B265" s="1912"/>
      <c r="C265" s="1310" t="str">
        <f>T!C157</f>
        <v xml:space="preserve">&lt; 5 ft, or none.  </v>
      </c>
      <c r="D265" s="44">
        <f>T!D157</f>
        <v>0</v>
      </c>
      <c r="E265" s="45">
        <v>0</v>
      </c>
      <c r="F265" s="45">
        <f t="shared" ref="F265:F270" si="19">D265*E265</f>
        <v>0</v>
      </c>
      <c r="G265" s="792"/>
      <c r="H265" s="1582"/>
    </row>
    <row r="266" spans="1:8" ht="16.2" customHeight="1" x14ac:dyDescent="0.25">
      <c r="A266" s="2112"/>
      <c r="B266" s="1912"/>
      <c r="C266" s="1311" t="str">
        <f>T!C158</f>
        <v>5 to &lt;30 ft.</v>
      </c>
      <c r="D266" s="44">
        <f>T!D158</f>
        <v>0</v>
      </c>
      <c r="E266" s="45">
        <v>2</v>
      </c>
      <c r="F266" s="45">
        <f t="shared" si="19"/>
        <v>0</v>
      </c>
      <c r="G266" s="793"/>
      <c r="H266" s="1582"/>
    </row>
    <row r="267" spans="1:8" ht="16.2" customHeight="1" x14ac:dyDescent="0.25">
      <c r="A267" s="2112"/>
      <c r="B267" s="1912"/>
      <c r="C267" s="1311" t="str">
        <f>T!C159</f>
        <v>30 to &lt;50 ft.</v>
      </c>
      <c r="D267" s="44">
        <f>T!D159</f>
        <v>0</v>
      </c>
      <c r="E267" s="45">
        <v>4</v>
      </c>
      <c r="F267" s="45">
        <f t="shared" si="19"/>
        <v>0</v>
      </c>
      <c r="G267" s="793"/>
      <c r="H267" s="1582"/>
    </row>
    <row r="268" spans="1:8" ht="16.2" customHeight="1" x14ac:dyDescent="0.25">
      <c r="A268" s="2112"/>
      <c r="B268" s="1912"/>
      <c r="C268" s="1311" t="str">
        <f>T!C160</f>
        <v>50 to &lt;100 ft.</v>
      </c>
      <c r="D268" s="44">
        <f>T!D160</f>
        <v>0</v>
      </c>
      <c r="E268" s="45">
        <v>6</v>
      </c>
      <c r="F268" s="45">
        <f t="shared" si="19"/>
        <v>0</v>
      </c>
      <c r="G268" s="793"/>
      <c r="H268" s="1582"/>
    </row>
    <row r="269" spans="1:8" ht="16.2" customHeight="1" x14ac:dyDescent="0.25">
      <c r="A269" s="2112"/>
      <c r="B269" s="1912"/>
      <c r="C269" s="1311" t="str">
        <f>T!C161</f>
        <v>100 to 300 ft.             IF #T27 also was answered &gt;95%, enter 1 and SKIP to T30.</v>
      </c>
      <c r="D269" s="44">
        <f>T!D161</f>
        <v>0</v>
      </c>
      <c r="E269" s="45">
        <v>7</v>
      </c>
      <c r="F269" s="45">
        <f t="shared" si="19"/>
        <v>0</v>
      </c>
      <c r="G269" s="793"/>
      <c r="H269" s="1582"/>
    </row>
    <row r="270" spans="1:8" ht="16.2" customHeight="1" thickBot="1" x14ac:dyDescent="0.3">
      <c r="A270" s="2113"/>
      <c r="B270" s="1913"/>
      <c r="C270" s="1308" t="str">
        <f>T!C162</f>
        <v>&gt; 300 ft.                    IF #T27 also was answered &gt;95%, enter 1 and SKIP to T30.</v>
      </c>
      <c r="D270" s="198">
        <f>T!D162</f>
        <v>0</v>
      </c>
      <c r="E270" s="193">
        <v>8</v>
      </c>
      <c r="F270" s="193">
        <f t="shared" si="19"/>
        <v>0</v>
      </c>
      <c r="G270" s="794"/>
      <c r="H270" s="1600"/>
    </row>
    <row r="271" spans="1:8" ht="21" customHeight="1" thickBot="1" x14ac:dyDescent="0.3">
      <c r="A271" s="2111" t="str">
        <f>T!A180</f>
        <v>T32</v>
      </c>
      <c r="B271" s="1912" t="str">
        <f>T!B180</f>
        <v>Bare Ground &amp; Accumulated Plant Litter (GcoverT)</v>
      </c>
      <c r="C271" s="114" t="str">
        <f>T!C180</f>
        <v>Viewed from 6 inches above the soil surface, the condition in most of the tidal wetland is:</v>
      </c>
      <c r="D271" s="65"/>
      <c r="E271" s="46"/>
      <c r="F271" s="46"/>
      <c r="G271" s="857">
        <f>IF((D276=1),"",MAX(F272:F275)/MAX(E272:E275))</f>
        <v>0</v>
      </c>
      <c r="H271" s="1521" t="s">
        <v>120</v>
      </c>
    </row>
    <row r="272" spans="1:8" ht="56.25" customHeight="1" x14ac:dyDescent="0.25">
      <c r="A272" s="2112"/>
      <c r="B272" s="1912"/>
      <c r="C272" s="1310"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272" s="44">
        <f>T!D181</f>
        <v>0</v>
      </c>
      <c r="E272" s="45">
        <v>5</v>
      </c>
      <c r="F272" s="45">
        <f>D272*E272</f>
        <v>0</v>
      </c>
      <c r="G272" s="792"/>
      <c r="H272" s="1521"/>
    </row>
    <row r="273" spans="1:9" ht="27" customHeight="1" x14ac:dyDescent="0.25">
      <c r="A273" s="2112"/>
      <c r="B273" s="1912"/>
      <c r="C273" s="1311" t="str">
        <f>T!C182</f>
        <v>Some (5-20%) bare ground or remaining thatch is visible.  Herbaceous plants have moderate stem densities and do not closely hug the ground.</v>
      </c>
      <c r="D273" s="44">
        <f>T!D182</f>
        <v>0</v>
      </c>
      <c r="E273" s="45">
        <v>4</v>
      </c>
      <c r="F273" s="45">
        <f>D273*E273</f>
        <v>0</v>
      </c>
      <c r="G273" s="793"/>
      <c r="H273" s="1521"/>
    </row>
    <row r="274" spans="1:9" ht="27" customHeight="1" x14ac:dyDescent="0.25">
      <c r="A274" s="2112"/>
      <c r="B274" s="1912"/>
      <c r="C274" s="1311" t="str">
        <f>T!C183</f>
        <v>Much (20-50%) bare ground or thatch is visible.  Low stem density and/or tall plants with little living ground cover during early growing season.</v>
      </c>
      <c r="D274" s="44">
        <f>T!D183</f>
        <v>0</v>
      </c>
      <c r="E274" s="45">
        <v>3</v>
      </c>
      <c r="F274" s="45">
        <f>D274*E274</f>
        <v>0</v>
      </c>
      <c r="G274" s="793"/>
      <c r="H274" s="1521"/>
    </row>
    <row r="275" spans="1:9" ht="16.2" customHeight="1" x14ac:dyDescent="0.25">
      <c r="A275" s="2112"/>
      <c r="B275" s="1912"/>
      <c r="C275" s="1311" t="str">
        <f>T!C184</f>
        <v>Mostly (&gt;50%) bare ground or thatch.</v>
      </c>
      <c r="D275" s="44">
        <f>T!D184</f>
        <v>0</v>
      </c>
      <c r="E275" s="45">
        <v>1</v>
      </c>
      <c r="F275" s="45">
        <f>D275*E275</f>
        <v>0</v>
      </c>
      <c r="G275" s="793"/>
      <c r="H275" s="1521"/>
    </row>
    <row r="276" spans="1:9" ht="16.2" customHeight="1" thickBot="1" x14ac:dyDescent="0.3">
      <c r="A276" s="2113"/>
      <c r="B276" s="1912"/>
      <c r="C276" s="1307" t="str">
        <f>T!C185</f>
        <v>Not applicable.  Nearly all of the AA remains inundated even at daily low tide.</v>
      </c>
      <c r="D276" s="17">
        <f>T!D185</f>
        <v>0</v>
      </c>
      <c r="E276" s="54"/>
      <c r="F276" s="54"/>
      <c r="G276" s="800"/>
      <c r="H276" s="1521"/>
    </row>
    <row r="277" spans="1:9" ht="56.25" customHeight="1" thickBot="1" x14ac:dyDescent="0.3">
      <c r="A277" s="1328" t="str">
        <f>T!A202</f>
        <v>T36</v>
      </c>
      <c r="B277" s="838" t="str">
        <f>T!B202</f>
        <v>Cliffs or Banks (Clifft)</v>
      </c>
      <c r="C277" s="1329" t="str">
        <f>T!C202</f>
        <v>Within 300 ft. of the AA, there are elevated terrestrial features such as cliffs, talus slopes, or unarmored banks along nontidal channels that extend at least 6 ft nearly vertically, are unvegetated, and potentially contain crevices or other substrate suitable for nesting or den areas.  Enter 1, if true.</v>
      </c>
      <c r="D277" s="834">
        <f>T!D202</f>
        <v>0</v>
      </c>
      <c r="E277" s="972"/>
      <c r="F277" s="972"/>
      <c r="G277" s="1330">
        <f>MAX(F279:F282)/MAX(E279:E282)</f>
        <v>0</v>
      </c>
      <c r="H277" s="938" t="s">
        <v>748</v>
      </c>
    </row>
    <row r="278" spans="1:9" ht="45" customHeight="1" thickBot="1" x14ac:dyDescent="0.3">
      <c r="A278" s="1331" t="str">
        <f>T!A237</f>
        <v>T47</v>
      </c>
      <c r="B278" s="1332" t="str">
        <f>T!B237</f>
        <v>Wetland Type of Conservation Concern (RareTypeT)</v>
      </c>
      <c r="C278" s="114" t="str">
        <f>T!C237</f>
        <v>The AA comprises all or part of (a) a wooded tidal wetland (&gt;30% cover of trees and/or shrubs), OR (b) an undiked tidal freshwater wetland (surface salinity &lt;0.5 ppt during most of spring and summer).  Enter 1, if true.</v>
      </c>
      <c r="D278" s="1279">
        <f>T!D237</f>
        <v>0</v>
      </c>
      <c r="E278" s="249"/>
      <c r="F278" s="835"/>
      <c r="G278" s="857">
        <f>D278</f>
        <v>0</v>
      </c>
      <c r="H278" s="1313"/>
    </row>
    <row r="279" spans="1:9" s="373" customFormat="1" ht="36" customHeight="1" thickBot="1" x14ac:dyDescent="0.3">
      <c r="A279" s="970" t="s">
        <v>126</v>
      </c>
      <c r="B279" s="380" t="s">
        <v>1463</v>
      </c>
      <c r="C279" s="1333" t="s">
        <v>1271</v>
      </c>
      <c r="D279" s="1269" t="s">
        <v>115</v>
      </c>
      <c r="E279" s="1334" t="s">
        <v>771</v>
      </c>
      <c r="F279" s="1269" t="s">
        <v>1474</v>
      </c>
      <c r="G279" s="1335" t="s">
        <v>770</v>
      </c>
      <c r="H279" s="380" t="s">
        <v>772</v>
      </c>
    </row>
    <row r="280" spans="1:9" ht="40.5" customHeight="1" thickBot="1" x14ac:dyDescent="0.3">
      <c r="A280" s="1796" t="str">
        <f>OF!A48</f>
        <v>OF8</v>
      </c>
      <c r="B280" s="1522" t="str">
        <f>OF!B48</f>
        <v>Wetland Type Local Uniqueness (UniqPatch)</v>
      </c>
      <c r="C280" s="4" t="str">
        <f>OF!C48</f>
        <v xml:space="preserve"> Select EACH of the vegetation types below that comprise more than 10% of the AA AND less than
 10% of a 0.5 mile radius around the AA. (See Column E).</v>
      </c>
      <c r="D280" s="1040"/>
      <c r="E280" s="1139"/>
      <c r="F280" s="1036"/>
      <c r="G280" s="1336">
        <f>IF((D284=1),0,(SUM(D281:D283)/3 + MAX(F281:F283)/MAX(E281:E283))/2)</f>
        <v>0</v>
      </c>
      <c r="H280" s="1522" t="s">
        <v>764</v>
      </c>
      <c r="I280" s="2"/>
    </row>
    <row r="281" spans="1:9" ht="28.5" customHeight="1" x14ac:dyDescent="0.25">
      <c r="A281" s="1797"/>
      <c r="B281" s="1521"/>
      <c r="C281" s="393" t="str">
        <f>OF!C49</f>
        <v>Herbaceous vegetation (perennial grasses, sedges, forbs; not under a woody canopy; not crops).</v>
      </c>
      <c r="D281" s="1306">
        <f>OF!D49</f>
        <v>0</v>
      </c>
      <c r="E281" s="1122">
        <v>1</v>
      </c>
      <c r="F281" s="1122">
        <f>D281*E281</f>
        <v>0</v>
      </c>
      <c r="G281" s="956"/>
      <c r="H281" s="1521"/>
    </row>
    <row r="282" spans="1:9" ht="16.2" customHeight="1" x14ac:dyDescent="0.25">
      <c r="A282" s="1797"/>
      <c r="B282" s="1521"/>
      <c r="C282" s="1275" t="str">
        <f>OF!C50</f>
        <v>Unshaded shrubland (woody plants shorter than 20 ft).</v>
      </c>
      <c r="D282" s="1276">
        <f>OF!D50</f>
        <v>0</v>
      </c>
      <c r="E282" s="1122">
        <v>2</v>
      </c>
      <c r="F282" s="1122">
        <f>D282*E282</f>
        <v>0</v>
      </c>
      <c r="G282" s="956"/>
      <c r="H282" s="1521"/>
    </row>
    <row r="283" spans="1:9" ht="16.2" customHeight="1" x14ac:dyDescent="0.25">
      <c r="A283" s="1797"/>
      <c r="B283" s="1521"/>
      <c r="C283" s="1275" t="str">
        <f>OF!C51</f>
        <v>Trees (woody plants taller than 20 ft).</v>
      </c>
      <c r="D283" s="1276">
        <f>OF!D51</f>
        <v>0</v>
      </c>
      <c r="E283" s="1122">
        <v>3</v>
      </c>
      <c r="F283" s="1122">
        <f>D283*E283</f>
        <v>0</v>
      </c>
      <c r="G283" s="956"/>
      <c r="H283" s="1521"/>
    </row>
    <row r="284" spans="1:9" ht="16.2" customHeight="1" thickBot="1" x14ac:dyDescent="0.3">
      <c r="A284" s="1798"/>
      <c r="B284" s="1523"/>
      <c r="C284" s="212" t="str">
        <f>OF!C52</f>
        <v>None of above.</v>
      </c>
      <c r="D284" s="213">
        <f>OF!D52</f>
        <v>0</v>
      </c>
      <c r="E284" s="1124"/>
      <c r="F284" s="1124"/>
      <c r="G284" s="958"/>
      <c r="H284" s="1523"/>
    </row>
    <row r="285" spans="1:9" ht="30" customHeight="1" thickBot="1" x14ac:dyDescent="0.3">
      <c r="A285" s="1791" t="str">
        <f>OF!A122</f>
        <v>OF21</v>
      </c>
      <c r="B285" s="1521" t="str">
        <f>OF!B122</f>
        <v>Songbird, Raptor, Mammal Species of Conservation Concern (RareSBM)</v>
      </c>
      <c r="C285" s="114" t="str">
        <f>OF!C122</f>
        <v xml:space="preserve">According to the ORWAP Report, the score for occurrences of rare songbird, raptor, or mammal species in the vicinity of this AA is: </v>
      </c>
      <c r="D285" s="192"/>
      <c r="E285" s="1152"/>
      <c r="F285" s="956"/>
      <c r="G285" s="1337">
        <f>MAX(F286:F289)/MAX(E286:E289)</f>
        <v>0</v>
      </c>
      <c r="H285" s="1582" t="s">
        <v>114</v>
      </c>
      <c r="I285" s="2"/>
    </row>
    <row r="286" spans="1:9" ht="27" customHeight="1" x14ac:dyDescent="0.25">
      <c r="A286" s="1791"/>
      <c r="B286" s="1521"/>
      <c r="C286" s="1305" t="str">
        <f>OF!C123</f>
        <v>High (≥ 0.60 for maximum score, or &gt;1.13 for sum score), or there is a recent onsite observation of any of these species by a qualified observer under conditions similar to what now occur.</v>
      </c>
      <c r="D286" s="1306">
        <f>OF!D123</f>
        <v>0</v>
      </c>
      <c r="E286" s="1122">
        <v>4</v>
      </c>
      <c r="F286" s="45">
        <f>D286*E286</f>
        <v>0</v>
      </c>
      <c r="G286" s="956"/>
      <c r="H286" s="1582"/>
    </row>
    <row r="287" spans="1:9" ht="16.2" customHeight="1" x14ac:dyDescent="0.25">
      <c r="A287" s="1791"/>
      <c r="B287" s="1521"/>
      <c r="C287" s="1307" t="str">
        <f>OF!C124</f>
        <v>Intermediate (i.e., not as described above or below).</v>
      </c>
      <c r="D287" s="1276">
        <f>OF!D124</f>
        <v>0</v>
      </c>
      <c r="E287" s="1122">
        <v>2</v>
      </c>
      <c r="F287" s="45">
        <f>D287*E287</f>
        <v>0</v>
      </c>
      <c r="G287" s="957"/>
      <c r="H287" s="1582"/>
    </row>
    <row r="288" spans="1:9" ht="16.2" customHeight="1" x14ac:dyDescent="0.25">
      <c r="A288" s="1791"/>
      <c r="B288" s="1521"/>
      <c r="C288" s="1307" t="str">
        <f>OF!C125</f>
        <v>Low (≤ 0.09 for maximum score AND &lt;0.13 for sum score, but not 0 for both).</v>
      </c>
      <c r="D288" s="1276">
        <f>OF!D125</f>
        <v>0</v>
      </c>
      <c r="E288" s="1122">
        <v>1</v>
      </c>
      <c r="F288" s="45">
        <f>D288*E288</f>
        <v>0</v>
      </c>
      <c r="G288" s="957"/>
      <c r="H288" s="1582"/>
    </row>
    <row r="289" spans="1:9" ht="27" customHeight="1" thickBot="1" x14ac:dyDescent="0.3">
      <c r="A289" s="1791"/>
      <c r="B289" s="1521"/>
      <c r="C289" s="1307" t="str">
        <f>OF!C126</f>
        <v>Zero for both this group's maximum and its sum score, and no recent onsite observation of these species by a qualified observer under conditions similar to what now occur.</v>
      </c>
      <c r="D289" s="1276">
        <f>OF!D126</f>
        <v>0</v>
      </c>
      <c r="E289" s="1140">
        <v>0</v>
      </c>
      <c r="F289" s="54">
        <f>D289*E289</f>
        <v>0</v>
      </c>
      <c r="G289" s="959"/>
      <c r="H289" s="1582"/>
    </row>
    <row r="290" spans="1:9" ht="30" customHeight="1" thickBot="1" x14ac:dyDescent="0.3">
      <c r="A290" s="1796" t="str">
        <f>OF!A145</f>
        <v>OF27</v>
      </c>
      <c r="B290" s="1522" t="str">
        <f>OF!B145</f>
        <v>Hydrologic Landscape (Arid)</v>
      </c>
      <c r="C290" s="4" t="str">
        <f>OF!C145</f>
        <v>According to the ORWAP Report,  the wetland is in a hydrologic landscape unit classified as:</v>
      </c>
      <c r="D290" s="192"/>
      <c r="E290" s="1169"/>
      <c r="F290" s="972"/>
      <c r="G290" s="1336">
        <f>MAX(F291:F296)/MAX(E291:E296)</f>
        <v>0</v>
      </c>
      <c r="H290" s="1522" t="s">
        <v>252</v>
      </c>
      <c r="I290" s="2"/>
    </row>
    <row r="291" spans="1:9" ht="16.2" customHeight="1" x14ac:dyDescent="0.25">
      <c r="A291" s="1797"/>
      <c r="B291" s="1521"/>
      <c r="C291" s="236" t="str">
        <f>OF!C146</f>
        <v>Arid.</v>
      </c>
      <c r="D291" s="1304">
        <f>OF!D146</f>
        <v>0</v>
      </c>
      <c r="E291" s="1122">
        <v>6</v>
      </c>
      <c r="F291" s="45">
        <f t="shared" ref="F291:F300" si="20">D291*E291</f>
        <v>0</v>
      </c>
      <c r="G291" s="1029"/>
      <c r="H291" s="1521"/>
      <c r="I291" s="2"/>
    </row>
    <row r="292" spans="1:9" ht="16.2" customHeight="1" x14ac:dyDescent="0.25">
      <c r="A292" s="1797"/>
      <c r="B292" s="1521"/>
      <c r="C292" s="237" t="str">
        <f>OF!C147</f>
        <v>Semi-arid.</v>
      </c>
      <c r="D292" s="1081">
        <f>OF!D147</f>
        <v>0</v>
      </c>
      <c r="E292" s="1122">
        <v>5</v>
      </c>
      <c r="F292" s="45">
        <f t="shared" si="20"/>
        <v>0</v>
      </c>
      <c r="G292" s="1029"/>
      <c r="H292" s="1521"/>
      <c r="I292" s="2"/>
    </row>
    <row r="293" spans="1:9" ht="16.2" customHeight="1" x14ac:dyDescent="0.25">
      <c r="A293" s="1797"/>
      <c r="B293" s="1521"/>
      <c r="C293" s="237" t="str">
        <f>OF!C148</f>
        <v>Dry.</v>
      </c>
      <c r="D293" s="1081">
        <f>OF!D148</f>
        <v>0</v>
      </c>
      <c r="E293" s="1122">
        <v>4</v>
      </c>
      <c r="F293" s="45">
        <f t="shared" si="20"/>
        <v>0</v>
      </c>
      <c r="G293" s="1029"/>
      <c r="H293" s="1521"/>
      <c r="I293" s="2"/>
    </row>
    <row r="294" spans="1:9" ht="16.2" customHeight="1" x14ac:dyDescent="0.25">
      <c r="A294" s="1797"/>
      <c r="B294" s="1521"/>
      <c r="C294" s="237" t="str">
        <f>OF!C149</f>
        <v>Moist.</v>
      </c>
      <c r="D294" s="1081">
        <f>OF!D149</f>
        <v>0</v>
      </c>
      <c r="E294" s="1122">
        <v>3</v>
      </c>
      <c r="F294" s="45">
        <f t="shared" si="20"/>
        <v>0</v>
      </c>
      <c r="G294" s="1029"/>
      <c r="H294" s="1521"/>
      <c r="I294" s="2"/>
    </row>
    <row r="295" spans="1:9" ht="16.2" customHeight="1" x14ac:dyDescent="0.25">
      <c r="A295" s="1797"/>
      <c r="B295" s="1521"/>
      <c r="C295" s="237" t="str">
        <f>OF!C150</f>
        <v>Wet.</v>
      </c>
      <c r="D295" s="1081">
        <f>OF!D150</f>
        <v>0</v>
      </c>
      <c r="E295" s="1122">
        <v>2</v>
      </c>
      <c r="F295" s="45">
        <f t="shared" si="20"/>
        <v>0</v>
      </c>
      <c r="G295" s="1029"/>
      <c r="H295" s="1521"/>
      <c r="I295" s="2"/>
    </row>
    <row r="296" spans="1:9" ht="16.2" customHeight="1" thickBot="1" x14ac:dyDescent="0.3">
      <c r="A296" s="1798"/>
      <c r="B296" s="1523"/>
      <c r="C296" s="212" t="str">
        <f>OF!C151</f>
        <v>Very Wet.</v>
      </c>
      <c r="D296" s="213">
        <f>OF!D151</f>
        <v>0</v>
      </c>
      <c r="E296" s="1124">
        <v>1</v>
      </c>
      <c r="F296" s="193">
        <f t="shared" si="20"/>
        <v>0</v>
      </c>
      <c r="G296" s="1030"/>
      <c r="H296" s="1523"/>
      <c r="I296" s="2"/>
    </row>
    <row r="297" spans="1:9" ht="45" customHeight="1" thickBot="1" x14ac:dyDescent="0.3">
      <c r="A297" s="1791" t="str">
        <f>OF!A220</f>
        <v>OF42</v>
      </c>
      <c r="B297" s="1896" t="str">
        <f>OF!B220</f>
        <v>Zoning (Zoning)</v>
      </c>
      <c r="C297" s="4" t="str">
        <f>OF!C220</f>
        <v>According to ORWAP Map Viewer's Oregon Zoning layer, the dominant zoned land use designation for currently undeveloped parcels upslope from the AA and within 300 ft. of its upland edge is:</v>
      </c>
      <c r="D297" s="192"/>
      <c r="E297" s="1009"/>
      <c r="F297" s="46"/>
      <c r="G297" s="1337">
        <f>IF((D301=1),"",MAX(F298:F300)/MAX(E298:E300))</f>
        <v>0</v>
      </c>
      <c r="H297" s="1521" t="s">
        <v>719</v>
      </c>
      <c r="I297" s="2"/>
    </row>
    <row r="298" spans="1:9" ht="27" customHeight="1" x14ac:dyDescent="0.25">
      <c r="A298" s="1791"/>
      <c r="B298" s="1623"/>
      <c r="C298" s="236" t="str">
        <f>OF!C221</f>
        <v>Development (Commercial, Industrial, Urban Residential, etc.), or no undeveloped parcels exist upslope from the AA.</v>
      </c>
      <c r="D298" s="1304">
        <f>OF!D221</f>
        <v>0</v>
      </c>
      <c r="E298" s="952">
        <v>3</v>
      </c>
      <c r="F298" s="45">
        <f t="shared" si="20"/>
        <v>0</v>
      </c>
      <c r="G298" s="1029"/>
      <c r="H298" s="1521"/>
      <c r="I298" s="2"/>
    </row>
    <row r="299" spans="1:9" ht="16.2" customHeight="1" x14ac:dyDescent="0.25">
      <c r="A299" s="1791"/>
      <c r="B299" s="1623"/>
      <c r="C299" s="237" t="str">
        <f>OF!C222</f>
        <v>Agriculture or Rural Residential.</v>
      </c>
      <c r="D299" s="1081">
        <f>OF!D222</f>
        <v>0</v>
      </c>
      <c r="E299" s="952">
        <v>2</v>
      </c>
      <c r="F299" s="45">
        <f t="shared" si="20"/>
        <v>0</v>
      </c>
      <c r="G299" s="1029"/>
      <c r="H299" s="1521"/>
      <c r="I299" s="2"/>
    </row>
    <row r="300" spans="1:9" ht="16.2" customHeight="1" x14ac:dyDescent="0.25">
      <c r="A300" s="1791"/>
      <c r="B300" s="1623"/>
      <c r="C300" s="237" t="str">
        <f>OF!C223</f>
        <v>Forest or Open Space, or entirely public lands.</v>
      </c>
      <c r="D300" s="1081">
        <f>OF!D223</f>
        <v>0</v>
      </c>
      <c r="E300" s="952">
        <v>1</v>
      </c>
      <c r="F300" s="45">
        <f t="shared" si="20"/>
        <v>0</v>
      </c>
      <c r="G300" s="1029"/>
      <c r="H300" s="1521"/>
      <c r="I300" s="2"/>
    </row>
    <row r="301" spans="1:9" ht="16.2" customHeight="1" thickBot="1" x14ac:dyDescent="0.3">
      <c r="A301" s="1791"/>
      <c r="B301" s="1897"/>
      <c r="C301" s="1275" t="str">
        <f>OF!C224</f>
        <v>Not zoned, or no information.</v>
      </c>
      <c r="D301" s="1276">
        <f>OF!D224</f>
        <v>0</v>
      </c>
      <c r="E301" s="1010"/>
      <c r="F301" s="54"/>
      <c r="G301" s="66"/>
      <c r="H301" s="1521"/>
      <c r="I301" s="2"/>
    </row>
    <row r="302" spans="1:9" ht="45" customHeight="1" thickBot="1" x14ac:dyDescent="0.3">
      <c r="A302" s="1828" t="str">
        <f>F!A319</f>
        <v>F66</v>
      </c>
      <c r="B302" s="1522" t="str">
        <f>F!B319</f>
        <v>Visibility (Visibil)</v>
      </c>
      <c r="C302" s="114" t="str">
        <f>F!C319</f>
        <v>The maximum percentage of the wetland that is visible from the best vantage point on public roads, public parking lots, public buildings, or public maintained trails that intersect, adjoin, or are within 300 ft of the AA (select one) is:</v>
      </c>
      <c r="D302" s="192"/>
      <c r="E302" s="1139"/>
      <c r="F302" s="192"/>
      <c r="G302" s="1087">
        <f>MAX(F303:F305)/MAX(E303:E305)</f>
        <v>0</v>
      </c>
      <c r="H302" s="1522" t="s">
        <v>718</v>
      </c>
      <c r="I302" s="2"/>
    </row>
    <row r="303" spans="1:9" ht="16.2" customHeight="1" x14ac:dyDescent="0.25">
      <c r="A303" s="1829"/>
      <c r="B303" s="1521"/>
      <c r="C303" s="1310" t="str">
        <f>F!C320</f>
        <v>&lt;25%.</v>
      </c>
      <c r="D303" s="1304">
        <f>F!D320</f>
        <v>0</v>
      </c>
      <c r="E303" s="1122">
        <v>1</v>
      </c>
      <c r="F303" s="45">
        <f>D303*E303</f>
        <v>0</v>
      </c>
      <c r="G303" s="1029"/>
      <c r="H303" s="1521"/>
      <c r="I303" s="2"/>
    </row>
    <row r="304" spans="1:9" ht="16.2" customHeight="1" x14ac:dyDescent="0.25">
      <c r="A304" s="1829"/>
      <c r="B304" s="1521"/>
      <c r="C304" s="1311" t="str">
        <f>F!C321</f>
        <v>25 - 50%.</v>
      </c>
      <c r="D304" s="1081">
        <f>F!D321</f>
        <v>0</v>
      </c>
      <c r="E304" s="1122">
        <v>2</v>
      </c>
      <c r="F304" s="45">
        <f>D304*E304</f>
        <v>0</v>
      </c>
      <c r="G304" s="1029"/>
      <c r="H304" s="1521"/>
      <c r="I304" s="2"/>
    </row>
    <row r="305" spans="1:9" ht="16.2" customHeight="1" thickBot="1" x14ac:dyDescent="0.3">
      <c r="A305" s="1830"/>
      <c r="B305" s="1523"/>
      <c r="C305" s="1308" t="str">
        <f>F!C322</f>
        <v>&gt;50%.</v>
      </c>
      <c r="D305" s="213">
        <f>F!D322</f>
        <v>0</v>
      </c>
      <c r="E305" s="1124">
        <v>3</v>
      </c>
      <c r="F305" s="193">
        <f>D305*E305</f>
        <v>0</v>
      </c>
      <c r="G305" s="1030"/>
      <c r="H305" s="1523"/>
      <c r="I305" s="2"/>
    </row>
    <row r="306" spans="1:9" ht="21" customHeight="1" thickBot="1" x14ac:dyDescent="0.35">
      <c r="A306" s="11"/>
      <c r="B306" s="11"/>
      <c r="C306" s="2"/>
      <c r="D306" s="14"/>
      <c r="E306" s="14"/>
      <c r="F306" s="14"/>
      <c r="G306" s="1338"/>
      <c r="H306" s="11"/>
    </row>
    <row r="307" spans="1:9" ht="21" customHeight="1" x14ac:dyDescent="0.25">
      <c r="A307" s="11"/>
      <c r="B307" s="11"/>
      <c r="C307" s="1952" t="s">
        <v>610</v>
      </c>
      <c r="D307" s="2024" t="s">
        <v>132</v>
      </c>
      <c r="E307" s="2024"/>
      <c r="F307" s="2024"/>
      <c r="G307" s="986">
        <f>AVERAGE(ConnLocalW14,ConnScapeW14,DistPond14, Beaver14,HUCbest14)</f>
        <v>0</v>
      </c>
      <c r="H307" s="253" t="s">
        <v>2250</v>
      </c>
    </row>
    <row r="308" spans="1:9" ht="30" customHeight="1" x14ac:dyDescent="0.25">
      <c r="A308" s="11"/>
      <c r="B308" s="11"/>
      <c r="C308" s="1953"/>
      <c r="D308" s="1950" t="s">
        <v>127</v>
      </c>
      <c r="E308" s="1950"/>
      <c r="F308" s="1950"/>
      <c r="G308" s="898">
        <f>AVERAGE(PerimPctPer14,BuffWidth14,DistPerCov14,PerCovPct14, SizePerenn14,ForestPct14,UpTreePctPer14,EdgeShape14)</f>
        <v>0</v>
      </c>
      <c r="H308" s="190" t="s">
        <v>1556</v>
      </c>
    </row>
    <row r="309" spans="1:9" ht="30" customHeight="1" x14ac:dyDescent="0.25">
      <c r="A309" s="11"/>
      <c r="B309" s="11"/>
      <c r="C309" s="1953"/>
      <c r="D309" s="1950" t="s">
        <v>129</v>
      </c>
      <c r="E309" s="1950"/>
      <c r="F309" s="1950"/>
      <c r="G309" s="898">
        <f>AVERAGE(EmArea14, AVERAGE(WaterMixWet14,Girreg14,Gcover14,Cliff14, Cttail14,EmPct14,HerbDom14,ShrExpos14,WoodyPct14,WoodyDryShade14,Snags14,WoodDown14,TreeDiams14))</f>
        <v>0</v>
      </c>
      <c r="H309" s="190" t="s">
        <v>2251</v>
      </c>
    </row>
    <row r="310" spans="1:9" ht="21" customHeight="1" x14ac:dyDescent="0.25">
      <c r="A310" s="11"/>
      <c r="B310" s="11"/>
      <c r="C310" s="1953"/>
      <c r="D310" s="1950" t="s">
        <v>130</v>
      </c>
      <c r="E310" s="1950"/>
      <c r="F310" s="1950"/>
      <c r="G310" s="898">
        <f>AVERAGE(SeasPct14,WidthWet14, _GDD14)</f>
        <v>0</v>
      </c>
      <c r="H310" s="190" t="s">
        <v>672</v>
      </c>
    </row>
    <row r="311" spans="1:9" ht="21" customHeight="1" thickBot="1" x14ac:dyDescent="0.3">
      <c r="A311" s="11"/>
      <c r="B311" s="11"/>
      <c r="C311" s="1953"/>
      <c r="D311" s="1955" t="s">
        <v>178</v>
      </c>
      <c r="E311" s="1955"/>
      <c r="F311" s="1955"/>
      <c r="G311" s="988">
        <f>AVERAGE(VisitNo14,VisitOften14,DisRd14,VegCut14)</f>
        <v>0</v>
      </c>
      <c r="H311" s="1285" t="s">
        <v>2252</v>
      </c>
    </row>
    <row r="312" spans="1:9" ht="45" customHeight="1" thickBot="1" x14ac:dyDescent="0.3">
      <c r="A312" s="11"/>
      <c r="B312" s="11"/>
      <c r="C312" s="1954"/>
      <c r="D312" s="2099" t="s">
        <v>614</v>
      </c>
      <c r="E312" s="2100"/>
      <c r="F312" s="2101"/>
      <c r="G312" s="1341">
        <f>IF((RareTypeT=1),1,(3*AVERAGE(EmAreaT14,LowMarshT14,WidthHiT14)+ 2*AVERAGE(TnonT14,SalinT14,PerimPctPerT14,BuffWidthT14)+ AVERAGE(VegformsT14,VegSpDomT14,GcoverT14,CliffT14))/6)</f>
        <v>0</v>
      </c>
      <c r="H312" s="1339" t="s">
        <v>2239</v>
      </c>
    </row>
    <row r="313" spans="1:9" ht="33" customHeight="1" thickBot="1" x14ac:dyDescent="0.3">
      <c r="A313" s="11"/>
      <c r="B313" s="11"/>
      <c r="C313" s="1807" t="s">
        <v>9</v>
      </c>
      <c r="D313" s="1808"/>
      <c r="E313" s="1809"/>
      <c r="F313" s="250" t="s">
        <v>6</v>
      </c>
      <c r="G313" s="901">
        <f>10*(IF((Tidal=1),TidalScoreSBM, ((3*Structure14 + 3*Produc14 +2*Lscape14 +  Wscape14 + Stress14)/10)))</f>
        <v>0</v>
      </c>
      <c r="H313" s="1340" t="s">
        <v>1357</v>
      </c>
    </row>
    <row r="314" spans="1:9" ht="33" customHeight="1" thickBot="1" x14ac:dyDescent="0.3">
      <c r="A314" s="11"/>
      <c r="B314" s="11"/>
      <c r="C314" s="1871" t="s">
        <v>51</v>
      </c>
      <c r="D314" s="1872"/>
      <c r="E314" s="1873"/>
      <c r="F314" s="1158" t="s">
        <v>7</v>
      </c>
      <c r="G314" s="1342">
        <f>10*(MAX(RareSBM14v, AVERAGE(RareSBM14v,UniqPatch14v,Visibil14v,Zoning14v,Arid14v)))</f>
        <v>0</v>
      </c>
      <c r="H314" s="984" t="s">
        <v>2513</v>
      </c>
    </row>
    <row r="315" spans="1:9" ht="21" customHeight="1" thickBot="1" x14ac:dyDescent="0.3"/>
    <row r="316" spans="1:9" ht="21" customHeight="1" thickBot="1" x14ac:dyDescent="0.3">
      <c r="H316" s="1159" t="s">
        <v>859</v>
      </c>
    </row>
    <row r="317" spans="1:9" ht="27" customHeight="1" x14ac:dyDescent="0.25">
      <c r="H317" s="715" t="s">
        <v>1058</v>
      </c>
    </row>
    <row r="318" spans="1:9" ht="27" customHeight="1" x14ac:dyDescent="0.25">
      <c r="H318" s="716" t="s">
        <v>1557</v>
      </c>
    </row>
    <row r="319" spans="1:9" ht="27" customHeight="1" x14ac:dyDescent="0.25">
      <c r="H319" s="716" t="s">
        <v>1059</v>
      </c>
    </row>
    <row r="320" spans="1:9" ht="27" customHeight="1" x14ac:dyDescent="0.25">
      <c r="H320" s="716" t="s">
        <v>1060</v>
      </c>
    </row>
    <row r="321" spans="8:8" ht="27" customHeight="1" x14ac:dyDescent="0.25">
      <c r="H321" s="716" t="s">
        <v>1061</v>
      </c>
    </row>
    <row r="322" spans="8:8" ht="27" customHeight="1" x14ac:dyDescent="0.25">
      <c r="H322" s="716" t="s">
        <v>1062</v>
      </c>
    </row>
    <row r="323" spans="8:8" ht="27" customHeight="1" x14ac:dyDescent="0.25">
      <c r="H323" s="716" t="s">
        <v>1063</v>
      </c>
    </row>
    <row r="324" spans="8:8" ht="27" customHeight="1" x14ac:dyDescent="0.25">
      <c r="H324" s="716" t="s">
        <v>1064</v>
      </c>
    </row>
    <row r="325" spans="8:8" ht="27" customHeight="1" x14ac:dyDescent="0.25">
      <c r="H325" s="725" t="s">
        <v>1358</v>
      </c>
    </row>
    <row r="326" spans="8:8" ht="27" customHeight="1" x14ac:dyDescent="0.25">
      <c r="H326" s="716" t="s">
        <v>1065</v>
      </c>
    </row>
    <row r="327" spans="8:8" ht="27" customHeight="1" x14ac:dyDescent="0.25">
      <c r="H327" s="716" t="s">
        <v>1066</v>
      </c>
    </row>
    <row r="328" spans="8:8" ht="27" customHeight="1" x14ac:dyDescent="0.25">
      <c r="H328" s="716" t="s">
        <v>1067</v>
      </c>
    </row>
    <row r="329" spans="8:8" ht="27" customHeight="1" x14ac:dyDescent="0.25">
      <c r="H329" s="716" t="s">
        <v>1042</v>
      </c>
    </row>
    <row r="330" spans="8:8" ht="42" customHeight="1" x14ac:dyDescent="0.25">
      <c r="H330" s="716" t="s">
        <v>1068</v>
      </c>
    </row>
    <row r="331" spans="8:8" ht="42" customHeight="1" x14ac:dyDescent="0.25">
      <c r="H331" s="716" t="s">
        <v>1069</v>
      </c>
    </row>
    <row r="332" spans="8:8" ht="27" customHeight="1" x14ac:dyDescent="0.25">
      <c r="H332" s="716" t="s">
        <v>1070</v>
      </c>
    </row>
    <row r="333" spans="8:8" ht="27" customHeight="1" x14ac:dyDescent="0.25">
      <c r="H333" s="716" t="s">
        <v>1071</v>
      </c>
    </row>
    <row r="334" spans="8:8" ht="42" customHeight="1" x14ac:dyDescent="0.25">
      <c r="H334" s="314" t="s">
        <v>1359</v>
      </c>
    </row>
    <row r="335" spans="8:8" ht="42" customHeight="1" x14ac:dyDescent="0.25">
      <c r="H335" s="716" t="s">
        <v>1072</v>
      </c>
    </row>
    <row r="336" spans="8:8" ht="27" customHeight="1" x14ac:dyDescent="0.25">
      <c r="H336" s="716" t="s">
        <v>1073</v>
      </c>
    </row>
    <row r="337" spans="8:8" ht="27" customHeight="1" x14ac:dyDescent="0.25">
      <c r="H337" s="314" t="s">
        <v>886</v>
      </c>
    </row>
    <row r="338" spans="8:8" ht="42" customHeight="1" x14ac:dyDescent="0.25">
      <c r="H338" s="314" t="s">
        <v>884</v>
      </c>
    </row>
    <row r="339" spans="8:8" ht="27" customHeight="1" x14ac:dyDescent="0.25">
      <c r="H339" s="716" t="s">
        <v>1360</v>
      </c>
    </row>
    <row r="340" spans="8:8" ht="27" customHeight="1" x14ac:dyDescent="0.25">
      <c r="H340" s="716" t="s">
        <v>1074</v>
      </c>
    </row>
    <row r="341" spans="8:8" ht="57" customHeight="1" x14ac:dyDescent="0.25">
      <c r="H341" s="314" t="s">
        <v>885</v>
      </c>
    </row>
    <row r="342" spans="8:8" ht="27" customHeight="1" x14ac:dyDescent="0.25">
      <c r="H342" s="716" t="s">
        <v>1075</v>
      </c>
    </row>
    <row r="343" spans="8:8" ht="42" customHeight="1" x14ac:dyDescent="0.25">
      <c r="H343" s="716" t="s">
        <v>1977</v>
      </c>
    </row>
    <row r="344" spans="8:8" ht="27" customHeight="1" x14ac:dyDescent="0.25">
      <c r="H344" s="716" t="s">
        <v>1076</v>
      </c>
    </row>
    <row r="345" spans="8:8" ht="42" customHeight="1" x14ac:dyDescent="0.25">
      <c r="H345" s="716" t="s">
        <v>1077</v>
      </c>
    </row>
    <row r="346" spans="8:8" ht="27" customHeight="1" x14ac:dyDescent="0.25">
      <c r="H346" s="716" t="s">
        <v>1078</v>
      </c>
    </row>
    <row r="347" spans="8:8" ht="27" customHeight="1" x14ac:dyDescent="0.25">
      <c r="H347" s="716" t="s">
        <v>1079</v>
      </c>
    </row>
    <row r="348" spans="8:8" ht="27" customHeight="1" x14ac:dyDescent="0.25">
      <c r="H348" s="716" t="s">
        <v>1080</v>
      </c>
    </row>
    <row r="349" spans="8:8" ht="27" customHeight="1" x14ac:dyDescent="0.25">
      <c r="H349" s="716" t="s">
        <v>1081</v>
      </c>
    </row>
    <row r="350" spans="8:8" ht="42" customHeight="1" x14ac:dyDescent="0.25">
      <c r="H350" s="716" t="s">
        <v>1082</v>
      </c>
    </row>
    <row r="351" spans="8:8" ht="27" customHeight="1" x14ac:dyDescent="0.25">
      <c r="H351" s="716" t="s">
        <v>1083</v>
      </c>
    </row>
    <row r="352" spans="8:8" ht="42" customHeight="1" x14ac:dyDescent="0.25">
      <c r="H352" s="716" t="s">
        <v>1084</v>
      </c>
    </row>
    <row r="353" spans="8:13" ht="27" customHeight="1" x14ac:dyDescent="0.25">
      <c r="H353" s="716" t="s">
        <v>1361</v>
      </c>
    </row>
    <row r="354" spans="8:13" ht="27" customHeight="1" x14ac:dyDescent="0.25">
      <c r="H354" s="716" t="s">
        <v>1085</v>
      </c>
    </row>
    <row r="355" spans="8:13" ht="27" customHeight="1" x14ac:dyDescent="0.25">
      <c r="H355" s="716" t="s">
        <v>1086</v>
      </c>
    </row>
    <row r="356" spans="8:13" ht="27" customHeight="1" x14ac:dyDescent="0.25">
      <c r="H356" s="716" t="s">
        <v>1087</v>
      </c>
      <c r="I356" s="156"/>
      <c r="J356" s="156"/>
      <c r="K356" s="156"/>
      <c r="L356" s="156"/>
      <c r="M356" s="157"/>
    </row>
    <row r="357" spans="8:13" ht="27" customHeight="1" x14ac:dyDescent="0.25">
      <c r="H357" s="716" t="s">
        <v>1088</v>
      </c>
      <c r="I357" s="156"/>
      <c r="J357" s="156"/>
      <c r="K357" s="156"/>
      <c r="L357" s="156"/>
      <c r="M357" s="157"/>
    </row>
    <row r="358" spans="8:13" ht="27" customHeight="1" thickBot="1" x14ac:dyDescent="0.3">
      <c r="H358" s="717" t="s">
        <v>1089</v>
      </c>
      <c r="I358" s="156"/>
      <c r="J358" s="156"/>
      <c r="K358" s="156"/>
      <c r="L358" s="156"/>
      <c r="M358" s="157"/>
    </row>
    <row r="359" spans="8:13" x14ac:dyDescent="0.25">
      <c r="H359" s="11"/>
      <c r="I359" s="156"/>
      <c r="J359" s="156"/>
      <c r="K359" s="156"/>
      <c r="L359" s="156"/>
      <c r="M359" s="157"/>
    </row>
  </sheetData>
  <sheetProtection password="C74A" sheet="1" objects="1" scenarios="1" formatCells="0" formatColumns="0" formatRows="0"/>
  <customSheetViews>
    <customSheetView guid="{B8E02330-2419-4DE6-AD01-7ACC7A5D18DD}" scale="80" topLeftCell="D35">
      <selection activeCell="J44" sqref="J44"/>
      <pageMargins left="0.75" right="0.75" top="1" bottom="1" header="0.5" footer="0.5"/>
      <pageSetup orientation="portrait" horizontalDpi="4294967294" r:id="rId1"/>
      <headerFooter alignWithMargins="0"/>
    </customSheetView>
  </customSheetViews>
  <mergeCells count="158">
    <mergeCell ref="B79:B84"/>
    <mergeCell ref="A102:A108"/>
    <mergeCell ref="B60:B63"/>
    <mergeCell ref="H60:H63"/>
    <mergeCell ref="A60:A63"/>
    <mergeCell ref="E1:H1"/>
    <mergeCell ref="A115:A120"/>
    <mergeCell ref="A230:A235"/>
    <mergeCell ref="A10:A16"/>
    <mergeCell ref="A17:A23"/>
    <mergeCell ref="A24:A31"/>
    <mergeCell ref="H44:H48"/>
    <mergeCell ref="H10:H16"/>
    <mergeCell ref="B3:B9"/>
    <mergeCell ref="B10:B16"/>
    <mergeCell ref="H3:H9"/>
    <mergeCell ref="A32:A37"/>
    <mergeCell ref="H38:H43"/>
    <mergeCell ref="B17:B23"/>
    <mergeCell ref="B24:B31"/>
    <mergeCell ref="H17:H23"/>
    <mergeCell ref="A38:A43"/>
    <mergeCell ref="H124:H129"/>
    <mergeCell ref="H148:H150"/>
    <mergeCell ref="C313:E313"/>
    <mergeCell ref="C314:E314"/>
    <mergeCell ref="A1:B1"/>
    <mergeCell ref="H24:H31"/>
    <mergeCell ref="A290:A296"/>
    <mergeCell ref="H290:H296"/>
    <mergeCell ref="H79:H84"/>
    <mergeCell ref="A130:A135"/>
    <mergeCell ref="H72:H78"/>
    <mergeCell ref="A136:A144"/>
    <mergeCell ref="H102:H108"/>
    <mergeCell ref="A109:A114"/>
    <mergeCell ref="B32:B37"/>
    <mergeCell ref="H109:H114"/>
    <mergeCell ref="B38:B43"/>
    <mergeCell ref="A97:A101"/>
    <mergeCell ref="H32:H37"/>
    <mergeCell ref="H54:H59"/>
    <mergeCell ref="H49:H53"/>
    <mergeCell ref="A44:A48"/>
    <mergeCell ref="A49:A53"/>
    <mergeCell ref="A54:A59"/>
    <mergeCell ref="A3:A9"/>
    <mergeCell ref="B72:B78"/>
    <mergeCell ref="H130:H135"/>
    <mergeCell ref="B145:B147"/>
    <mergeCell ref="B148:B150"/>
    <mergeCell ref="H157:H163"/>
    <mergeCell ref="A79:A84"/>
    <mergeCell ref="A72:A78"/>
    <mergeCell ref="B44:B48"/>
    <mergeCell ref="B49:B53"/>
    <mergeCell ref="B54:B59"/>
    <mergeCell ref="A64:A71"/>
    <mergeCell ref="H115:H120"/>
    <mergeCell ref="B136:B144"/>
    <mergeCell ref="H85:H89"/>
    <mergeCell ref="H97:H101"/>
    <mergeCell ref="H121:H123"/>
    <mergeCell ref="B102:B108"/>
    <mergeCell ref="B64:B71"/>
    <mergeCell ref="B85:B89"/>
    <mergeCell ref="B121:B123"/>
    <mergeCell ref="B115:B120"/>
    <mergeCell ref="B109:B114"/>
    <mergeCell ref="H64:H71"/>
    <mergeCell ref="B90:B96"/>
    <mergeCell ref="H151:H156"/>
    <mergeCell ref="A164:A170"/>
    <mergeCell ref="A216:A222"/>
    <mergeCell ref="A189:A195"/>
    <mergeCell ref="A184:A187"/>
    <mergeCell ref="A121:A123"/>
    <mergeCell ref="A124:A129"/>
    <mergeCell ref="B97:B101"/>
    <mergeCell ref="A171:A177"/>
    <mergeCell ref="B124:B129"/>
    <mergeCell ref="A157:A163"/>
    <mergeCell ref="B130:B135"/>
    <mergeCell ref="A148:A150"/>
    <mergeCell ref="A145:A147"/>
    <mergeCell ref="B171:B177"/>
    <mergeCell ref="B151:B156"/>
    <mergeCell ref="B157:B163"/>
    <mergeCell ref="B164:B170"/>
    <mergeCell ref="A297:A301"/>
    <mergeCell ref="A271:A276"/>
    <mergeCell ref="A242:A252"/>
    <mergeCell ref="A285:A289"/>
    <mergeCell ref="A253:A256"/>
    <mergeCell ref="A280:A284"/>
    <mergeCell ref="B271:B276"/>
    <mergeCell ref="A178:A183"/>
    <mergeCell ref="B196:B200"/>
    <mergeCell ref="B202:B207"/>
    <mergeCell ref="A257:A263"/>
    <mergeCell ref="A202:A207"/>
    <mergeCell ref="A208:A215"/>
    <mergeCell ref="A236:A241"/>
    <mergeCell ref="B236:B241"/>
    <mergeCell ref="B230:B235"/>
    <mergeCell ref="B208:B215"/>
    <mergeCell ref="H253:H256"/>
    <mergeCell ref="H257:H263"/>
    <mergeCell ref="H202:H207"/>
    <mergeCell ref="H208:H215"/>
    <mergeCell ref="H216:H222"/>
    <mergeCell ref="H223:H229"/>
    <mergeCell ref="H297:H301"/>
    <mergeCell ref="H242:H252"/>
    <mergeCell ref="H230:H235"/>
    <mergeCell ref="H236:H241"/>
    <mergeCell ref="H271:H276"/>
    <mergeCell ref="H264:H270"/>
    <mergeCell ref="H145:H147"/>
    <mergeCell ref="H164:H170"/>
    <mergeCell ref="H90:H96"/>
    <mergeCell ref="H178:H183"/>
    <mergeCell ref="A85:A89"/>
    <mergeCell ref="A302:A305"/>
    <mergeCell ref="B189:B195"/>
    <mergeCell ref="A196:A200"/>
    <mergeCell ref="A264:A270"/>
    <mergeCell ref="A223:A229"/>
    <mergeCell ref="A90:A96"/>
    <mergeCell ref="A151:A156"/>
    <mergeCell ref="H196:H200"/>
    <mergeCell ref="H136:H144"/>
    <mergeCell ref="H189:H195"/>
    <mergeCell ref="H171:H177"/>
    <mergeCell ref="H184:H187"/>
    <mergeCell ref="B216:B222"/>
    <mergeCell ref="B223:B229"/>
    <mergeCell ref="B178:B183"/>
    <mergeCell ref="B184:B187"/>
    <mergeCell ref="H285:H289"/>
    <mergeCell ref="H280:H284"/>
    <mergeCell ref="H302:H305"/>
    <mergeCell ref="D311:F311"/>
    <mergeCell ref="B302:B305"/>
    <mergeCell ref="B297:B301"/>
    <mergeCell ref="B242:B252"/>
    <mergeCell ref="B290:B296"/>
    <mergeCell ref="B257:B263"/>
    <mergeCell ref="B264:B270"/>
    <mergeCell ref="B280:B284"/>
    <mergeCell ref="B253:B256"/>
    <mergeCell ref="B285:B289"/>
    <mergeCell ref="D310:F310"/>
    <mergeCell ref="D308:F308"/>
    <mergeCell ref="D307:F307"/>
    <mergeCell ref="C307:C312"/>
    <mergeCell ref="D312:F312"/>
    <mergeCell ref="D309:F309"/>
  </mergeCells>
  <phoneticPr fontId="3" type="noConversion"/>
  <pageMargins left="0.75" right="0.75" top="1" bottom="1" header="0.5" footer="0.5"/>
  <pageSetup orientation="portrait" horizontalDpi="4294967294"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sheetPr>
  <dimension ref="A1:G239"/>
  <sheetViews>
    <sheetView zoomScaleNormal="100" workbookViewId="0">
      <selection sqref="A1:B1"/>
    </sheetView>
  </sheetViews>
  <sheetFormatPr defaultColWidth="9.33203125" defaultRowHeight="16.2" customHeight="1" x14ac:dyDescent="0.25"/>
  <cols>
    <col min="1" max="1" width="5.77734375" style="35" customWidth="1"/>
    <col min="2" max="2" width="18.77734375" style="35" customWidth="1"/>
    <col min="3" max="3" width="90.77734375" style="3" customWidth="1"/>
    <col min="4" max="4" width="6.77734375" style="16" customWidth="1"/>
    <col min="5" max="5" width="71.77734375" style="3" customWidth="1"/>
    <col min="6" max="6" width="11.77734375" style="3" customWidth="1"/>
    <col min="7" max="7" width="40.77734375" style="3" customWidth="1"/>
    <col min="8" max="16384" width="9.33203125" style="3"/>
  </cols>
  <sheetData>
    <row r="1" spans="1:7" s="90" customFormat="1" ht="24" customHeight="1" thickBot="1" x14ac:dyDescent="0.3">
      <c r="A1" s="1554" t="s">
        <v>102</v>
      </c>
      <c r="B1" s="1555"/>
      <c r="C1" s="667" t="s">
        <v>1510</v>
      </c>
      <c r="D1" s="1556" t="s">
        <v>1495</v>
      </c>
      <c r="E1" s="1557"/>
      <c r="F1" s="1557"/>
      <c r="G1" s="763"/>
    </row>
    <row r="2" spans="1:7" s="160" customFormat="1" ht="99" customHeight="1" thickBot="1" x14ac:dyDescent="0.3">
      <c r="A2" s="1509" t="s">
        <v>2342</v>
      </c>
      <c r="B2" s="1510"/>
      <c r="C2" s="575" t="s">
        <v>2733</v>
      </c>
      <c r="D2" s="1506" t="s">
        <v>2253</v>
      </c>
      <c r="E2" s="1507"/>
      <c r="F2" s="1508"/>
      <c r="G2" s="581" t="s">
        <v>2343</v>
      </c>
    </row>
    <row r="3" spans="1:7" s="317" customFormat="1" ht="30" customHeight="1" thickBot="1" x14ac:dyDescent="0.3">
      <c r="A3" s="335" t="s">
        <v>126</v>
      </c>
      <c r="B3" s="336" t="s">
        <v>1509</v>
      </c>
      <c r="C3" s="335" t="s">
        <v>1410</v>
      </c>
      <c r="D3" s="336" t="s">
        <v>115</v>
      </c>
      <c r="E3" s="335" t="s">
        <v>2624</v>
      </c>
      <c r="F3" s="336" t="s">
        <v>1999</v>
      </c>
      <c r="G3" s="335" t="s">
        <v>2233</v>
      </c>
    </row>
    <row r="4" spans="1:7" s="89" customFormat="1" ht="30" customHeight="1" thickBot="1" x14ac:dyDescent="0.3">
      <c r="A4" s="1530" t="s">
        <v>783</v>
      </c>
      <c r="B4" s="1522" t="s">
        <v>442</v>
      </c>
      <c r="C4" s="4" t="s">
        <v>2644</v>
      </c>
      <c r="D4" s="743"/>
      <c r="E4" s="1511" t="s">
        <v>2754</v>
      </c>
      <c r="F4" s="715"/>
      <c r="G4" s="1558"/>
    </row>
    <row r="5" spans="1:7" s="89" customFormat="1" ht="16.2" customHeight="1" x14ac:dyDescent="0.25">
      <c r="A5" s="1531" t="s">
        <v>608</v>
      </c>
      <c r="B5" s="1521"/>
      <c r="C5" s="128" t="s">
        <v>1873</v>
      </c>
      <c r="D5" s="168">
        <v>0</v>
      </c>
      <c r="E5" s="1512"/>
      <c r="F5" s="324"/>
      <c r="G5" s="1559"/>
    </row>
    <row r="6" spans="1:7" s="89" customFormat="1" ht="16.2" customHeight="1" x14ac:dyDescent="0.25">
      <c r="A6" s="1531"/>
      <c r="B6" s="1521"/>
      <c r="C6" s="84" t="s">
        <v>2170</v>
      </c>
      <c r="D6" s="111">
        <v>0</v>
      </c>
      <c r="E6" s="1512"/>
      <c r="F6" s="324"/>
      <c r="G6" s="1559"/>
    </row>
    <row r="7" spans="1:7" s="89" customFormat="1" ht="16.2" customHeight="1" x14ac:dyDescent="0.25">
      <c r="A7" s="1531"/>
      <c r="B7" s="1521"/>
      <c r="C7" s="84" t="s">
        <v>2171</v>
      </c>
      <c r="D7" s="111">
        <v>0</v>
      </c>
      <c r="E7" s="1512"/>
      <c r="F7" s="324"/>
      <c r="G7" s="1559"/>
    </row>
    <row r="8" spans="1:7" s="89" customFormat="1" ht="16.2" customHeight="1" x14ac:dyDescent="0.25">
      <c r="A8" s="1531"/>
      <c r="B8" s="1521"/>
      <c r="C8" s="84" t="s">
        <v>2173</v>
      </c>
      <c r="D8" s="111">
        <v>0</v>
      </c>
      <c r="E8" s="1512"/>
      <c r="F8" s="324"/>
      <c r="G8" s="1559"/>
    </row>
    <row r="9" spans="1:7" s="89" customFormat="1" ht="16.2" customHeight="1" x14ac:dyDescent="0.25">
      <c r="A9" s="1531"/>
      <c r="B9" s="1521"/>
      <c r="C9" s="84" t="s">
        <v>2174</v>
      </c>
      <c r="D9" s="111">
        <v>0</v>
      </c>
      <c r="E9" s="1512"/>
      <c r="F9" s="324"/>
      <c r="G9" s="1559"/>
    </row>
    <row r="10" spans="1:7" s="89" customFormat="1" ht="21" customHeight="1" thickBot="1" x14ac:dyDescent="0.3">
      <c r="A10" s="1532"/>
      <c r="B10" s="1523"/>
      <c r="C10" s="115" t="s">
        <v>1874</v>
      </c>
      <c r="D10" s="116">
        <v>0</v>
      </c>
      <c r="E10" s="1513"/>
      <c r="F10" s="326"/>
      <c r="G10" s="1560"/>
    </row>
    <row r="11" spans="1:7" ht="21" customHeight="1" thickBot="1" x14ac:dyDescent="0.3">
      <c r="A11" s="1528" t="s">
        <v>1245</v>
      </c>
      <c r="B11" s="1522" t="s">
        <v>443</v>
      </c>
      <c r="C11" s="4" t="s">
        <v>2434</v>
      </c>
      <c r="D11" s="743"/>
      <c r="E11" s="1514" t="s">
        <v>2755</v>
      </c>
      <c r="F11" s="715"/>
      <c r="G11" s="1561"/>
    </row>
    <row r="12" spans="1:7" ht="16.2" customHeight="1" x14ac:dyDescent="0.25">
      <c r="A12" s="1520"/>
      <c r="B12" s="1521"/>
      <c r="C12" s="112" t="s">
        <v>1875</v>
      </c>
      <c r="D12" s="168">
        <v>0</v>
      </c>
      <c r="E12" s="1515"/>
      <c r="F12" s="716"/>
      <c r="G12" s="1562"/>
    </row>
    <row r="13" spans="1:7" ht="16.2" customHeight="1" x14ac:dyDescent="0.25">
      <c r="A13" s="1520"/>
      <c r="B13" s="1521"/>
      <c r="C13" s="84" t="s">
        <v>1876</v>
      </c>
      <c r="D13" s="111">
        <v>0</v>
      </c>
      <c r="E13" s="1515"/>
      <c r="F13" s="716"/>
      <c r="G13" s="1562"/>
    </row>
    <row r="14" spans="1:7" ht="16.2" customHeight="1" thickBot="1" x14ac:dyDescent="0.3">
      <c r="A14" s="1529"/>
      <c r="B14" s="1523"/>
      <c r="C14" s="238" t="s">
        <v>1877</v>
      </c>
      <c r="D14" s="120">
        <v>0</v>
      </c>
      <c r="E14" s="1516"/>
      <c r="F14" s="723"/>
      <c r="G14" s="1563"/>
    </row>
    <row r="15" spans="1:7" ht="30" customHeight="1" thickBot="1" x14ac:dyDescent="0.3">
      <c r="A15" s="1528" t="s">
        <v>784</v>
      </c>
      <c r="B15" s="1522" t="s">
        <v>444</v>
      </c>
      <c r="C15" s="4" t="s">
        <v>2645</v>
      </c>
      <c r="D15" s="744"/>
      <c r="E15" s="1514" t="s">
        <v>2449</v>
      </c>
      <c r="F15" s="715"/>
      <c r="G15" s="1561"/>
    </row>
    <row r="16" spans="1:7" ht="16.2" customHeight="1" x14ac:dyDescent="0.25">
      <c r="A16" s="1520"/>
      <c r="B16" s="1521"/>
      <c r="C16" s="112" t="s">
        <v>1873</v>
      </c>
      <c r="D16" s="119">
        <v>0</v>
      </c>
      <c r="E16" s="1515"/>
      <c r="F16" s="716"/>
      <c r="G16" s="1562"/>
    </row>
    <row r="17" spans="1:7" ht="16.2" customHeight="1" x14ac:dyDescent="0.25">
      <c r="A17" s="1520"/>
      <c r="B17" s="1521"/>
      <c r="C17" s="84" t="s">
        <v>2170</v>
      </c>
      <c r="D17" s="111">
        <v>0</v>
      </c>
      <c r="E17" s="1515"/>
      <c r="F17" s="716"/>
      <c r="G17" s="1562"/>
    </row>
    <row r="18" spans="1:7" ht="16.2" customHeight="1" x14ac:dyDescent="0.25">
      <c r="A18" s="1520"/>
      <c r="B18" s="1521"/>
      <c r="C18" s="84" t="s">
        <v>2171</v>
      </c>
      <c r="D18" s="111">
        <v>0</v>
      </c>
      <c r="E18" s="1515"/>
      <c r="F18" s="716"/>
      <c r="G18" s="1562"/>
    </row>
    <row r="19" spans="1:7" ht="16.2" customHeight="1" x14ac:dyDescent="0.25">
      <c r="A19" s="1520"/>
      <c r="B19" s="1521"/>
      <c r="C19" s="84" t="s">
        <v>2172</v>
      </c>
      <c r="D19" s="111">
        <v>0</v>
      </c>
      <c r="E19" s="1515"/>
      <c r="F19" s="716"/>
      <c r="G19" s="1562"/>
    </row>
    <row r="20" spans="1:7" ht="16.2" customHeight="1" x14ac:dyDescent="0.25">
      <c r="A20" s="1520"/>
      <c r="B20" s="1521"/>
      <c r="C20" s="84" t="s">
        <v>2174</v>
      </c>
      <c r="D20" s="111">
        <v>0</v>
      </c>
      <c r="E20" s="1515"/>
      <c r="F20" s="716"/>
      <c r="G20" s="1562"/>
    </row>
    <row r="21" spans="1:7" ht="16.2" customHeight="1" thickBot="1" x14ac:dyDescent="0.3">
      <c r="A21" s="1529"/>
      <c r="B21" s="1523"/>
      <c r="C21" s="238" t="s">
        <v>1878</v>
      </c>
      <c r="D21" s="120">
        <v>0</v>
      </c>
      <c r="E21" s="1516"/>
      <c r="F21" s="723"/>
      <c r="G21" s="1563"/>
    </row>
    <row r="22" spans="1:7" ht="30" customHeight="1" thickBot="1" x14ac:dyDescent="0.3">
      <c r="A22" s="1528" t="s">
        <v>785</v>
      </c>
      <c r="B22" s="1522" t="s">
        <v>562</v>
      </c>
      <c r="C22" s="4" t="s">
        <v>2646</v>
      </c>
      <c r="D22" s="744"/>
      <c r="E22" s="1514" t="s">
        <v>2450</v>
      </c>
      <c r="F22" s="715"/>
      <c r="G22" s="1561"/>
    </row>
    <row r="23" spans="1:7" ht="16.2" customHeight="1" x14ac:dyDescent="0.25">
      <c r="A23" s="1520"/>
      <c r="B23" s="1521"/>
      <c r="C23" s="112" t="s">
        <v>1875</v>
      </c>
      <c r="D23" s="119">
        <v>0</v>
      </c>
      <c r="E23" s="1515"/>
      <c r="F23" s="716"/>
      <c r="G23" s="1562"/>
    </row>
    <row r="24" spans="1:7" ht="16.2" customHeight="1" x14ac:dyDescent="0.25">
      <c r="A24" s="1520"/>
      <c r="B24" s="1521"/>
      <c r="C24" s="84" t="s">
        <v>1876</v>
      </c>
      <c r="D24" s="111">
        <v>0</v>
      </c>
      <c r="E24" s="1515"/>
      <c r="F24" s="716"/>
      <c r="G24" s="1562"/>
    </row>
    <row r="25" spans="1:7" ht="16.2" customHeight="1" thickBot="1" x14ac:dyDescent="0.3">
      <c r="A25" s="1529"/>
      <c r="B25" s="1523"/>
      <c r="C25" s="115" t="s">
        <v>1877</v>
      </c>
      <c r="D25" s="120">
        <v>0</v>
      </c>
      <c r="E25" s="1516"/>
      <c r="F25" s="723"/>
      <c r="G25" s="1563"/>
    </row>
    <row r="26" spans="1:7" ht="28.5" customHeight="1" thickBot="1" x14ac:dyDescent="0.3">
      <c r="A26" s="1520" t="s">
        <v>786</v>
      </c>
      <c r="B26" s="1521" t="s">
        <v>445</v>
      </c>
      <c r="C26" s="4" t="s">
        <v>2435</v>
      </c>
      <c r="D26" s="743"/>
      <c r="E26" s="1524" t="s">
        <v>2753</v>
      </c>
      <c r="F26" s="715"/>
      <c r="G26" s="1564"/>
    </row>
    <row r="27" spans="1:7" ht="16.2" customHeight="1" x14ac:dyDescent="0.25">
      <c r="A27" s="1520"/>
      <c r="B27" s="1521"/>
      <c r="C27" s="112" t="s">
        <v>1873</v>
      </c>
      <c r="D27" s="168">
        <v>0</v>
      </c>
      <c r="E27" s="1511"/>
      <c r="F27" s="716"/>
      <c r="G27" s="1558"/>
    </row>
    <row r="28" spans="1:7" ht="16.2" customHeight="1" x14ac:dyDescent="0.25">
      <c r="A28" s="1520"/>
      <c r="B28" s="1521"/>
      <c r="C28" s="84" t="s">
        <v>2170</v>
      </c>
      <c r="D28" s="111">
        <v>0</v>
      </c>
      <c r="E28" s="1511"/>
      <c r="F28" s="716"/>
      <c r="G28" s="1558"/>
    </row>
    <row r="29" spans="1:7" ht="16.2" customHeight="1" x14ac:dyDescent="0.25">
      <c r="A29" s="1520"/>
      <c r="B29" s="1521"/>
      <c r="C29" s="84" t="s">
        <v>2171</v>
      </c>
      <c r="D29" s="111">
        <v>0</v>
      </c>
      <c r="E29" s="1511"/>
      <c r="F29" s="716"/>
      <c r="G29" s="1558"/>
    </row>
    <row r="30" spans="1:7" ht="16.2" customHeight="1" x14ac:dyDescent="0.25">
      <c r="A30" s="1520"/>
      <c r="B30" s="1521"/>
      <c r="C30" s="84" t="s">
        <v>2172</v>
      </c>
      <c r="D30" s="111">
        <v>0</v>
      </c>
      <c r="E30" s="1511"/>
      <c r="F30" s="716"/>
      <c r="G30" s="1558"/>
    </row>
    <row r="31" spans="1:7" ht="16.2" customHeight="1" x14ac:dyDescent="0.25">
      <c r="A31" s="1520"/>
      <c r="B31" s="1521"/>
      <c r="C31" s="84" t="s">
        <v>2595</v>
      </c>
      <c r="D31" s="111">
        <v>0</v>
      </c>
      <c r="E31" s="1511"/>
      <c r="F31" s="716"/>
      <c r="G31" s="1558"/>
    </row>
    <row r="32" spans="1:7" ht="16.2" customHeight="1" thickBot="1" x14ac:dyDescent="0.3">
      <c r="A32" s="1520"/>
      <c r="B32" s="1521"/>
      <c r="C32" s="238" t="s">
        <v>1878</v>
      </c>
      <c r="D32" s="120">
        <v>0</v>
      </c>
      <c r="E32" s="1525"/>
      <c r="F32" s="723"/>
      <c r="G32" s="1565"/>
    </row>
    <row r="33" spans="1:7" ht="25.5" customHeight="1" thickBot="1" x14ac:dyDescent="0.3">
      <c r="A33" s="1528" t="s">
        <v>787</v>
      </c>
      <c r="B33" s="1522" t="s">
        <v>446</v>
      </c>
      <c r="C33" s="4" t="s">
        <v>2436</v>
      </c>
      <c r="D33" s="744"/>
      <c r="E33" s="1514" t="s">
        <v>2440</v>
      </c>
      <c r="F33" s="715"/>
      <c r="G33" s="1561"/>
    </row>
    <row r="34" spans="1:7" ht="16.2" customHeight="1" x14ac:dyDescent="0.25">
      <c r="A34" s="1520"/>
      <c r="B34" s="1521"/>
      <c r="C34" s="732" t="s">
        <v>1873</v>
      </c>
      <c r="D34" s="119">
        <v>0</v>
      </c>
      <c r="E34" s="1515"/>
      <c r="F34" s="716"/>
      <c r="G34" s="1562"/>
    </row>
    <row r="35" spans="1:7" ht="16.2" customHeight="1" x14ac:dyDescent="0.25">
      <c r="A35" s="1520"/>
      <c r="B35" s="1521"/>
      <c r="C35" s="84" t="s">
        <v>2170</v>
      </c>
      <c r="D35" s="111">
        <v>0</v>
      </c>
      <c r="E35" s="1515"/>
      <c r="F35" s="716"/>
      <c r="G35" s="1562"/>
    </row>
    <row r="36" spans="1:7" ht="16.2" customHeight="1" x14ac:dyDescent="0.25">
      <c r="A36" s="1520"/>
      <c r="B36" s="1521"/>
      <c r="C36" s="84" t="s">
        <v>2175</v>
      </c>
      <c r="D36" s="111">
        <v>0</v>
      </c>
      <c r="E36" s="1515"/>
      <c r="F36" s="716"/>
      <c r="G36" s="1562"/>
    </row>
    <row r="37" spans="1:7" ht="16.2" customHeight="1" x14ac:dyDescent="0.25">
      <c r="A37" s="1520"/>
      <c r="B37" s="1521"/>
      <c r="C37" s="84" t="s">
        <v>2176</v>
      </c>
      <c r="D37" s="111">
        <v>0</v>
      </c>
      <c r="E37" s="1515"/>
      <c r="F37" s="716"/>
      <c r="G37" s="1562"/>
    </row>
    <row r="38" spans="1:7" ht="16.2" customHeight="1" x14ac:dyDescent="0.25">
      <c r="A38" s="1520"/>
      <c r="B38" s="1521"/>
      <c r="C38" s="84" t="s">
        <v>2361</v>
      </c>
      <c r="D38" s="111">
        <v>0</v>
      </c>
      <c r="E38" s="1515"/>
      <c r="F38" s="716"/>
      <c r="G38" s="1562"/>
    </row>
    <row r="39" spans="1:7" ht="16.2" customHeight="1" thickBot="1" x14ac:dyDescent="0.3">
      <c r="A39" s="1529"/>
      <c r="B39" s="1523"/>
      <c r="C39" s="118" t="s">
        <v>1878</v>
      </c>
      <c r="D39" s="116">
        <v>0</v>
      </c>
      <c r="E39" s="1516"/>
      <c r="F39" s="723"/>
      <c r="G39" s="1563"/>
    </row>
    <row r="40" spans="1:7" ht="30" customHeight="1" thickBot="1" x14ac:dyDescent="0.3">
      <c r="A40" s="1528" t="s">
        <v>788</v>
      </c>
      <c r="B40" s="1522" t="s">
        <v>447</v>
      </c>
      <c r="C40" s="4" t="s">
        <v>2688</v>
      </c>
      <c r="D40" s="743"/>
      <c r="E40" s="1514" t="s">
        <v>2676</v>
      </c>
      <c r="F40" s="715"/>
      <c r="G40" s="1561"/>
    </row>
    <row r="41" spans="1:7" ht="16.2" customHeight="1" x14ac:dyDescent="0.25">
      <c r="A41" s="1520"/>
      <c r="B41" s="1521"/>
      <c r="C41" s="112" t="s">
        <v>2138</v>
      </c>
      <c r="D41" s="168">
        <v>0</v>
      </c>
      <c r="E41" s="1515"/>
      <c r="F41" s="716"/>
      <c r="G41" s="1562"/>
    </row>
    <row r="42" spans="1:7" ht="16.2" customHeight="1" x14ac:dyDescent="0.25">
      <c r="A42" s="1520"/>
      <c r="B42" s="1521"/>
      <c r="C42" s="733" t="s">
        <v>2177</v>
      </c>
      <c r="D42" s="111">
        <v>0</v>
      </c>
      <c r="E42" s="1515"/>
      <c r="F42" s="716"/>
      <c r="G42" s="1562"/>
    </row>
    <row r="43" spans="1:7" ht="16.2" customHeight="1" x14ac:dyDescent="0.25">
      <c r="A43" s="1520"/>
      <c r="B43" s="1521"/>
      <c r="C43" s="84" t="s">
        <v>2178</v>
      </c>
      <c r="D43" s="111">
        <v>0</v>
      </c>
      <c r="E43" s="1515"/>
      <c r="F43" s="716"/>
      <c r="G43" s="1562"/>
    </row>
    <row r="44" spans="1:7" ht="16.2" customHeight="1" x14ac:dyDescent="0.25">
      <c r="A44" s="1520"/>
      <c r="B44" s="1521"/>
      <c r="C44" s="84" t="s">
        <v>2179</v>
      </c>
      <c r="D44" s="111">
        <v>0</v>
      </c>
      <c r="E44" s="1515"/>
      <c r="F44" s="716"/>
      <c r="G44" s="1562"/>
    </row>
    <row r="45" spans="1:7" ht="16.2" customHeight="1" x14ac:dyDescent="0.25">
      <c r="A45" s="1520"/>
      <c r="B45" s="1521"/>
      <c r="C45" s="84" t="s">
        <v>2180</v>
      </c>
      <c r="D45" s="111">
        <v>0</v>
      </c>
      <c r="E45" s="1515"/>
      <c r="F45" s="716"/>
      <c r="G45" s="1562"/>
    </row>
    <row r="46" spans="1:7" ht="16.2" customHeight="1" x14ac:dyDescent="0.25">
      <c r="A46" s="1520"/>
      <c r="B46" s="1521"/>
      <c r="C46" s="131" t="s">
        <v>2181</v>
      </c>
      <c r="D46" s="111">
        <v>0</v>
      </c>
      <c r="E46" s="1515"/>
      <c r="F46" s="716"/>
      <c r="G46" s="1562"/>
    </row>
    <row r="47" spans="1:7" ht="16.2" customHeight="1" thickBot="1" x14ac:dyDescent="0.3">
      <c r="A47" s="1529"/>
      <c r="B47" s="1523"/>
      <c r="C47" s="115" t="s">
        <v>2139</v>
      </c>
      <c r="D47" s="116">
        <v>0</v>
      </c>
      <c r="E47" s="1516"/>
      <c r="F47" s="723"/>
      <c r="G47" s="1563"/>
    </row>
    <row r="48" spans="1:7" ht="29.25" customHeight="1" thickBot="1" x14ac:dyDescent="0.3">
      <c r="A48" s="1528" t="s">
        <v>1246</v>
      </c>
      <c r="B48" s="1522" t="s">
        <v>448</v>
      </c>
      <c r="C48" s="4" t="s">
        <v>2686</v>
      </c>
      <c r="D48" s="745"/>
      <c r="E48" s="1527" t="s">
        <v>2441</v>
      </c>
      <c r="F48" s="327"/>
      <c r="G48" s="1566"/>
    </row>
    <row r="49" spans="1:7" ht="16.2" customHeight="1" x14ac:dyDescent="0.25">
      <c r="A49" s="1520"/>
      <c r="B49" s="1521"/>
      <c r="C49" s="112" t="s">
        <v>1879</v>
      </c>
      <c r="D49" s="164">
        <v>0</v>
      </c>
      <c r="E49" s="1515"/>
      <c r="F49" s="716"/>
      <c r="G49" s="1562"/>
    </row>
    <row r="50" spans="1:7" ht="16.2" customHeight="1" x14ac:dyDescent="0.25">
      <c r="A50" s="1520"/>
      <c r="B50" s="1521"/>
      <c r="C50" s="84" t="s">
        <v>1880</v>
      </c>
      <c r="D50" s="121">
        <v>0</v>
      </c>
      <c r="E50" s="1515"/>
      <c r="F50" s="716"/>
      <c r="G50" s="1562"/>
    </row>
    <row r="51" spans="1:7" ht="16.2" customHeight="1" x14ac:dyDescent="0.25">
      <c r="A51" s="1520"/>
      <c r="B51" s="1521"/>
      <c r="C51" s="84" t="s">
        <v>1881</v>
      </c>
      <c r="D51" s="121">
        <v>0</v>
      </c>
      <c r="E51" s="1515"/>
      <c r="F51" s="716"/>
      <c r="G51" s="1562"/>
    </row>
    <row r="52" spans="1:7" ht="16.2" customHeight="1" thickBot="1" x14ac:dyDescent="0.3">
      <c r="A52" s="1529"/>
      <c r="B52" s="1523"/>
      <c r="C52" s="115" t="s">
        <v>1819</v>
      </c>
      <c r="D52" s="122">
        <v>0</v>
      </c>
      <c r="E52" s="1516"/>
      <c r="F52" s="723"/>
      <c r="G52" s="1563"/>
    </row>
    <row r="53" spans="1:7" ht="27" customHeight="1" thickBot="1" x14ac:dyDescent="0.3">
      <c r="A53" s="1528" t="s">
        <v>789</v>
      </c>
      <c r="B53" s="1522" t="s">
        <v>449</v>
      </c>
      <c r="C53" s="4" t="s">
        <v>2433</v>
      </c>
      <c r="D53" s="744"/>
      <c r="E53" s="1514" t="s">
        <v>2432</v>
      </c>
      <c r="F53" s="715"/>
      <c r="G53" s="1561"/>
    </row>
    <row r="54" spans="1:7" ht="16.2" customHeight="1" x14ac:dyDescent="0.25">
      <c r="A54" s="1520"/>
      <c r="B54" s="1521"/>
      <c r="C54" s="112" t="s">
        <v>1882</v>
      </c>
      <c r="D54" s="119">
        <v>0</v>
      </c>
      <c r="E54" s="1515"/>
      <c r="F54" s="716"/>
      <c r="G54" s="1562"/>
    </row>
    <row r="55" spans="1:7" ht="16.2" customHeight="1" x14ac:dyDescent="0.25">
      <c r="A55" s="1520"/>
      <c r="B55" s="1521"/>
      <c r="C55" s="84" t="s">
        <v>2182</v>
      </c>
      <c r="D55" s="111">
        <v>0</v>
      </c>
      <c r="E55" s="1515"/>
      <c r="F55" s="716"/>
      <c r="G55" s="1562"/>
    </row>
    <row r="56" spans="1:7" ht="16.2" customHeight="1" x14ac:dyDescent="0.25">
      <c r="A56" s="1520"/>
      <c r="B56" s="1521"/>
      <c r="C56" s="84" t="s">
        <v>2183</v>
      </c>
      <c r="D56" s="111">
        <v>0</v>
      </c>
      <c r="E56" s="1515"/>
      <c r="F56" s="716"/>
      <c r="G56" s="1562"/>
    </row>
    <row r="57" spans="1:7" ht="16.2" customHeight="1" x14ac:dyDescent="0.25">
      <c r="A57" s="1520"/>
      <c r="B57" s="1521"/>
      <c r="C57" s="84" t="s">
        <v>1883</v>
      </c>
      <c r="D57" s="111">
        <v>0</v>
      </c>
      <c r="E57" s="1515"/>
      <c r="F57" s="716"/>
      <c r="G57" s="1562"/>
    </row>
    <row r="58" spans="1:7" ht="16.2" customHeight="1" thickBot="1" x14ac:dyDescent="0.3">
      <c r="A58" s="1529"/>
      <c r="B58" s="1523"/>
      <c r="C58" s="115" t="s">
        <v>1494</v>
      </c>
      <c r="D58" s="116">
        <v>0</v>
      </c>
      <c r="E58" s="1516"/>
      <c r="F58" s="723" t="s">
        <v>1487</v>
      </c>
      <c r="G58" s="1563"/>
    </row>
    <row r="59" spans="1:7" ht="26.25" customHeight="1" thickBot="1" x14ac:dyDescent="0.3">
      <c r="A59" s="1528" t="s">
        <v>790</v>
      </c>
      <c r="B59" s="1522" t="s">
        <v>450</v>
      </c>
      <c r="C59" s="4" t="s">
        <v>2451</v>
      </c>
      <c r="D59" s="743"/>
      <c r="E59" s="1526" t="s">
        <v>2677</v>
      </c>
      <c r="F59" s="328"/>
      <c r="G59" s="1567"/>
    </row>
    <row r="60" spans="1:7" ht="16.2" customHeight="1" x14ac:dyDescent="0.25">
      <c r="A60" s="1520"/>
      <c r="B60" s="1521"/>
      <c r="C60" s="112" t="s">
        <v>1884</v>
      </c>
      <c r="D60" s="168">
        <v>0</v>
      </c>
      <c r="E60" s="1515"/>
      <c r="F60" s="716"/>
      <c r="G60" s="1562"/>
    </row>
    <row r="61" spans="1:7" ht="16.2" customHeight="1" x14ac:dyDescent="0.25">
      <c r="A61" s="1520"/>
      <c r="B61" s="1521"/>
      <c r="C61" s="84" t="s">
        <v>2184</v>
      </c>
      <c r="D61" s="111">
        <v>0</v>
      </c>
      <c r="E61" s="1515"/>
      <c r="F61" s="716"/>
      <c r="G61" s="1562"/>
    </row>
    <row r="62" spans="1:7" ht="16.2" customHeight="1" x14ac:dyDescent="0.25">
      <c r="A62" s="1520"/>
      <c r="B62" s="1521"/>
      <c r="C62" s="84" t="s">
        <v>2185</v>
      </c>
      <c r="D62" s="111">
        <v>0</v>
      </c>
      <c r="E62" s="1515"/>
      <c r="F62" s="716"/>
      <c r="G62" s="1562"/>
    </row>
    <row r="63" spans="1:7" ht="16.2" customHeight="1" x14ac:dyDescent="0.25">
      <c r="A63" s="1520"/>
      <c r="B63" s="1521"/>
      <c r="C63" s="84" t="s">
        <v>1885</v>
      </c>
      <c r="D63" s="111">
        <v>0</v>
      </c>
      <c r="E63" s="1515"/>
      <c r="F63" s="716"/>
      <c r="G63" s="1562"/>
    </row>
    <row r="64" spans="1:7" ht="16.2" customHeight="1" thickBot="1" x14ac:dyDescent="0.3">
      <c r="A64" s="1529"/>
      <c r="B64" s="1523"/>
      <c r="C64" s="115" t="s">
        <v>1886</v>
      </c>
      <c r="D64" s="116">
        <v>0</v>
      </c>
      <c r="E64" s="1516"/>
      <c r="F64" s="723"/>
      <c r="G64" s="1563"/>
    </row>
    <row r="65" spans="1:7" ht="21" customHeight="1" thickBot="1" x14ac:dyDescent="0.3">
      <c r="A65" s="1528" t="s">
        <v>791</v>
      </c>
      <c r="B65" s="1522" t="s">
        <v>451</v>
      </c>
      <c r="C65" s="4" t="s">
        <v>2258</v>
      </c>
      <c r="D65" s="744"/>
      <c r="E65" s="1514" t="s">
        <v>2452</v>
      </c>
      <c r="F65" s="715"/>
      <c r="G65" s="1561"/>
    </row>
    <row r="66" spans="1:7" ht="16.2" customHeight="1" x14ac:dyDescent="0.25">
      <c r="A66" s="1520"/>
      <c r="B66" s="1521"/>
      <c r="C66" s="112" t="s">
        <v>2254</v>
      </c>
      <c r="D66" s="119">
        <v>0</v>
      </c>
      <c r="E66" s="1515"/>
      <c r="F66" s="716"/>
      <c r="G66" s="1562"/>
    </row>
    <row r="67" spans="1:7" ht="16.2" customHeight="1" x14ac:dyDescent="0.25">
      <c r="A67" s="1520"/>
      <c r="B67" s="1521"/>
      <c r="C67" s="84" t="s">
        <v>2184</v>
      </c>
      <c r="D67" s="111">
        <v>0</v>
      </c>
      <c r="E67" s="1515"/>
      <c r="F67" s="716"/>
      <c r="G67" s="1562"/>
    </row>
    <row r="68" spans="1:7" ht="16.2" customHeight="1" x14ac:dyDescent="0.25">
      <c r="A68" s="1520"/>
      <c r="B68" s="1521"/>
      <c r="C68" s="84" t="s">
        <v>2185</v>
      </c>
      <c r="D68" s="111">
        <v>0</v>
      </c>
      <c r="E68" s="1515"/>
      <c r="F68" s="716"/>
      <c r="G68" s="1562"/>
    </row>
    <row r="69" spans="1:7" ht="16.2" customHeight="1" x14ac:dyDescent="0.25">
      <c r="A69" s="1520"/>
      <c r="B69" s="1521"/>
      <c r="C69" s="84" t="s">
        <v>1885</v>
      </c>
      <c r="D69" s="111">
        <v>0</v>
      </c>
      <c r="E69" s="1515"/>
      <c r="F69" s="716"/>
      <c r="G69" s="1562"/>
    </row>
    <row r="70" spans="1:7" ht="16.5" customHeight="1" thickBot="1" x14ac:dyDescent="0.3">
      <c r="A70" s="1529"/>
      <c r="B70" s="1523"/>
      <c r="C70" s="115" t="s">
        <v>1886</v>
      </c>
      <c r="D70" s="116">
        <v>0</v>
      </c>
      <c r="E70" s="1516"/>
      <c r="F70" s="723"/>
      <c r="G70" s="1563"/>
    </row>
    <row r="71" spans="1:7" ht="21" customHeight="1" thickBot="1" x14ac:dyDescent="0.3">
      <c r="A71" s="1528" t="s">
        <v>1247</v>
      </c>
      <c r="B71" s="1522" t="s">
        <v>563</v>
      </c>
      <c r="C71" s="4" t="s">
        <v>2259</v>
      </c>
      <c r="D71" s="744"/>
      <c r="E71" s="1524" t="s">
        <v>2775</v>
      </c>
      <c r="F71" s="715"/>
      <c r="G71" s="1564"/>
    </row>
    <row r="72" spans="1:7" ht="16.2" customHeight="1" x14ac:dyDescent="0.25">
      <c r="A72" s="1520"/>
      <c r="B72" s="1521"/>
      <c r="C72" s="112" t="s">
        <v>438</v>
      </c>
      <c r="D72" s="119">
        <v>0</v>
      </c>
      <c r="E72" s="1511"/>
      <c r="F72" s="716"/>
      <c r="G72" s="1558"/>
    </row>
    <row r="73" spans="1:7" ht="39" customHeight="1" x14ac:dyDescent="0.25">
      <c r="A73" s="1520"/>
      <c r="B73" s="1521"/>
      <c r="C73" s="112" t="s">
        <v>2678</v>
      </c>
      <c r="D73" s="111">
        <v>0</v>
      </c>
      <c r="E73" s="1511"/>
      <c r="F73" s="716"/>
      <c r="G73" s="1558"/>
    </row>
    <row r="74" spans="1:7" ht="16.2" customHeight="1" x14ac:dyDescent="0.25">
      <c r="A74" s="1520"/>
      <c r="B74" s="1521"/>
      <c r="C74" s="238" t="s">
        <v>2614</v>
      </c>
      <c r="D74" s="111">
        <v>0</v>
      </c>
      <c r="E74" s="1511"/>
      <c r="F74" s="716"/>
      <c r="G74" s="1558"/>
    </row>
    <row r="75" spans="1:7" ht="27" customHeight="1" thickBot="1" x14ac:dyDescent="0.3">
      <c r="A75" s="1529"/>
      <c r="B75" s="1523"/>
      <c r="C75" s="115" t="s">
        <v>2615</v>
      </c>
      <c r="D75" s="116">
        <v>0</v>
      </c>
      <c r="E75" s="1525"/>
      <c r="F75" s="723"/>
      <c r="G75" s="1565"/>
    </row>
    <row r="76" spans="1:7" ht="21" customHeight="1" thickBot="1" x14ac:dyDescent="0.3">
      <c r="A76" s="1528" t="s">
        <v>792</v>
      </c>
      <c r="B76" s="1522" t="s">
        <v>564</v>
      </c>
      <c r="C76" s="4" t="s">
        <v>2260</v>
      </c>
      <c r="D76" s="744"/>
      <c r="E76" s="1524" t="s">
        <v>2651</v>
      </c>
      <c r="F76" s="715"/>
      <c r="G76" s="1564"/>
    </row>
    <row r="77" spans="1:7" ht="16.2" customHeight="1" x14ac:dyDescent="0.25">
      <c r="A77" s="1520"/>
      <c r="B77" s="1521"/>
      <c r="C77" s="112" t="s">
        <v>438</v>
      </c>
      <c r="D77" s="119">
        <v>0</v>
      </c>
      <c r="E77" s="1511"/>
      <c r="F77" s="716"/>
      <c r="G77" s="1558"/>
    </row>
    <row r="78" spans="1:7" ht="41.25" customHeight="1" x14ac:dyDescent="0.25">
      <c r="A78" s="1520"/>
      <c r="B78" s="1521"/>
      <c r="C78" s="112" t="s">
        <v>2679</v>
      </c>
      <c r="D78" s="111">
        <v>0</v>
      </c>
      <c r="E78" s="1511"/>
      <c r="F78" s="716"/>
      <c r="G78" s="1558"/>
    </row>
    <row r="79" spans="1:7" ht="16.2" customHeight="1" x14ac:dyDescent="0.25">
      <c r="A79" s="1520"/>
      <c r="B79" s="1521"/>
      <c r="C79" s="238" t="s">
        <v>439</v>
      </c>
      <c r="D79" s="111">
        <v>0</v>
      </c>
      <c r="E79" s="1511"/>
      <c r="F79" s="716"/>
      <c r="G79" s="1558"/>
    </row>
    <row r="80" spans="1:7" ht="27.75" customHeight="1" thickBot="1" x14ac:dyDescent="0.3">
      <c r="A80" s="1529"/>
      <c r="B80" s="1523"/>
      <c r="C80" s="115" t="s">
        <v>440</v>
      </c>
      <c r="D80" s="116">
        <v>0</v>
      </c>
      <c r="E80" s="1525"/>
      <c r="F80" s="723"/>
      <c r="G80" s="1565"/>
    </row>
    <row r="81" spans="1:7" ht="31.5" customHeight="1" thickBot="1" x14ac:dyDescent="0.3">
      <c r="A81" s="1522" t="s">
        <v>793</v>
      </c>
      <c r="B81" s="1522" t="s">
        <v>566</v>
      </c>
      <c r="C81" s="4" t="s">
        <v>2371</v>
      </c>
      <c r="D81" s="743"/>
      <c r="E81" s="1514" t="s">
        <v>2442</v>
      </c>
      <c r="F81" s="715"/>
      <c r="G81" s="1561"/>
    </row>
    <row r="82" spans="1:7" ht="18.75" customHeight="1" x14ac:dyDescent="0.25">
      <c r="A82" s="1521"/>
      <c r="B82" s="1521"/>
      <c r="C82" s="112" t="s">
        <v>2255</v>
      </c>
      <c r="D82" s="168">
        <v>0</v>
      </c>
      <c r="E82" s="1515"/>
      <c r="F82" s="716"/>
      <c r="G82" s="1562"/>
    </row>
    <row r="83" spans="1:7" ht="16.2" customHeight="1" x14ac:dyDescent="0.25">
      <c r="A83" s="1521"/>
      <c r="B83" s="1521"/>
      <c r="C83" s="112" t="s">
        <v>2256</v>
      </c>
      <c r="D83" s="111">
        <v>0</v>
      </c>
      <c r="E83" s="1515"/>
      <c r="F83" s="716"/>
      <c r="G83" s="1562"/>
    </row>
    <row r="84" spans="1:7" ht="16.2" customHeight="1" x14ac:dyDescent="0.25">
      <c r="A84" s="1521"/>
      <c r="B84" s="1521"/>
      <c r="C84" s="112" t="s">
        <v>2257</v>
      </c>
      <c r="D84" s="120">
        <v>0</v>
      </c>
      <c r="E84" s="1515"/>
      <c r="F84" s="716"/>
      <c r="G84" s="1562"/>
    </row>
    <row r="85" spans="1:7" ht="16.2" customHeight="1" x14ac:dyDescent="0.25">
      <c r="A85" s="1521"/>
      <c r="B85" s="1521"/>
      <c r="C85" s="238" t="s">
        <v>1819</v>
      </c>
      <c r="D85" s="120">
        <v>0</v>
      </c>
      <c r="E85" s="1515"/>
      <c r="F85" s="716"/>
      <c r="G85" s="1562"/>
    </row>
    <row r="86" spans="1:7" ht="16.2" customHeight="1" thickBot="1" x14ac:dyDescent="0.3">
      <c r="A86" s="1523"/>
      <c r="B86" s="1523"/>
      <c r="C86" s="115" t="s">
        <v>1887</v>
      </c>
      <c r="D86" s="116">
        <v>0</v>
      </c>
      <c r="E86" s="1516"/>
      <c r="F86" s="723"/>
      <c r="G86" s="1563"/>
    </row>
    <row r="87" spans="1:7" ht="30.75" customHeight="1" thickBot="1" x14ac:dyDescent="0.3">
      <c r="A87" s="1522" t="s">
        <v>1248</v>
      </c>
      <c r="B87" s="1522" t="s">
        <v>647</v>
      </c>
      <c r="C87" s="4" t="s">
        <v>2616</v>
      </c>
      <c r="D87" s="744"/>
      <c r="E87" s="1522" t="s">
        <v>2766</v>
      </c>
      <c r="F87" s="715"/>
      <c r="G87" s="1564"/>
    </row>
    <row r="88" spans="1:7" ht="16.2" customHeight="1" x14ac:dyDescent="0.25">
      <c r="A88" s="1521"/>
      <c r="B88" s="1521"/>
      <c r="C88" s="112" t="s">
        <v>2264</v>
      </c>
      <c r="D88" s="165">
        <v>0</v>
      </c>
      <c r="E88" s="1521"/>
      <c r="F88" s="716"/>
      <c r="G88" s="1558"/>
    </row>
    <row r="89" spans="1:7" ht="16.2" customHeight="1" x14ac:dyDescent="0.25">
      <c r="A89" s="1521"/>
      <c r="B89" s="1521"/>
      <c r="C89" s="84" t="s">
        <v>2265</v>
      </c>
      <c r="D89" s="120">
        <v>0</v>
      </c>
      <c r="E89" s="1521"/>
      <c r="F89" s="716"/>
      <c r="G89" s="1558"/>
    </row>
    <row r="90" spans="1:7" ht="16.2" customHeight="1" x14ac:dyDescent="0.25">
      <c r="A90" s="1521"/>
      <c r="B90" s="1521"/>
      <c r="C90" s="84" t="s">
        <v>2266</v>
      </c>
      <c r="D90" s="120">
        <v>0</v>
      </c>
      <c r="E90" s="1521"/>
      <c r="F90" s="716"/>
      <c r="G90" s="1558"/>
    </row>
    <row r="91" spans="1:7" ht="16.2" customHeight="1" x14ac:dyDescent="0.25">
      <c r="A91" s="1521"/>
      <c r="B91" s="1521"/>
      <c r="C91" s="84" t="s">
        <v>2267</v>
      </c>
      <c r="D91" s="120">
        <v>0</v>
      </c>
      <c r="E91" s="1521"/>
      <c r="F91" s="716"/>
      <c r="G91" s="1558"/>
    </row>
    <row r="92" spans="1:7" ht="16.2" customHeight="1" x14ac:dyDescent="0.25">
      <c r="A92" s="1521"/>
      <c r="B92" s="1521"/>
      <c r="C92" s="84" t="s">
        <v>2268</v>
      </c>
      <c r="D92" s="120">
        <v>0</v>
      </c>
      <c r="E92" s="1521"/>
      <c r="F92" s="716"/>
      <c r="G92" s="1558"/>
    </row>
    <row r="93" spans="1:7" ht="16.2" customHeight="1" x14ac:dyDescent="0.25">
      <c r="A93" s="1521"/>
      <c r="B93" s="1521"/>
      <c r="C93" s="84" t="s">
        <v>2269</v>
      </c>
      <c r="D93" s="120">
        <v>0</v>
      </c>
      <c r="E93" s="1521"/>
      <c r="F93" s="716"/>
      <c r="G93" s="1558"/>
    </row>
    <row r="94" spans="1:7" ht="16.2" customHeight="1" x14ac:dyDescent="0.25">
      <c r="A94" s="1521"/>
      <c r="B94" s="1521"/>
      <c r="C94" s="84" t="s">
        <v>2270</v>
      </c>
      <c r="D94" s="120">
        <v>0</v>
      </c>
      <c r="E94" s="1521"/>
      <c r="F94" s="716"/>
      <c r="G94" s="1558"/>
    </row>
    <row r="95" spans="1:7" ht="16.2" customHeight="1" x14ac:dyDescent="0.25">
      <c r="A95" s="1521"/>
      <c r="B95" s="1521"/>
      <c r="C95" s="84" t="s">
        <v>2271</v>
      </c>
      <c r="D95" s="120">
        <v>0</v>
      </c>
      <c r="E95" s="1521"/>
      <c r="F95" s="716"/>
      <c r="G95" s="1558"/>
    </row>
    <row r="96" spans="1:7" ht="16.2" customHeight="1" x14ac:dyDescent="0.25">
      <c r="A96" s="1521"/>
      <c r="B96" s="1521"/>
      <c r="C96" s="734" t="s">
        <v>1819</v>
      </c>
      <c r="D96" s="120">
        <v>0</v>
      </c>
      <c r="E96" s="1521"/>
      <c r="F96" s="716"/>
      <c r="G96" s="1558"/>
    </row>
    <row r="97" spans="1:7" ht="16.2" customHeight="1" thickBot="1" x14ac:dyDescent="0.3">
      <c r="A97" s="1523"/>
      <c r="B97" s="1523"/>
      <c r="C97" s="734" t="s">
        <v>1888</v>
      </c>
      <c r="D97" s="116">
        <v>0</v>
      </c>
      <c r="E97" s="1523"/>
      <c r="F97" s="723"/>
      <c r="G97" s="1565"/>
    </row>
    <row r="98" spans="1:7" ht="21.75" customHeight="1" thickBot="1" x14ac:dyDescent="0.3">
      <c r="A98" s="1522" t="s">
        <v>794</v>
      </c>
      <c r="B98" s="1522" t="s">
        <v>565</v>
      </c>
      <c r="C98" s="233" t="s">
        <v>2443</v>
      </c>
      <c r="D98" s="746"/>
      <c r="E98" s="574" t="s">
        <v>2767</v>
      </c>
      <c r="F98" s="329"/>
      <c r="G98" s="685"/>
    </row>
    <row r="99" spans="1:7" ht="30" customHeight="1" x14ac:dyDescent="0.25">
      <c r="A99" s="1521"/>
      <c r="B99" s="1521"/>
      <c r="C99" s="112" t="s">
        <v>2689</v>
      </c>
      <c r="D99" s="413">
        <v>0</v>
      </c>
      <c r="E99" s="382" t="s">
        <v>2261</v>
      </c>
      <c r="F99" s="330"/>
      <c r="G99" s="686"/>
    </row>
    <row r="100" spans="1:7" ht="39" customHeight="1" x14ac:dyDescent="0.25">
      <c r="A100" s="1521"/>
      <c r="B100" s="1521"/>
      <c r="C100" s="84" t="s">
        <v>2263</v>
      </c>
      <c r="D100" s="111">
        <v>0</v>
      </c>
      <c r="E100" s="742" t="s">
        <v>1560</v>
      </c>
      <c r="F100" s="716"/>
      <c r="G100" s="687"/>
    </row>
    <row r="101" spans="1:7" ht="16.2" customHeight="1" x14ac:dyDescent="0.25">
      <c r="A101" s="1521"/>
      <c r="B101" s="1521"/>
      <c r="C101" s="84" t="s">
        <v>2273</v>
      </c>
      <c r="D101" s="111">
        <v>0</v>
      </c>
      <c r="E101" s="535" t="s">
        <v>2262</v>
      </c>
      <c r="F101" s="269"/>
      <c r="G101" s="688"/>
    </row>
    <row r="102" spans="1:7" ht="16.2" customHeight="1" thickBot="1" x14ac:dyDescent="0.3">
      <c r="A102" s="1523"/>
      <c r="B102" s="1523"/>
      <c r="C102" s="115" t="s">
        <v>1819</v>
      </c>
      <c r="D102" s="116">
        <v>0</v>
      </c>
      <c r="E102" s="262"/>
      <c r="F102" s="723"/>
      <c r="G102" s="709"/>
    </row>
    <row r="103" spans="1:7" ht="30" customHeight="1" thickBot="1" x14ac:dyDescent="0.3">
      <c r="A103" s="1517" t="s">
        <v>795</v>
      </c>
      <c r="B103" s="1522" t="s">
        <v>452</v>
      </c>
      <c r="C103" s="4" t="s">
        <v>2272</v>
      </c>
      <c r="D103" s="744"/>
      <c r="E103" s="1514" t="s">
        <v>2680</v>
      </c>
      <c r="F103" s="715"/>
      <c r="G103" s="1561"/>
    </row>
    <row r="104" spans="1:7" ht="27" customHeight="1" x14ac:dyDescent="0.25">
      <c r="A104" s="1518"/>
      <c r="B104" s="1521"/>
      <c r="C104" s="112" t="s">
        <v>2156</v>
      </c>
      <c r="D104" s="119">
        <v>0</v>
      </c>
      <c r="E104" s="1515"/>
      <c r="F104" s="716"/>
      <c r="G104" s="1562"/>
    </row>
    <row r="105" spans="1:7" ht="16.2" customHeight="1" x14ac:dyDescent="0.25">
      <c r="A105" s="1518"/>
      <c r="B105" s="1521"/>
      <c r="C105" s="84" t="s">
        <v>1788</v>
      </c>
      <c r="D105" s="111">
        <v>0</v>
      </c>
      <c r="E105" s="1515"/>
      <c r="F105" s="716"/>
      <c r="G105" s="1562"/>
    </row>
    <row r="106" spans="1:7" ht="16.2" customHeight="1" x14ac:dyDescent="0.25">
      <c r="A106" s="1518"/>
      <c r="B106" s="1521"/>
      <c r="C106" s="84" t="s">
        <v>2157</v>
      </c>
      <c r="D106" s="111">
        <v>0</v>
      </c>
      <c r="E106" s="1515"/>
      <c r="F106" s="716"/>
      <c r="G106" s="1562"/>
    </row>
    <row r="107" spans="1:7" ht="27.6" customHeight="1" thickBot="1" x14ac:dyDescent="0.3">
      <c r="A107" s="1519"/>
      <c r="B107" s="1523"/>
      <c r="C107" s="115" t="s">
        <v>1787</v>
      </c>
      <c r="D107" s="116">
        <v>0</v>
      </c>
      <c r="E107" s="1516"/>
      <c r="F107" s="723"/>
      <c r="G107" s="1563"/>
    </row>
    <row r="108" spans="1:7" ht="27" customHeight="1" thickBot="1" x14ac:dyDescent="0.3">
      <c r="A108" s="1517" t="s">
        <v>1249</v>
      </c>
      <c r="B108" s="1522" t="s">
        <v>453</v>
      </c>
      <c r="C108" s="4" t="s">
        <v>2169</v>
      </c>
      <c r="D108" s="744"/>
      <c r="E108" s="1514" t="s">
        <v>2690</v>
      </c>
      <c r="F108" s="715"/>
      <c r="G108" s="1561"/>
    </row>
    <row r="109" spans="1:7" ht="27" customHeight="1" x14ac:dyDescent="0.25">
      <c r="A109" s="1518"/>
      <c r="B109" s="1521"/>
      <c r="C109" s="112" t="s">
        <v>2158</v>
      </c>
      <c r="D109" s="119">
        <v>0</v>
      </c>
      <c r="E109" s="1515"/>
      <c r="F109" s="716"/>
      <c r="G109" s="1562"/>
    </row>
    <row r="110" spans="1:7" ht="16.2" customHeight="1" x14ac:dyDescent="0.25">
      <c r="A110" s="1518"/>
      <c r="B110" s="1521"/>
      <c r="C110" s="84" t="s">
        <v>1788</v>
      </c>
      <c r="D110" s="111">
        <v>0</v>
      </c>
      <c r="E110" s="1515"/>
      <c r="F110" s="716"/>
      <c r="G110" s="1562"/>
    </row>
    <row r="111" spans="1:7" ht="16.2" customHeight="1" x14ac:dyDescent="0.25">
      <c r="A111" s="1518"/>
      <c r="B111" s="1521"/>
      <c r="C111" s="84" t="s">
        <v>2159</v>
      </c>
      <c r="D111" s="111">
        <v>0</v>
      </c>
      <c r="E111" s="1515"/>
      <c r="F111" s="716"/>
      <c r="G111" s="1562"/>
    </row>
    <row r="112" spans="1:7" ht="27" customHeight="1" thickBot="1" x14ac:dyDescent="0.3">
      <c r="A112" s="1519"/>
      <c r="B112" s="1523"/>
      <c r="C112" s="115" t="s">
        <v>1787</v>
      </c>
      <c r="D112" s="116">
        <v>0</v>
      </c>
      <c r="E112" s="1516"/>
      <c r="F112" s="723"/>
      <c r="G112" s="1563"/>
    </row>
    <row r="113" spans="1:7" ht="30" customHeight="1" thickBot="1" x14ac:dyDescent="0.3">
      <c r="A113" s="1517" t="s">
        <v>796</v>
      </c>
      <c r="B113" s="1522" t="s">
        <v>454</v>
      </c>
      <c r="C113" s="4" t="s">
        <v>2444</v>
      </c>
      <c r="D113" s="744"/>
      <c r="E113" s="1514" t="s">
        <v>2687</v>
      </c>
      <c r="F113" s="715"/>
      <c r="G113" s="1561"/>
    </row>
    <row r="114" spans="1:7" ht="27" customHeight="1" x14ac:dyDescent="0.25">
      <c r="A114" s="1518"/>
      <c r="B114" s="1521"/>
      <c r="C114" s="112" t="s">
        <v>2439</v>
      </c>
      <c r="D114" s="119">
        <v>0</v>
      </c>
      <c r="E114" s="1515"/>
      <c r="F114" s="716"/>
      <c r="G114" s="1562"/>
    </row>
    <row r="115" spans="1:7" ht="16.2" customHeight="1" x14ac:dyDescent="0.25">
      <c r="A115" s="1518"/>
      <c r="B115" s="1521"/>
      <c r="C115" s="84" t="s">
        <v>2160</v>
      </c>
      <c r="D115" s="111">
        <v>0</v>
      </c>
      <c r="E115" s="1515"/>
      <c r="F115" s="716"/>
      <c r="G115" s="1562"/>
    </row>
    <row r="116" spans="1:7" ht="27" customHeight="1" thickBot="1" x14ac:dyDescent="0.3">
      <c r="A116" s="1519"/>
      <c r="B116" s="1523"/>
      <c r="C116" s="115" t="s">
        <v>1787</v>
      </c>
      <c r="D116" s="116">
        <v>0</v>
      </c>
      <c r="E116" s="1516"/>
      <c r="F116" s="723"/>
      <c r="G116" s="1563"/>
    </row>
    <row r="117" spans="1:7" ht="28.5" customHeight="1" thickBot="1" x14ac:dyDescent="0.3">
      <c r="A117" s="1517" t="s">
        <v>797</v>
      </c>
      <c r="B117" s="1522" t="s">
        <v>455</v>
      </c>
      <c r="C117" s="4" t="s">
        <v>2445</v>
      </c>
      <c r="D117" s="513"/>
      <c r="E117" s="1514" t="s">
        <v>2681</v>
      </c>
      <c r="F117" s="715"/>
      <c r="G117" s="1561"/>
    </row>
    <row r="118" spans="1:7" ht="27" customHeight="1" x14ac:dyDescent="0.25">
      <c r="A118" s="1518"/>
      <c r="B118" s="1521"/>
      <c r="C118" s="112" t="s">
        <v>2161</v>
      </c>
      <c r="D118" s="168">
        <v>0</v>
      </c>
      <c r="E118" s="1515"/>
      <c r="F118" s="716"/>
      <c r="G118" s="1562"/>
    </row>
    <row r="119" spans="1:7" ht="16.2" customHeight="1" x14ac:dyDescent="0.25">
      <c r="A119" s="1518"/>
      <c r="B119" s="1521"/>
      <c r="C119" s="84" t="s">
        <v>1788</v>
      </c>
      <c r="D119" s="111">
        <v>0</v>
      </c>
      <c r="E119" s="1515"/>
      <c r="F119" s="716"/>
      <c r="G119" s="1562"/>
    </row>
    <row r="120" spans="1:7" ht="16.2" customHeight="1" x14ac:dyDescent="0.25">
      <c r="A120" s="1518"/>
      <c r="B120" s="1521"/>
      <c r="C120" s="84" t="s">
        <v>2162</v>
      </c>
      <c r="D120" s="111">
        <v>0</v>
      </c>
      <c r="E120" s="1515"/>
      <c r="F120" s="716"/>
      <c r="G120" s="1562"/>
    </row>
    <row r="121" spans="1:7" ht="27" customHeight="1" thickBot="1" x14ac:dyDescent="0.3">
      <c r="A121" s="1519"/>
      <c r="B121" s="1523"/>
      <c r="C121" s="115" t="s">
        <v>1989</v>
      </c>
      <c r="D121" s="116">
        <v>0</v>
      </c>
      <c r="E121" s="1516"/>
      <c r="F121" s="723"/>
      <c r="G121" s="1563"/>
    </row>
    <row r="122" spans="1:7" ht="29.4" customHeight="1" thickBot="1" x14ac:dyDescent="0.3">
      <c r="A122" s="1517" t="s">
        <v>798</v>
      </c>
      <c r="B122" s="1522" t="s">
        <v>652</v>
      </c>
      <c r="C122" s="4" t="s">
        <v>2446</v>
      </c>
      <c r="D122" s="744"/>
      <c r="E122" s="1514" t="s">
        <v>2682</v>
      </c>
      <c r="F122" s="715"/>
      <c r="G122" s="1561"/>
    </row>
    <row r="123" spans="1:7" ht="27" customHeight="1" x14ac:dyDescent="0.25">
      <c r="A123" s="1518"/>
      <c r="B123" s="1521"/>
      <c r="C123" s="112" t="s">
        <v>2163</v>
      </c>
      <c r="D123" s="119">
        <v>0</v>
      </c>
      <c r="E123" s="1515"/>
      <c r="F123" s="716"/>
      <c r="G123" s="1562"/>
    </row>
    <row r="124" spans="1:7" ht="16.2" customHeight="1" x14ac:dyDescent="0.25">
      <c r="A124" s="1518"/>
      <c r="B124" s="1521"/>
      <c r="C124" s="84" t="s">
        <v>1788</v>
      </c>
      <c r="D124" s="111">
        <v>0</v>
      </c>
      <c r="E124" s="1515"/>
      <c r="F124" s="716"/>
      <c r="G124" s="1562"/>
    </row>
    <row r="125" spans="1:7" ht="16.2" customHeight="1" x14ac:dyDescent="0.25">
      <c r="A125" s="1518"/>
      <c r="B125" s="1521"/>
      <c r="C125" s="84" t="s">
        <v>2164</v>
      </c>
      <c r="D125" s="111">
        <v>0</v>
      </c>
      <c r="E125" s="1515"/>
      <c r="F125" s="716"/>
      <c r="G125" s="1562"/>
    </row>
    <row r="126" spans="1:7" ht="27" customHeight="1" thickBot="1" x14ac:dyDescent="0.3">
      <c r="A126" s="1519"/>
      <c r="B126" s="1523"/>
      <c r="C126" s="115" t="s">
        <v>1787</v>
      </c>
      <c r="D126" s="116">
        <v>0</v>
      </c>
      <c r="E126" s="1516"/>
      <c r="F126" s="723"/>
      <c r="G126" s="1563"/>
    </row>
    <row r="127" spans="1:7" ht="20.399999999999999" customHeight="1" thickBot="1" x14ac:dyDescent="0.3">
      <c r="A127" s="1517" t="s">
        <v>799</v>
      </c>
      <c r="B127" s="1522" t="s">
        <v>456</v>
      </c>
      <c r="C127" s="4" t="s">
        <v>2447</v>
      </c>
      <c r="D127" s="744"/>
      <c r="E127" s="1514" t="s">
        <v>2683</v>
      </c>
      <c r="F127" s="715"/>
      <c r="G127" s="1561"/>
    </row>
    <row r="128" spans="1:7" ht="27" customHeight="1" x14ac:dyDescent="0.25">
      <c r="A128" s="1518"/>
      <c r="B128" s="1521"/>
      <c r="C128" s="112" t="s">
        <v>2165</v>
      </c>
      <c r="D128" s="119">
        <v>0</v>
      </c>
      <c r="E128" s="1515"/>
      <c r="F128" s="716"/>
      <c r="G128" s="1562"/>
    </row>
    <row r="129" spans="1:7" ht="16.2" customHeight="1" x14ac:dyDescent="0.25">
      <c r="A129" s="1518"/>
      <c r="B129" s="1521"/>
      <c r="C129" s="84" t="s">
        <v>2166</v>
      </c>
      <c r="D129" s="111">
        <v>0</v>
      </c>
      <c r="E129" s="1515"/>
      <c r="F129" s="716"/>
      <c r="G129" s="1562"/>
    </row>
    <row r="130" spans="1:7" ht="27" customHeight="1" thickBot="1" x14ac:dyDescent="0.3">
      <c r="A130" s="1519"/>
      <c r="B130" s="1523"/>
      <c r="C130" s="115" t="s">
        <v>1787</v>
      </c>
      <c r="D130" s="116">
        <v>0</v>
      </c>
      <c r="E130" s="1516"/>
      <c r="F130" s="723"/>
      <c r="G130" s="1563"/>
    </row>
    <row r="131" spans="1:7" ht="27" customHeight="1" thickBot="1" x14ac:dyDescent="0.3">
      <c r="A131" s="1517" t="s">
        <v>800</v>
      </c>
      <c r="B131" s="1522" t="s">
        <v>570</v>
      </c>
      <c r="C131" s="4" t="s">
        <v>2448</v>
      </c>
      <c r="D131" s="744"/>
      <c r="E131" s="1514" t="s">
        <v>2684</v>
      </c>
      <c r="F131" s="715"/>
      <c r="G131" s="1561"/>
    </row>
    <row r="132" spans="1:7" ht="27" customHeight="1" x14ac:dyDescent="0.25">
      <c r="A132" s="1518"/>
      <c r="B132" s="1521"/>
      <c r="C132" s="112" t="s">
        <v>2167</v>
      </c>
      <c r="D132" s="119">
        <v>0</v>
      </c>
      <c r="E132" s="1515"/>
      <c r="F132" s="716"/>
      <c r="G132" s="1562"/>
    </row>
    <row r="133" spans="1:7" ht="16.2" customHeight="1" x14ac:dyDescent="0.25">
      <c r="A133" s="1518"/>
      <c r="B133" s="1521"/>
      <c r="C133" s="84" t="s">
        <v>1788</v>
      </c>
      <c r="D133" s="111">
        <v>0</v>
      </c>
      <c r="E133" s="1515"/>
      <c r="F133" s="716"/>
      <c r="G133" s="1562"/>
    </row>
    <row r="134" spans="1:7" ht="16.2" customHeight="1" x14ac:dyDescent="0.25">
      <c r="A134" s="1518"/>
      <c r="B134" s="1521"/>
      <c r="C134" s="84" t="s">
        <v>2168</v>
      </c>
      <c r="D134" s="111">
        <v>0</v>
      </c>
      <c r="E134" s="1515"/>
      <c r="F134" s="716"/>
      <c r="G134" s="1562"/>
    </row>
    <row r="135" spans="1:7" ht="27" customHeight="1" thickBot="1" x14ac:dyDescent="0.3">
      <c r="A135" s="1519"/>
      <c r="B135" s="1523"/>
      <c r="C135" s="115" t="s">
        <v>1787</v>
      </c>
      <c r="D135" s="116">
        <v>0</v>
      </c>
      <c r="E135" s="1516"/>
      <c r="F135" s="717"/>
      <c r="G135" s="1563"/>
    </row>
    <row r="136" spans="1:7" ht="41.25" customHeight="1" thickBot="1" x14ac:dyDescent="0.3">
      <c r="A136" s="114" t="s">
        <v>801</v>
      </c>
      <c r="B136" s="114" t="s">
        <v>634</v>
      </c>
      <c r="C136" s="127" t="s">
        <v>2652</v>
      </c>
      <c r="D136" s="123">
        <v>0</v>
      </c>
      <c r="E136" s="4" t="s">
        <v>2768</v>
      </c>
      <c r="F136" s="712" t="s">
        <v>1403</v>
      </c>
      <c r="G136" s="689"/>
    </row>
    <row r="137" spans="1:7" ht="21" customHeight="1" thickBot="1" x14ac:dyDescent="0.3">
      <c r="A137" s="1522" t="s">
        <v>802</v>
      </c>
      <c r="B137" s="1522" t="s">
        <v>458</v>
      </c>
      <c r="C137" s="4" t="s">
        <v>2438</v>
      </c>
      <c r="D137" s="743"/>
      <c r="E137" s="1550" t="s">
        <v>2770</v>
      </c>
      <c r="F137" s="715"/>
      <c r="G137" s="1568"/>
    </row>
    <row r="138" spans="1:7" ht="27" customHeight="1" x14ac:dyDescent="0.25">
      <c r="A138" s="1521"/>
      <c r="B138" s="1521"/>
      <c r="C138" s="128" t="s">
        <v>2617</v>
      </c>
      <c r="D138" s="168">
        <v>0</v>
      </c>
      <c r="E138" s="1551"/>
      <c r="F138" s="716"/>
      <c r="G138" s="1569"/>
    </row>
    <row r="139" spans="1:7" ht="38.25" customHeight="1" x14ac:dyDescent="0.25">
      <c r="A139" s="1521"/>
      <c r="B139" s="1521"/>
      <c r="C139" s="84" t="s">
        <v>2618</v>
      </c>
      <c r="D139" s="111">
        <v>0</v>
      </c>
      <c r="E139" s="1552"/>
      <c r="F139" s="716"/>
      <c r="G139" s="1569"/>
    </row>
    <row r="140" spans="1:7" ht="28.5" customHeight="1" x14ac:dyDescent="0.25">
      <c r="A140" s="1521"/>
      <c r="B140" s="1521"/>
      <c r="C140" s="84" t="s">
        <v>2756</v>
      </c>
      <c r="D140" s="111">
        <v>0</v>
      </c>
      <c r="E140" s="1552"/>
      <c r="F140" s="716"/>
      <c r="G140" s="1569"/>
    </row>
    <row r="141" spans="1:7" ht="18" customHeight="1" thickBot="1" x14ac:dyDescent="0.3">
      <c r="A141" s="1523"/>
      <c r="B141" s="1523"/>
      <c r="C141" s="115" t="s">
        <v>2437</v>
      </c>
      <c r="D141" s="116">
        <v>0</v>
      </c>
      <c r="E141" s="1553"/>
      <c r="F141" s="723"/>
      <c r="G141" s="1570"/>
    </row>
    <row r="142" spans="1:7" ht="21" customHeight="1" thickBot="1" x14ac:dyDescent="0.3">
      <c r="A142" s="1522" t="s">
        <v>803</v>
      </c>
      <c r="B142" s="1547" t="s">
        <v>459</v>
      </c>
      <c r="C142" s="4" t="s">
        <v>275</v>
      </c>
      <c r="D142" s="743"/>
      <c r="E142" s="1514" t="s">
        <v>2769</v>
      </c>
      <c r="F142" s="715"/>
      <c r="G142" s="1561"/>
    </row>
    <row r="143" spans="1:7" ht="16.2" customHeight="1" x14ac:dyDescent="0.25">
      <c r="A143" s="1521"/>
      <c r="B143" s="1548"/>
      <c r="C143" s="112" t="s">
        <v>1889</v>
      </c>
      <c r="D143" s="168">
        <v>0</v>
      </c>
      <c r="E143" s="1515"/>
      <c r="F143" s="716"/>
      <c r="G143" s="1562"/>
    </row>
    <row r="144" spans="1:7" ht="16.5" customHeight="1" thickBot="1" x14ac:dyDescent="0.3">
      <c r="A144" s="1523"/>
      <c r="B144" s="1549"/>
      <c r="C144" s="115" t="s">
        <v>1890</v>
      </c>
      <c r="D144" s="116">
        <v>0</v>
      </c>
      <c r="E144" s="1516"/>
      <c r="F144" s="723"/>
      <c r="G144" s="1563"/>
    </row>
    <row r="145" spans="1:7" ht="24" customHeight="1" thickBot="1" x14ac:dyDescent="0.3">
      <c r="A145" s="1522" t="s">
        <v>804</v>
      </c>
      <c r="B145" s="1522" t="s">
        <v>1164</v>
      </c>
      <c r="C145" s="4" t="s">
        <v>2274</v>
      </c>
      <c r="D145" s="743"/>
      <c r="E145" s="1514" t="s">
        <v>2453</v>
      </c>
      <c r="F145" s="715"/>
      <c r="G145" s="1561"/>
    </row>
    <row r="146" spans="1:7" ht="16.2" customHeight="1" x14ac:dyDescent="0.25">
      <c r="A146" s="1521"/>
      <c r="B146" s="1521"/>
      <c r="C146" s="112" t="s">
        <v>1891</v>
      </c>
      <c r="D146" s="168">
        <v>0</v>
      </c>
      <c r="E146" s="1515"/>
      <c r="F146" s="716"/>
      <c r="G146" s="1562"/>
    </row>
    <row r="147" spans="1:7" ht="16.2" customHeight="1" x14ac:dyDescent="0.25">
      <c r="A147" s="1521"/>
      <c r="B147" s="1521"/>
      <c r="C147" s="112" t="s">
        <v>1892</v>
      </c>
      <c r="D147" s="111">
        <v>0</v>
      </c>
      <c r="E147" s="1515"/>
      <c r="F147" s="716"/>
      <c r="G147" s="1562"/>
    </row>
    <row r="148" spans="1:7" ht="16.2" customHeight="1" x14ac:dyDescent="0.25">
      <c r="A148" s="1521"/>
      <c r="B148" s="1521"/>
      <c r="C148" s="112" t="s">
        <v>1893</v>
      </c>
      <c r="D148" s="111">
        <v>0</v>
      </c>
      <c r="E148" s="1515"/>
      <c r="F148" s="716"/>
      <c r="G148" s="1562"/>
    </row>
    <row r="149" spans="1:7" ht="16.2" customHeight="1" x14ac:dyDescent="0.25">
      <c r="A149" s="1521"/>
      <c r="B149" s="1521"/>
      <c r="C149" s="112" t="s">
        <v>1894</v>
      </c>
      <c r="D149" s="111">
        <v>0</v>
      </c>
      <c r="E149" s="1515"/>
      <c r="F149" s="716"/>
      <c r="G149" s="1562"/>
    </row>
    <row r="150" spans="1:7" ht="16.2" customHeight="1" x14ac:dyDescent="0.25">
      <c r="A150" s="1521"/>
      <c r="B150" s="1521"/>
      <c r="C150" s="112" t="s">
        <v>1895</v>
      </c>
      <c r="D150" s="111">
        <v>0</v>
      </c>
      <c r="E150" s="1515"/>
      <c r="F150" s="716"/>
      <c r="G150" s="1562"/>
    </row>
    <row r="151" spans="1:7" ht="16.2" customHeight="1" thickBot="1" x14ac:dyDescent="0.3">
      <c r="A151" s="1523"/>
      <c r="B151" s="1523"/>
      <c r="C151" s="117" t="s">
        <v>1896</v>
      </c>
      <c r="D151" s="116">
        <v>0</v>
      </c>
      <c r="E151" s="1516"/>
      <c r="F151" s="723"/>
      <c r="G151" s="1563"/>
    </row>
    <row r="152" spans="1:7" ht="54.75" customHeight="1" thickBot="1" x14ac:dyDescent="0.3">
      <c r="A152" s="1533" t="s">
        <v>805</v>
      </c>
      <c r="B152" s="1522" t="s">
        <v>460</v>
      </c>
      <c r="C152" s="4" t="s">
        <v>2454</v>
      </c>
      <c r="D152" s="747"/>
      <c r="E152" s="1514" t="s">
        <v>2757</v>
      </c>
      <c r="F152" s="331"/>
      <c r="G152" s="1561"/>
    </row>
    <row r="153" spans="1:7" ht="16.2" customHeight="1" x14ac:dyDescent="0.25">
      <c r="A153" s="1534"/>
      <c r="B153" s="1521"/>
      <c r="C153" s="112" t="s">
        <v>1897</v>
      </c>
      <c r="D153" s="168">
        <v>0</v>
      </c>
      <c r="E153" s="1515"/>
      <c r="F153" s="332"/>
      <c r="G153" s="1562"/>
    </row>
    <row r="154" spans="1:7" ht="16.2" customHeight="1" x14ac:dyDescent="0.25">
      <c r="A154" s="1534"/>
      <c r="B154" s="1521"/>
      <c r="C154" s="84" t="s">
        <v>1991</v>
      </c>
      <c r="D154" s="111">
        <v>0</v>
      </c>
      <c r="E154" s="1515"/>
      <c r="F154" s="332"/>
      <c r="G154" s="1562"/>
    </row>
    <row r="155" spans="1:7" ht="16.2" customHeight="1" x14ac:dyDescent="0.25">
      <c r="A155" s="1534"/>
      <c r="B155" s="1521"/>
      <c r="C155" s="84" t="s">
        <v>1992</v>
      </c>
      <c r="D155" s="111">
        <v>0</v>
      </c>
      <c r="E155" s="1515"/>
      <c r="F155" s="332"/>
      <c r="G155" s="1562"/>
    </row>
    <row r="156" spans="1:7" ht="16.2" customHeight="1" x14ac:dyDescent="0.25">
      <c r="A156" s="1534"/>
      <c r="B156" s="1521"/>
      <c r="C156" s="84" t="s">
        <v>1898</v>
      </c>
      <c r="D156" s="111">
        <v>0</v>
      </c>
      <c r="E156" s="1515"/>
      <c r="F156" s="332"/>
      <c r="G156" s="1562"/>
    </row>
    <row r="157" spans="1:7" ht="16.2" customHeight="1" x14ac:dyDescent="0.25">
      <c r="A157" s="1534"/>
      <c r="B157" s="1521"/>
      <c r="C157" s="84" t="s">
        <v>1993</v>
      </c>
      <c r="D157" s="111">
        <v>0</v>
      </c>
      <c r="E157" s="1515"/>
      <c r="F157" s="332"/>
      <c r="G157" s="1562"/>
    </row>
    <row r="158" spans="1:7" ht="16.2" customHeight="1" thickBot="1" x14ac:dyDescent="0.3">
      <c r="A158" s="1535"/>
      <c r="B158" s="1523"/>
      <c r="C158" s="115" t="s">
        <v>2619</v>
      </c>
      <c r="D158" s="116">
        <v>0</v>
      </c>
      <c r="E158" s="1516"/>
      <c r="F158" s="723" t="s">
        <v>1404</v>
      </c>
      <c r="G158" s="1563"/>
    </row>
    <row r="159" spans="1:7" ht="21" customHeight="1" thickBot="1" x14ac:dyDescent="0.3">
      <c r="A159" s="1533" t="s">
        <v>806</v>
      </c>
      <c r="B159" s="1522" t="s">
        <v>612</v>
      </c>
      <c r="C159" s="4" t="s">
        <v>2275</v>
      </c>
      <c r="D159" s="747"/>
      <c r="E159" s="1524" t="s">
        <v>2653</v>
      </c>
      <c r="F159" s="715"/>
      <c r="G159" s="1564"/>
    </row>
    <row r="160" spans="1:7" ht="16.2" customHeight="1" x14ac:dyDescent="0.25">
      <c r="A160" s="1534"/>
      <c r="B160" s="1521"/>
      <c r="C160" s="112" t="s">
        <v>1899</v>
      </c>
      <c r="D160" s="168">
        <v>0</v>
      </c>
      <c r="E160" s="1511"/>
      <c r="F160" s="716"/>
      <c r="G160" s="1558"/>
    </row>
    <row r="161" spans="1:7" ht="16.2" customHeight="1" x14ac:dyDescent="0.25">
      <c r="A161" s="1534"/>
      <c r="B161" s="1521"/>
      <c r="C161" s="84" t="s">
        <v>1900</v>
      </c>
      <c r="D161" s="119">
        <v>0</v>
      </c>
      <c r="E161" s="1511"/>
      <c r="F161" s="716"/>
      <c r="G161" s="1558"/>
    </row>
    <row r="162" spans="1:7" ht="16.2" customHeight="1" thickBot="1" x14ac:dyDescent="0.3">
      <c r="A162" s="1535"/>
      <c r="B162" s="1523"/>
      <c r="C162" s="118" t="s">
        <v>1901</v>
      </c>
      <c r="D162" s="116">
        <v>0</v>
      </c>
      <c r="E162" s="1525"/>
      <c r="F162" s="723"/>
      <c r="G162" s="1565"/>
    </row>
    <row r="163" spans="1:7" ht="54.75" customHeight="1" thickBot="1" x14ac:dyDescent="0.3">
      <c r="A163" s="1533" t="s">
        <v>807</v>
      </c>
      <c r="B163" s="1522" t="s">
        <v>461</v>
      </c>
      <c r="C163" s="4" t="s">
        <v>2455</v>
      </c>
      <c r="D163" s="747"/>
      <c r="E163" s="1524" t="s">
        <v>2463</v>
      </c>
      <c r="F163" s="331"/>
      <c r="G163" s="1564"/>
    </row>
    <row r="164" spans="1:7" ht="16.2" customHeight="1" x14ac:dyDescent="0.25">
      <c r="A164" s="1534"/>
      <c r="B164" s="1521"/>
      <c r="C164" s="112" t="s">
        <v>1897</v>
      </c>
      <c r="D164" s="168">
        <v>0</v>
      </c>
      <c r="E164" s="1511"/>
      <c r="F164" s="332"/>
      <c r="G164" s="1558"/>
    </row>
    <row r="165" spans="1:7" ht="16.2" customHeight="1" x14ac:dyDescent="0.25">
      <c r="A165" s="1534"/>
      <c r="B165" s="1521"/>
      <c r="C165" s="84" t="s">
        <v>1991</v>
      </c>
      <c r="D165" s="111">
        <v>0</v>
      </c>
      <c r="E165" s="1511"/>
      <c r="F165" s="332"/>
      <c r="G165" s="1558"/>
    </row>
    <row r="166" spans="1:7" ht="16.2" customHeight="1" x14ac:dyDescent="0.25">
      <c r="A166" s="1534"/>
      <c r="B166" s="1521"/>
      <c r="C166" s="84" t="s">
        <v>1992</v>
      </c>
      <c r="D166" s="111">
        <v>0</v>
      </c>
      <c r="E166" s="1511"/>
      <c r="F166" s="332"/>
      <c r="G166" s="1558"/>
    </row>
    <row r="167" spans="1:7" ht="16.2" customHeight="1" x14ac:dyDescent="0.25">
      <c r="A167" s="1534"/>
      <c r="B167" s="1521"/>
      <c r="C167" s="84" t="s">
        <v>1898</v>
      </c>
      <c r="D167" s="111">
        <v>0</v>
      </c>
      <c r="E167" s="1511"/>
      <c r="F167" s="332"/>
      <c r="G167" s="1558"/>
    </row>
    <row r="168" spans="1:7" ht="16.2" customHeight="1" x14ac:dyDescent="0.25">
      <c r="A168" s="1534"/>
      <c r="B168" s="1521"/>
      <c r="C168" s="84" t="s">
        <v>1993</v>
      </c>
      <c r="D168" s="111">
        <v>0</v>
      </c>
      <c r="E168" s="1511"/>
      <c r="F168" s="332"/>
      <c r="G168" s="1558"/>
    </row>
    <row r="169" spans="1:7" ht="16.2" customHeight="1" thickBot="1" x14ac:dyDescent="0.3">
      <c r="A169" s="1535"/>
      <c r="B169" s="1523"/>
      <c r="C169" s="115" t="s">
        <v>2620</v>
      </c>
      <c r="D169" s="116">
        <v>0</v>
      </c>
      <c r="E169" s="1525"/>
      <c r="F169" s="723" t="s">
        <v>1405</v>
      </c>
      <c r="G169" s="1565"/>
    </row>
    <row r="170" spans="1:7" ht="21" customHeight="1" thickBot="1" x14ac:dyDescent="0.3">
      <c r="A170" s="1533" t="s">
        <v>808</v>
      </c>
      <c r="B170" s="1522" t="s">
        <v>2155</v>
      </c>
      <c r="C170" s="4" t="s">
        <v>2276</v>
      </c>
      <c r="D170" s="747"/>
      <c r="E170" s="1514" t="s">
        <v>2685</v>
      </c>
      <c r="F170" s="715"/>
      <c r="G170" s="1561"/>
    </row>
    <row r="171" spans="1:7" ht="16.2" customHeight="1" x14ac:dyDescent="0.25">
      <c r="A171" s="1534"/>
      <c r="B171" s="1521"/>
      <c r="C171" s="112" t="s">
        <v>1789</v>
      </c>
      <c r="D171" s="168">
        <v>0</v>
      </c>
      <c r="E171" s="1515"/>
      <c r="F171" s="716"/>
      <c r="G171" s="1562"/>
    </row>
    <row r="172" spans="1:7" ht="25.5" customHeight="1" x14ac:dyDescent="0.25">
      <c r="A172" s="1534"/>
      <c r="B172" s="1521"/>
      <c r="C172" s="84" t="s">
        <v>1790</v>
      </c>
      <c r="D172" s="111">
        <v>0</v>
      </c>
      <c r="E172" s="1515"/>
      <c r="F172" s="716"/>
      <c r="G172" s="1562"/>
    </row>
    <row r="173" spans="1:7" ht="16.2" customHeight="1" x14ac:dyDescent="0.25">
      <c r="A173" s="1534"/>
      <c r="B173" s="1521"/>
      <c r="C173" s="84" t="s">
        <v>1791</v>
      </c>
      <c r="D173" s="111">
        <v>0</v>
      </c>
      <c r="E173" s="1515"/>
      <c r="F173" s="716"/>
      <c r="G173" s="1562"/>
    </row>
    <row r="174" spans="1:7" ht="28.5" customHeight="1" thickBot="1" x14ac:dyDescent="0.3">
      <c r="A174" s="1535"/>
      <c r="B174" s="1523"/>
      <c r="C174" s="115" t="s">
        <v>1792</v>
      </c>
      <c r="D174" s="116">
        <v>0</v>
      </c>
      <c r="E174" s="1516"/>
      <c r="F174" s="723"/>
      <c r="G174" s="1563"/>
    </row>
    <row r="175" spans="1:7" ht="29.25" customHeight="1" thickBot="1" x14ac:dyDescent="0.3">
      <c r="A175" s="1522" t="s">
        <v>809</v>
      </c>
      <c r="B175" s="1522" t="s">
        <v>462</v>
      </c>
      <c r="C175" s="4" t="s">
        <v>2277</v>
      </c>
      <c r="D175" s="747"/>
      <c r="E175" s="1514" t="s">
        <v>2462</v>
      </c>
      <c r="F175" s="715"/>
      <c r="G175" s="1561"/>
    </row>
    <row r="176" spans="1:7" ht="16.2" customHeight="1" x14ac:dyDescent="0.25">
      <c r="A176" s="1521"/>
      <c r="B176" s="1521"/>
      <c r="C176" s="112" t="s">
        <v>1902</v>
      </c>
      <c r="D176" s="168">
        <v>0</v>
      </c>
      <c r="E176" s="1515"/>
      <c r="F176" s="716"/>
      <c r="G176" s="1562"/>
    </row>
    <row r="177" spans="1:7" ht="16.2" customHeight="1" x14ac:dyDescent="0.25">
      <c r="A177" s="1521"/>
      <c r="B177" s="1521"/>
      <c r="C177" s="84" t="s">
        <v>1903</v>
      </c>
      <c r="D177" s="111">
        <v>0</v>
      </c>
      <c r="E177" s="1515"/>
      <c r="F177" s="716"/>
      <c r="G177" s="1562"/>
    </row>
    <row r="178" spans="1:7" ht="16.2" customHeight="1" thickBot="1" x14ac:dyDescent="0.3">
      <c r="A178" s="1523"/>
      <c r="B178" s="1523"/>
      <c r="C178" s="115" t="s">
        <v>1904</v>
      </c>
      <c r="D178" s="116">
        <v>0</v>
      </c>
      <c r="E178" s="1516"/>
      <c r="F178" s="723"/>
      <c r="G178" s="1563"/>
    </row>
    <row r="179" spans="1:7" ht="21" customHeight="1" thickBot="1" x14ac:dyDescent="0.3">
      <c r="A179" s="1522" t="s">
        <v>810</v>
      </c>
      <c r="B179" s="1522" t="s">
        <v>463</v>
      </c>
      <c r="C179" s="4" t="s">
        <v>2655</v>
      </c>
      <c r="D179" s="747"/>
      <c r="E179" s="1514" t="s">
        <v>2461</v>
      </c>
      <c r="F179" s="715"/>
      <c r="G179" s="1561"/>
    </row>
    <row r="180" spans="1:7" ht="19.5" customHeight="1" x14ac:dyDescent="0.25">
      <c r="A180" s="1521"/>
      <c r="B180" s="1521"/>
      <c r="C180" s="112" t="s">
        <v>2279</v>
      </c>
      <c r="D180" s="168">
        <v>0</v>
      </c>
      <c r="E180" s="1515"/>
      <c r="F180" s="716"/>
      <c r="G180" s="1562"/>
    </row>
    <row r="181" spans="1:7" ht="23.25" customHeight="1" x14ac:dyDescent="0.25">
      <c r="A181" s="1521"/>
      <c r="B181" s="1521"/>
      <c r="C181" s="84" t="s">
        <v>2278</v>
      </c>
      <c r="D181" s="111">
        <v>0</v>
      </c>
      <c r="E181" s="1515"/>
      <c r="F181" s="716"/>
      <c r="G181" s="1562"/>
    </row>
    <row r="182" spans="1:7" ht="16.2" customHeight="1" thickBot="1" x14ac:dyDescent="0.3">
      <c r="A182" s="1523"/>
      <c r="B182" s="1523"/>
      <c r="C182" s="115" t="s">
        <v>1904</v>
      </c>
      <c r="D182" s="116">
        <v>0</v>
      </c>
      <c r="E182" s="1516"/>
      <c r="F182" s="723"/>
      <c r="G182" s="1563"/>
    </row>
    <row r="183" spans="1:7" ht="29.25" customHeight="1" thickBot="1" x14ac:dyDescent="0.3">
      <c r="A183" s="1522" t="s">
        <v>811</v>
      </c>
      <c r="B183" s="1522" t="s">
        <v>464</v>
      </c>
      <c r="C183" s="4" t="s">
        <v>2741</v>
      </c>
      <c r="D183" s="743"/>
      <c r="E183" s="1514" t="s">
        <v>2280</v>
      </c>
      <c r="F183" s="331"/>
      <c r="G183" s="1561"/>
    </row>
    <row r="184" spans="1:7" ht="30" customHeight="1" x14ac:dyDescent="0.25">
      <c r="A184" s="1521"/>
      <c r="B184" s="1521"/>
      <c r="C184" s="112" t="s">
        <v>1905</v>
      </c>
      <c r="D184" s="168">
        <v>0</v>
      </c>
      <c r="E184" s="1515"/>
      <c r="F184" s="332"/>
      <c r="G184" s="1562"/>
    </row>
    <row r="185" spans="1:7" ht="30" customHeight="1" x14ac:dyDescent="0.25">
      <c r="A185" s="1521"/>
      <c r="B185" s="1521"/>
      <c r="C185" s="84" t="s">
        <v>1906</v>
      </c>
      <c r="D185" s="111">
        <v>0</v>
      </c>
      <c r="E185" s="1515"/>
      <c r="F185" s="332"/>
      <c r="G185" s="1562"/>
    </row>
    <row r="186" spans="1:7" ht="30.75" customHeight="1" thickBot="1" x14ac:dyDescent="0.3">
      <c r="A186" s="1523"/>
      <c r="B186" s="1523"/>
      <c r="C186" s="115" t="s">
        <v>1907</v>
      </c>
      <c r="D186" s="116">
        <v>0</v>
      </c>
      <c r="E186" s="1516"/>
      <c r="F186" s="723" t="s">
        <v>1406</v>
      </c>
      <c r="G186" s="1563"/>
    </row>
    <row r="187" spans="1:7" ht="30" customHeight="1" thickBot="1" x14ac:dyDescent="0.3">
      <c r="A187" s="1536" t="s">
        <v>812</v>
      </c>
      <c r="B187" s="1522" t="s">
        <v>465</v>
      </c>
      <c r="C187" s="4" t="s">
        <v>2281</v>
      </c>
      <c r="D187" s="682" t="s">
        <v>1572</v>
      </c>
      <c r="E187" s="1514" t="s">
        <v>2460</v>
      </c>
      <c r="F187" s="331"/>
      <c r="G187" s="1561"/>
    </row>
    <row r="188" spans="1:7" ht="16.2" customHeight="1" x14ac:dyDescent="0.25">
      <c r="A188" s="1537"/>
      <c r="B188" s="1521"/>
      <c r="C188" s="112" t="s">
        <v>1908</v>
      </c>
      <c r="D188" s="119">
        <v>0</v>
      </c>
      <c r="E188" s="1515"/>
      <c r="F188" s="332"/>
      <c r="G188" s="1562"/>
    </row>
    <row r="189" spans="1:7" ht="16.2" customHeight="1" x14ac:dyDescent="0.25">
      <c r="A189" s="1537"/>
      <c r="B189" s="1521"/>
      <c r="C189" s="84" t="s">
        <v>2186</v>
      </c>
      <c r="D189" s="111">
        <v>0</v>
      </c>
      <c r="E189" s="1515"/>
      <c r="F189" s="332"/>
      <c r="G189" s="1562"/>
    </row>
    <row r="190" spans="1:7" ht="16.2" customHeight="1" x14ac:dyDescent="0.25">
      <c r="A190" s="1537"/>
      <c r="B190" s="1521"/>
      <c r="C190" s="84" t="s">
        <v>1909</v>
      </c>
      <c r="D190" s="111">
        <v>0</v>
      </c>
      <c r="E190" s="1515"/>
      <c r="F190" s="332"/>
      <c r="G190" s="1562"/>
    </row>
    <row r="191" spans="1:7" ht="16.2" customHeight="1" thickBot="1" x14ac:dyDescent="0.3">
      <c r="A191" s="1538"/>
      <c r="B191" s="1523"/>
      <c r="C191" s="115" t="s">
        <v>2621</v>
      </c>
      <c r="D191" s="116">
        <v>0</v>
      </c>
      <c r="E191" s="1516"/>
      <c r="F191" s="723" t="s">
        <v>1407</v>
      </c>
      <c r="G191" s="1563"/>
    </row>
    <row r="192" spans="1:7" ht="30" customHeight="1" thickBot="1" x14ac:dyDescent="0.3">
      <c r="A192" s="1536" t="s">
        <v>813</v>
      </c>
      <c r="B192" s="1522" t="s">
        <v>466</v>
      </c>
      <c r="C192" s="4" t="s">
        <v>1547</v>
      </c>
      <c r="D192" s="682" t="s">
        <v>1572</v>
      </c>
      <c r="E192" s="1514" t="s">
        <v>2771</v>
      </c>
      <c r="F192" s="715"/>
      <c r="G192" s="1561"/>
    </row>
    <row r="193" spans="1:7" ht="16.2" customHeight="1" x14ac:dyDescent="0.25">
      <c r="A193" s="1537"/>
      <c r="B193" s="1521"/>
      <c r="C193" s="238" t="s">
        <v>1910</v>
      </c>
      <c r="D193" s="119">
        <v>0</v>
      </c>
      <c r="E193" s="1515"/>
      <c r="F193" s="716"/>
      <c r="G193" s="1562"/>
    </row>
    <row r="194" spans="1:7" ht="16.2" customHeight="1" x14ac:dyDescent="0.25">
      <c r="A194" s="1537"/>
      <c r="B194" s="1521"/>
      <c r="C194" s="84" t="s">
        <v>1911</v>
      </c>
      <c r="D194" s="111">
        <v>0</v>
      </c>
      <c r="E194" s="1515"/>
      <c r="F194" s="716"/>
      <c r="G194" s="1562"/>
    </row>
    <row r="195" spans="1:7" ht="16.2" customHeight="1" thickBot="1" x14ac:dyDescent="0.3">
      <c r="A195" s="1538"/>
      <c r="B195" s="1523"/>
      <c r="C195" s="118" t="s">
        <v>1912</v>
      </c>
      <c r="D195" s="116">
        <v>0</v>
      </c>
      <c r="E195" s="1516"/>
      <c r="F195" s="723"/>
      <c r="G195" s="1563"/>
    </row>
    <row r="196" spans="1:7" ht="52.5" customHeight="1" thickBot="1" x14ac:dyDescent="0.3">
      <c r="A196" s="1536" t="s">
        <v>814</v>
      </c>
      <c r="B196" s="1522" t="s">
        <v>468</v>
      </c>
      <c r="C196" s="4" t="s">
        <v>2758</v>
      </c>
      <c r="D196" s="683" t="s">
        <v>1572</v>
      </c>
      <c r="E196" s="1514" t="s">
        <v>2772</v>
      </c>
      <c r="F196" s="715"/>
      <c r="G196" s="1561"/>
    </row>
    <row r="197" spans="1:7" ht="16.2" customHeight="1" x14ac:dyDescent="0.25">
      <c r="A197" s="1537"/>
      <c r="B197" s="1521"/>
      <c r="C197" s="112" t="s">
        <v>1913</v>
      </c>
      <c r="D197" s="168">
        <v>0</v>
      </c>
      <c r="E197" s="1515"/>
      <c r="F197" s="716"/>
      <c r="G197" s="1562"/>
    </row>
    <row r="198" spans="1:7" ht="16.2" customHeight="1" x14ac:dyDescent="0.25">
      <c r="A198" s="1537"/>
      <c r="B198" s="1521"/>
      <c r="C198" s="84" t="s">
        <v>1914</v>
      </c>
      <c r="D198" s="111">
        <v>0</v>
      </c>
      <c r="E198" s="1515"/>
      <c r="F198" s="716"/>
      <c r="G198" s="1562"/>
    </row>
    <row r="199" spans="1:7" ht="16.2" customHeight="1" thickBot="1" x14ac:dyDescent="0.3">
      <c r="A199" s="1538"/>
      <c r="B199" s="1523"/>
      <c r="C199" s="115" t="s">
        <v>1915</v>
      </c>
      <c r="D199" s="116">
        <v>0</v>
      </c>
      <c r="E199" s="1516"/>
      <c r="F199" s="723"/>
      <c r="G199" s="1563"/>
    </row>
    <row r="200" spans="1:7" ht="26.25" customHeight="1" thickBot="1" x14ac:dyDescent="0.3">
      <c r="A200" s="1536" t="s">
        <v>815</v>
      </c>
      <c r="B200" s="1522" t="s">
        <v>467</v>
      </c>
      <c r="C200" s="4" t="s">
        <v>2282</v>
      </c>
      <c r="D200" s="744"/>
      <c r="E200" s="1514" t="s">
        <v>2459</v>
      </c>
      <c r="F200" s="715"/>
      <c r="G200" s="1561"/>
    </row>
    <row r="201" spans="1:7" ht="16.2" customHeight="1" x14ac:dyDescent="0.25">
      <c r="A201" s="1537"/>
      <c r="B201" s="1521"/>
      <c r="C201" s="112" t="s">
        <v>2133</v>
      </c>
      <c r="D201" s="119">
        <v>0</v>
      </c>
      <c r="E201" s="1515"/>
      <c r="F201" s="716"/>
      <c r="G201" s="1562"/>
    </row>
    <row r="202" spans="1:7" ht="16.2" customHeight="1" x14ac:dyDescent="0.25">
      <c r="A202" s="1537"/>
      <c r="B202" s="1521"/>
      <c r="C202" s="112" t="s">
        <v>2134</v>
      </c>
      <c r="D202" s="111">
        <v>0</v>
      </c>
      <c r="E202" s="1515"/>
      <c r="F202" s="716"/>
      <c r="G202" s="1562"/>
    </row>
    <row r="203" spans="1:7" ht="16.2" customHeight="1" x14ac:dyDescent="0.25">
      <c r="A203" s="1537"/>
      <c r="B203" s="1521"/>
      <c r="C203" s="84" t="s">
        <v>2135</v>
      </c>
      <c r="D203" s="111">
        <v>0</v>
      </c>
      <c r="E203" s="1515"/>
      <c r="F203" s="716"/>
      <c r="G203" s="1562"/>
    </row>
    <row r="204" spans="1:7" ht="16.2" customHeight="1" x14ac:dyDescent="0.25">
      <c r="A204" s="1537"/>
      <c r="B204" s="1521"/>
      <c r="C204" s="84" t="s">
        <v>2136</v>
      </c>
      <c r="D204" s="111">
        <v>0</v>
      </c>
      <c r="E204" s="1515"/>
      <c r="F204" s="716"/>
      <c r="G204" s="1562"/>
    </row>
    <row r="205" spans="1:7" ht="16.2" customHeight="1" thickBot="1" x14ac:dyDescent="0.3">
      <c r="A205" s="1538"/>
      <c r="B205" s="1523"/>
      <c r="C205" s="115" t="s">
        <v>2137</v>
      </c>
      <c r="D205" s="116">
        <v>0</v>
      </c>
      <c r="E205" s="1516"/>
      <c r="F205" s="723"/>
      <c r="G205" s="1563"/>
    </row>
    <row r="206" spans="1:7" ht="35.25" customHeight="1" thickBot="1" x14ac:dyDescent="0.3">
      <c r="A206" s="1542" t="s">
        <v>816</v>
      </c>
      <c r="B206" s="1522" t="s">
        <v>567</v>
      </c>
      <c r="C206" s="4" t="s">
        <v>2283</v>
      </c>
      <c r="D206" s="682" t="s">
        <v>1572</v>
      </c>
      <c r="E206" s="1524" t="s">
        <v>2654</v>
      </c>
      <c r="F206" s="331"/>
      <c r="G206" s="1564"/>
    </row>
    <row r="207" spans="1:7" ht="18.75" customHeight="1" x14ac:dyDescent="0.25">
      <c r="A207" s="1543"/>
      <c r="B207" s="1521"/>
      <c r="C207" s="112" t="s">
        <v>1916</v>
      </c>
      <c r="D207" s="119">
        <v>0</v>
      </c>
      <c r="E207" s="1511"/>
      <c r="F207" s="332"/>
      <c r="G207" s="1558"/>
    </row>
    <row r="208" spans="1:7" ht="16.2" customHeight="1" x14ac:dyDescent="0.25">
      <c r="A208" s="1543"/>
      <c r="B208" s="1521"/>
      <c r="C208" s="84" t="s">
        <v>2187</v>
      </c>
      <c r="D208" s="111">
        <v>0</v>
      </c>
      <c r="E208" s="1511"/>
      <c r="F208" s="332"/>
      <c r="G208" s="1558"/>
    </row>
    <row r="209" spans="1:7" ht="16.2" customHeight="1" x14ac:dyDescent="0.25">
      <c r="A209" s="1543"/>
      <c r="B209" s="1521"/>
      <c r="C209" s="84" t="s">
        <v>1917</v>
      </c>
      <c r="D209" s="111">
        <v>0</v>
      </c>
      <c r="E209" s="1511"/>
      <c r="F209" s="332"/>
      <c r="G209" s="1558"/>
    </row>
    <row r="210" spans="1:7" ht="16.2" customHeight="1" x14ac:dyDescent="0.25">
      <c r="A210" s="1543"/>
      <c r="B210" s="1521"/>
      <c r="C210" s="238" t="s">
        <v>2622</v>
      </c>
      <c r="D210" s="111">
        <v>0</v>
      </c>
      <c r="E210" s="1511"/>
      <c r="F210" s="716" t="s">
        <v>1408</v>
      </c>
      <c r="G210" s="1558"/>
    </row>
    <row r="211" spans="1:7" ht="16.2" customHeight="1" thickBot="1" x14ac:dyDescent="0.3">
      <c r="A211" s="1544"/>
      <c r="B211" s="1523"/>
      <c r="C211" s="115" t="s">
        <v>2623</v>
      </c>
      <c r="D211" s="116">
        <v>0</v>
      </c>
      <c r="E211" s="1525"/>
      <c r="F211" s="333" t="s">
        <v>1409</v>
      </c>
      <c r="G211" s="1565"/>
    </row>
    <row r="212" spans="1:7" ht="30" customHeight="1" thickBot="1" x14ac:dyDescent="0.3">
      <c r="A212" s="1542" t="s">
        <v>817</v>
      </c>
      <c r="B212" s="1522" t="s">
        <v>469</v>
      </c>
      <c r="C212" s="4" t="s">
        <v>1996</v>
      </c>
      <c r="D212" s="682" t="s">
        <v>1572</v>
      </c>
      <c r="E212" s="1524" t="s">
        <v>2773</v>
      </c>
      <c r="F212" s="331"/>
      <c r="G212" s="1571"/>
    </row>
    <row r="213" spans="1:7" ht="16.2" customHeight="1" x14ac:dyDescent="0.25">
      <c r="A213" s="1543"/>
      <c r="B213" s="1521"/>
      <c r="C213" s="238" t="s">
        <v>1910</v>
      </c>
      <c r="D213" s="119">
        <v>0</v>
      </c>
      <c r="E213" s="1545"/>
      <c r="F213" s="332"/>
      <c r="G213" s="1572"/>
    </row>
    <row r="214" spans="1:7" ht="16.2" customHeight="1" x14ac:dyDescent="0.25">
      <c r="A214" s="1543"/>
      <c r="B214" s="1521"/>
      <c r="C214" s="84" t="s">
        <v>1911</v>
      </c>
      <c r="D214" s="111">
        <v>0</v>
      </c>
      <c r="E214" s="1545"/>
      <c r="F214" s="332"/>
      <c r="G214" s="1572"/>
    </row>
    <row r="215" spans="1:7" ht="16.2" customHeight="1" thickBot="1" x14ac:dyDescent="0.3">
      <c r="A215" s="1544"/>
      <c r="B215" s="1523"/>
      <c r="C215" s="735" t="s">
        <v>1912</v>
      </c>
      <c r="D215" s="116">
        <v>0</v>
      </c>
      <c r="E215" s="1546"/>
      <c r="F215" s="334"/>
      <c r="G215" s="1573"/>
    </row>
    <row r="216" spans="1:7" ht="21" customHeight="1" thickBot="1" x14ac:dyDescent="0.3">
      <c r="A216" s="1522" t="s">
        <v>818</v>
      </c>
      <c r="B216" s="1524" t="s">
        <v>470</v>
      </c>
      <c r="C216" s="4" t="s">
        <v>276</v>
      </c>
      <c r="D216" s="684" t="s">
        <v>1572</v>
      </c>
      <c r="E216" s="1522" t="s">
        <v>2458</v>
      </c>
      <c r="F216" s="331"/>
      <c r="G216" s="1571"/>
    </row>
    <row r="217" spans="1:7" ht="27" customHeight="1" x14ac:dyDescent="0.25">
      <c r="A217" s="1521"/>
      <c r="B217" s="1511"/>
      <c r="C217" s="112" t="s">
        <v>1256</v>
      </c>
      <c r="D217" s="171">
        <v>0</v>
      </c>
      <c r="E217" s="1521"/>
      <c r="F217" s="332"/>
      <c r="G217" s="1572"/>
    </row>
    <row r="218" spans="1:7" ht="27" customHeight="1" x14ac:dyDescent="0.25">
      <c r="A218" s="1521"/>
      <c r="B218" s="1511"/>
      <c r="C218" s="84" t="s">
        <v>775</v>
      </c>
      <c r="D218" s="125">
        <v>0</v>
      </c>
      <c r="E218" s="1521"/>
      <c r="F218" s="332"/>
      <c r="G218" s="1572"/>
    </row>
    <row r="219" spans="1:7" ht="27" customHeight="1" thickBot="1" x14ac:dyDescent="0.3">
      <c r="A219" s="1523"/>
      <c r="B219" s="1525"/>
      <c r="C219" s="115" t="s">
        <v>1493</v>
      </c>
      <c r="D219" s="126">
        <v>0</v>
      </c>
      <c r="E219" s="1523"/>
      <c r="F219" s="334"/>
      <c r="G219" s="1573"/>
    </row>
    <row r="220" spans="1:7" ht="30" customHeight="1" thickBot="1" x14ac:dyDescent="0.3">
      <c r="A220" s="1539" t="s">
        <v>1250</v>
      </c>
      <c r="B220" s="1539" t="s">
        <v>471</v>
      </c>
      <c r="C220" s="4" t="s">
        <v>2284</v>
      </c>
      <c r="D220" s="748"/>
      <c r="E220" s="1522" t="s">
        <v>2457</v>
      </c>
      <c r="F220" s="331"/>
      <c r="G220" s="1571"/>
    </row>
    <row r="221" spans="1:7" ht="22.5" customHeight="1" x14ac:dyDescent="0.25">
      <c r="A221" s="1540"/>
      <c r="B221" s="1540"/>
      <c r="C221" s="736" t="s">
        <v>1990</v>
      </c>
      <c r="D221" s="124">
        <v>0</v>
      </c>
      <c r="E221" s="1521"/>
      <c r="F221" s="332"/>
      <c r="G221" s="1572"/>
    </row>
    <row r="222" spans="1:7" ht="16.2" customHeight="1" x14ac:dyDescent="0.25">
      <c r="A222" s="1540"/>
      <c r="B222" s="1540"/>
      <c r="C222" s="737" t="s">
        <v>1918</v>
      </c>
      <c r="D222" s="125">
        <v>0</v>
      </c>
      <c r="E222" s="1521"/>
      <c r="F222" s="332"/>
      <c r="G222" s="1572"/>
    </row>
    <row r="223" spans="1:7" ht="16.2" customHeight="1" x14ac:dyDescent="0.25">
      <c r="A223" s="1540"/>
      <c r="B223" s="1540"/>
      <c r="C223" s="737" t="s">
        <v>1919</v>
      </c>
      <c r="D223" s="125">
        <v>0</v>
      </c>
      <c r="E223" s="1521"/>
      <c r="F223" s="332"/>
      <c r="G223" s="1572"/>
    </row>
    <row r="224" spans="1:7" ht="16.2" customHeight="1" thickBot="1" x14ac:dyDescent="0.3">
      <c r="A224" s="1541"/>
      <c r="B224" s="1541"/>
      <c r="C224" s="738" t="s">
        <v>1920</v>
      </c>
      <c r="D224" s="126">
        <v>0</v>
      </c>
      <c r="E224" s="1523"/>
      <c r="F224" s="334"/>
      <c r="G224" s="1573"/>
    </row>
    <row r="225" spans="1:7" ht="30" customHeight="1" thickBot="1" x14ac:dyDescent="0.3">
      <c r="A225" s="1539" t="s">
        <v>819</v>
      </c>
      <c r="B225" s="1522" t="s">
        <v>472</v>
      </c>
      <c r="C225" s="114" t="s">
        <v>2285</v>
      </c>
      <c r="D225" s="744"/>
      <c r="E225" s="1524" t="s">
        <v>2456</v>
      </c>
      <c r="F225" s="715"/>
      <c r="G225" s="1564"/>
    </row>
    <row r="226" spans="1:7" ht="16.2" customHeight="1" x14ac:dyDescent="0.25">
      <c r="A226" s="1540"/>
      <c r="B226" s="1521"/>
      <c r="C226" s="739" t="s">
        <v>2126</v>
      </c>
      <c r="D226" s="119">
        <v>0</v>
      </c>
      <c r="E226" s="1512"/>
      <c r="F226" s="324"/>
      <c r="G226" s="1559"/>
    </row>
    <row r="227" spans="1:7" ht="16.2" customHeight="1" x14ac:dyDescent="0.25">
      <c r="A227" s="1540"/>
      <c r="B227" s="1521"/>
      <c r="C227" s="740" t="s">
        <v>2127</v>
      </c>
      <c r="D227" s="111">
        <v>0</v>
      </c>
      <c r="E227" s="1512"/>
      <c r="F227" s="324"/>
      <c r="G227" s="1559"/>
    </row>
    <row r="228" spans="1:7" ht="16.2" customHeight="1" x14ac:dyDescent="0.25">
      <c r="A228" s="1540"/>
      <c r="B228" s="1521"/>
      <c r="C228" s="740" t="s">
        <v>2128</v>
      </c>
      <c r="D228" s="111">
        <v>0</v>
      </c>
      <c r="E228" s="1512"/>
      <c r="F228" s="324"/>
      <c r="G228" s="1559"/>
    </row>
    <row r="229" spans="1:7" ht="16.2" customHeight="1" x14ac:dyDescent="0.25">
      <c r="A229" s="1540"/>
      <c r="B229" s="1521"/>
      <c r="C229" s="740" t="s">
        <v>2129</v>
      </c>
      <c r="D229" s="111">
        <v>0</v>
      </c>
      <c r="E229" s="1512"/>
      <c r="F229" s="324"/>
      <c r="G229" s="1559"/>
    </row>
    <row r="230" spans="1:7" ht="16.2" customHeight="1" x14ac:dyDescent="0.25">
      <c r="A230" s="1540"/>
      <c r="B230" s="1521"/>
      <c r="C230" s="740" t="s">
        <v>2130</v>
      </c>
      <c r="D230" s="111">
        <v>0</v>
      </c>
      <c r="E230" s="1512"/>
      <c r="F230" s="324"/>
      <c r="G230" s="1559"/>
    </row>
    <row r="231" spans="1:7" ht="16.2" customHeight="1" x14ac:dyDescent="0.25">
      <c r="A231" s="1540"/>
      <c r="B231" s="1521"/>
      <c r="C231" s="740" t="s">
        <v>2131</v>
      </c>
      <c r="D231" s="111">
        <v>0</v>
      </c>
      <c r="E231" s="1512"/>
      <c r="F231" s="324"/>
      <c r="G231" s="1559"/>
    </row>
    <row r="232" spans="1:7" ht="16.2" customHeight="1" thickBot="1" x14ac:dyDescent="0.3">
      <c r="A232" s="1541"/>
      <c r="B232" s="1523"/>
      <c r="C232" s="741" t="s">
        <v>2132</v>
      </c>
      <c r="D232" s="116">
        <v>0</v>
      </c>
      <c r="E232" s="1513"/>
      <c r="F232" s="325"/>
      <c r="G232" s="1560"/>
    </row>
    <row r="233" spans="1:7" ht="16.2" customHeight="1" x14ac:dyDescent="0.25">
      <c r="C233" s="35"/>
    </row>
    <row r="234" spans="1:7" ht="16.2" customHeight="1" x14ac:dyDescent="0.25">
      <c r="C234" s="35"/>
    </row>
    <row r="235" spans="1:7" ht="16.2" customHeight="1" x14ac:dyDescent="0.25">
      <c r="C235" s="35"/>
    </row>
    <row r="236" spans="1:7" ht="16.2" customHeight="1" x14ac:dyDescent="0.25">
      <c r="C236" s="35"/>
    </row>
    <row r="237" spans="1:7" ht="16.2" customHeight="1" x14ac:dyDescent="0.25">
      <c r="C237" s="35"/>
    </row>
    <row r="238" spans="1:7" ht="16.2" customHeight="1" x14ac:dyDescent="0.25">
      <c r="C238" s="35"/>
    </row>
    <row r="239" spans="1:7" ht="16.2" customHeight="1" x14ac:dyDescent="0.25">
      <c r="C239" s="35"/>
    </row>
  </sheetData>
  <sheetProtection password="C74A" sheet="1" objects="1" scenarios="1" formatCells="0" formatColumns="0" insertColumns="0"/>
  <sortState xmlns:xlrd2="http://schemas.microsoft.com/office/spreadsheetml/2017/richdata2" columnSort="1" ref="E1:GV294">
    <sortCondition ref="E3:GV3"/>
  </sortState>
  <mergeCells count="170">
    <mergeCell ref="G206:G211"/>
    <mergeCell ref="G212:G215"/>
    <mergeCell ref="G216:G219"/>
    <mergeCell ref="G220:G224"/>
    <mergeCell ref="G225:G232"/>
    <mergeCell ref="G163:G169"/>
    <mergeCell ref="G170:G174"/>
    <mergeCell ref="G175:G178"/>
    <mergeCell ref="G179:G182"/>
    <mergeCell ref="G183:G186"/>
    <mergeCell ref="G187:G191"/>
    <mergeCell ref="G192:G195"/>
    <mergeCell ref="G196:G199"/>
    <mergeCell ref="G200:G205"/>
    <mergeCell ref="G117:G121"/>
    <mergeCell ref="G122:G126"/>
    <mergeCell ref="G127:G130"/>
    <mergeCell ref="G131:G135"/>
    <mergeCell ref="G137:G141"/>
    <mergeCell ref="G142:G144"/>
    <mergeCell ref="G145:G151"/>
    <mergeCell ref="G152:G158"/>
    <mergeCell ref="G159:G162"/>
    <mergeCell ref="G59:G64"/>
    <mergeCell ref="G65:G70"/>
    <mergeCell ref="G71:G75"/>
    <mergeCell ref="G76:G80"/>
    <mergeCell ref="G81:G86"/>
    <mergeCell ref="G87:G97"/>
    <mergeCell ref="G103:G107"/>
    <mergeCell ref="G108:G112"/>
    <mergeCell ref="G113:G116"/>
    <mergeCell ref="G4:G10"/>
    <mergeCell ref="G11:G14"/>
    <mergeCell ref="G15:G21"/>
    <mergeCell ref="G22:G25"/>
    <mergeCell ref="G26:G32"/>
    <mergeCell ref="G33:G39"/>
    <mergeCell ref="G40:G47"/>
    <mergeCell ref="G48:G52"/>
    <mergeCell ref="G53:G58"/>
    <mergeCell ref="A1:B1"/>
    <mergeCell ref="D1:F1"/>
    <mergeCell ref="B220:B224"/>
    <mergeCell ref="B225:B232"/>
    <mergeCell ref="B200:B205"/>
    <mergeCell ref="B206:B211"/>
    <mergeCell ref="B212:B215"/>
    <mergeCell ref="B216:B219"/>
    <mergeCell ref="B187:B191"/>
    <mergeCell ref="B192:B195"/>
    <mergeCell ref="B196:B199"/>
    <mergeCell ref="B175:B178"/>
    <mergeCell ref="B179:B182"/>
    <mergeCell ref="B183:B186"/>
    <mergeCell ref="B152:B158"/>
    <mergeCell ref="B159:B162"/>
    <mergeCell ref="B163:B169"/>
    <mergeCell ref="B170:B174"/>
    <mergeCell ref="E163:E169"/>
    <mergeCell ref="E170:E174"/>
    <mergeCell ref="E175:E178"/>
    <mergeCell ref="E152:E158"/>
    <mergeCell ref="E159:E162"/>
    <mergeCell ref="B137:B141"/>
    <mergeCell ref="B145:B151"/>
    <mergeCell ref="B122:B126"/>
    <mergeCell ref="B127:B130"/>
    <mergeCell ref="B131:B135"/>
    <mergeCell ref="E122:E126"/>
    <mergeCell ref="E127:E130"/>
    <mergeCell ref="B142:B144"/>
    <mergeCell ref="E145:E151"/>
    <mergeCell ref="E131:E135"/>
    <mergeCell ref="E137:E141"/>
    <mergeCell ref="E142:E144"/>
    <mergeCell ref="E206:E211"/>
    <mergeCell ref="E212:E215"/>
    <mergeCell ref="E216:E219"/>
    <mergeCell ref="E220:E224"/>
    <mergeCell ref="E225:E232"/>
    <mergeCell ref="E192:E195"/>
    <mergeCell ref="E196:E199"/>
    <mergeCell ref="E200:E205"/>
    <mergeCell ref="E179:E182"/>
    <mergeCell ref="E183:E186"/>
    <mergeCell ref="E187:E191"/>
    <mergeCell ref="A183:A186"/>
    <mergeCell ref="A187:A191"/>
    <mergeCell ref="A216:A219"/>
    <mergeCell ref="A220:A224"/>
    <mergeCell ref="A225:A232"/>
    <mergeCell ref="A192:A195"/>
    <mergeCell ref="A196:A199"/>
    <mergeCell ref="A200:A205"/>
    <mergeCell ref="A206:A211"/>
    <mergeCell ref="A212:A215"/>
    <mergeCell ref="A159:A162"/>
    <mergeCell ref="A163:A169"/>
    <mergeCell ref="A170:A174"/>
    <mergeCell ref="A175:A178"/>
    <mergeCell ref="A179:A182"/>
    <mergeCell ref="A131:A135"/>
    <mergeCell ref="A137:A141"/>
    <mergeCell ref="A142:A144"/>
    <mergeCell ref="A145:A151"/>
    <mergeCell ref="A152:A158"/>
    <mergeCell ref="A127:A130"/>
    <mergeCell ref="B4:B10"/>
    <mergeCell ref="A40:A47"/>
    <mergeCell ref="A48:A52"/>
    <mergeCell ref="A53:A58"/>
    <mergeCell ref="A59:A64"/>
    <mergeCell ref="A65:A70"/>
    <mergeCell ref="A71:A75"/>
    <mergeCell ref="A76:A80"/>
    <mergeCell ref="A81:A86"/>
    <mergeCell ref="A87:A97"/>
    <mergeCell ref="A98:A102"/>
    <mergeCell ref="A103:A107"/>
    <mergeCell ref="A4:A10"/>
    <mergeCell ref="A11:A14"/>
    <mergeCell ref="B11:B14"/>
    <mergeCell ref="B40:B47"/>
    <mergeCell ref="A15:A21"/>
    <mergeCell ref="B15:B21"/>
    <mergeCell ref="A22:A25"/>
    <mergeCell ref="B22:B25"/>
    <mergeCell ref="A33:A39"/>
    <mergeCell ref="B65:B70"/>
    <mergeCell ref="B71:B75"/>
    <mergeCell ref="A122:A126"/>
    <mergeCell ref="E40:E47"/>
    <mergeCell ref="E22:E25"/>
    <mergeCell ref="E26:E32"/>
    <mergeCell ref="E33:E39"/>
    <mergeCell ref="E15:E21"/>
    <mergeCell ref="B76:B80"/>
    <mergeCell ref="B81:B86"/>
    <mergeCell ref="B48:B52"/>
    <mergeCell ref="B53:B58"/>
    <mergeCell ref="B59:B64"/>
    <mergeCell ref="E76:E80"/>
    <mergeCell ref="E81:E86"/>
    <mergeCell ref="E59:E64"/>
    <mergeCell ref="E65:E70"/>
    <mergeCell ref="E71:E75"/>
    <mergeCell ref="E48:E52"/>
    <mergeCell ref="E53:E58"/>
    <mergeCell ref="B108:B112"/>
    <mergeCell ref="B113:B116"/>
    <mergeCell ref="B117:B121"/>
    <mergeCell ref="B87:B97"/>
    <mergeCell ref="B98:B102"/>
    <mergeCell ref="B103:B107"/>
    <mergeCell ref="D2:F2"/>
    <mergeCell ref="A2:B2"/>
    <mergeCell ref="E4:E10"/>
    <mergeCell ref="E11:E14"/>
    <mergeCell ref="A108:A112"/>
    <mergeCell ref="A26:A32"/>
    <mergeCell ref="B26:B32"/>
    <mergeCell ref="A113:A116"/>
    <mergeCell ref="A117:A121"/>
    <mergeCell ref="E117:E121"/>
    <mergeCell ref="E103:E107"/>
    <mergeCell ref="E108:E112"/>
    <mergeCell ref="E113:E116"/>
    <mergeCell ref="E87:E97"/>
    <mergeCell ref="B33:B39"/>
  </mergeCells>
  <conditionalFormatting sqref="D4:D232">
    <cfRule type="cellIs" dxfId="7" priority="2" operator="greaterThan">
      <formula>0</formula>
    </cfRule>
  </conditionalFormatting>
  <pageMargins left="0.7" right="0.7" top="0.75" bottom="0.75" header="0.3" footer="0.3"/>
  <pageSetup paperSize="5" scale="70" orientation="landscape" r:id="rId1"/>
  <rowBreaks count="5" manualBreakCount="5">
    <brk id="32" max="6" man="1"/>
    <brk id="70" max="6" man="1"/>
    <brk id="102" max="6" man="1"/>
    <brk id="130" max="6" man="1"/>
    <brk id="224"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dimension ref="A1:IV135"/>
  <sheetViews>
    <sheetView zoomScaleNormal="100" workbookViewId="0">
      <selection activeCell="G125" sqref="G125:G126"/>
    </sheetView>
  </sheetViews>
  <sheetFormatPr defaultColWidth="9.33203125" defaultRowHeight="13.8" x14ac:dyDescent="0.25"/>
  <cols>
    <col min="1" max="1" width="5.77734375" style="2" customWidth="1"/>
    <col min="2" max="2" width="18.6640625" style="2" customWidth="1"/>
    <col min="3" max="3" width="75.77734375" style="2" customWidth="1"/>
    <col min="4" max="4" width="6.77734375" style="48" customWidth="1"/>
    <col min="5" max="5" width="8.44140625" style="48" customWidth="1"/>
    <col min="6" max="6" width="7.77734375" style="48" customWidth="1"/>
    <col min="7" max="7" width="11.77734375" style="8" customWidth="1"/>
    <col min="8" max="8" width="75.77734375" style="2" customWidth="1"/>
    <col min="9" max="9" width="13.44140625" style="3" customWidth="1"/>
    <col min="10" max="16384" width="9.33203125" style="3"/>
  </cols>
  <sheetData>
    <row r="1" spans="1:8" ht="48" customHeight="1" thickBot="1" x14ac:dyDescent="0.3">
      <c r="A1" s="2117" t="s">
        <v>1465</v>
      </c>
      <c r="B1" s="2118"/>
      <c r="C1" s="151" t="s">
        <v>573</v>
      </c>
      <c r="D1" s="945" t="s">
        <v>1172</v>
      </c>
      <c r="E1" s="1958"/>
      <c r="F1" s="1959"/>
      <c r="G1" s="1959"/>
      <c r="H1" s="1959"/>
    </row>
    <row r="2" spans="1:8" s="436" customFormat="1" ht="36" customHeight="1" thickBot="1" x14ac:dyDescent="0.3">
      <c r="A2" s="1024" t="s">
        <v>126</v>
      </c>
      <c r="B2" s="1024" t="s">
        <v>1270</v>
      </c>
      <c r="C2" s="1343" t="s">
        <v>1271</v>
      </c>
      <c r="D2" s="1025" t="s">
        <v>115</v>
      </c>
      <c r="E2" s="1027" t="s">
        <v>771</v>
      </c>
      <c r="F2" s="1027" t="s">
        <v>1272</v>
      </c>
      <c r="G2" s="1028" t="s">
        <v>1273</v>
      </c>
      <c r="H2" s="1025" t="s">
        <v>772</v>
      </c>
    </row>
    <row r="3" spans="1:8" ht="58.5" customHeight="1" thickBot="1" x14ac:dyDescent="0.3">
      <c r="A3" s="1821" t="str">
        <f>F!A7</f>
        <v>F3</v>
      </c>
      <c r="B3" s="1522" t="str">
        <f>F!B7</f>
        <v>Water Regime (Hydropd)</v>
      </c>
      <c r="C3" s="1313" t="str">
        <f>F!C7</f>
        <v>The water regime (hydroperiod) of the most permanent (usually deepest) part of the AA is:  Select only ONE. 
[To meet any of the definitions other than Ephemeral, there must be &gt;100 sq ft of surface water for the duration described, otherwise mark the type listed above it.]</v>
      </c>
      <c r="D3" s="1031"/>
      <c r="E3" s="1014"/>
      <c r="F3" s="1152"/>
      <c r="G3" s="954">
        <f>MAX(F4:F8)/MAX(E4:E8)</f>
        <v>0</v>
      </c>
      <c r="H3" s="1522" t="s">
        <v>1198</v>
      </c>
    </row>
    <row r="4" spans="1:8" ht="42" customHeight="1" x14ac:dyDescent="0.25">
      <c r="A4" s="1822"/>
      <c r="B4" s="1521"/>
      <c r="C4" s="1310" t="str">
        <f>F!C8</f>
        <v>Ephemeral.  Surface water in the wettest part of the AA is present for fewer than 7 consecutive days during an average growing season.  Includes some of the areas mapped as Saturated Nontidal in the ORWAP Map Viewer (which is not comprehensive).  Enter 1 and SKIP to F25.</v>
      </c>
      <c r="D4" s="44">
        <f>F!D8</f>
        <v>0</v>
      </c>
      <c r="E4" s="1122">
        <v>4</v>
      </c>
      <c r="F4" s="1122">
        <f>D4*E4</f>
        <v>0</v>
      </c>
      <c r="G4" s="963"/>
      <c r="H4" s="1521"/>
    </row>
    <row r="5" spans="1:8" ht="66.75" customHeight="1" x14ac:dyDescent="0.25">
      <c r="A5" s="1822"/>
      <c r="B5" s="1521"/>
      <c r="C5" s="1311" t="str">
        <f>F!C9</f>
        <v xml:space="preserve">Temporary.  Surface water present for 1-4 weeks consecutively during an average growing season, OR if persists for longer, it is almost entirely in scattered pools, each smaller than 1 sq.m.  Dries up completely during part of most average years.  Includes some of the areas mapped as Saturated Nontidal in the ORWAP Map Viewer (which is not comprehensive). Enter 1 and SKIP to F25. </v>
      </c>
      <c r="D5" s="1081">
        <f>F!D9</f>
        <v>0</v>
      </c>
      <c r="E5" s="963">
        <v>4</v>
      </c>
      <c r="F5" s="1122">
        <f>D5*E5</f>
        <v>0</v>
      </c>
      <c r="G5" s="963"/>
      <c r="H5" s="1521"/>
    </row>
    <row r="6" spans="1:8" ht="56.25" customHeight="1" x14ac:dyDescent="0.25">
      <c r="A6" s="1822"/>
      <c r="B6" s="1521"/>
      <c r="C6" s="1311" t="str">
        <f>F!C10</f>
        <v>Seasonal.  Surface water present for 5-17 weeks (1-4 months) consecutively during an average growing season, but dries up completely during part of most average years.  Includes some of the areas mapped as Seasonal Nontidal in the ORWAP Map Viewer (which is not comprehensive). Enter 1 and SKIP to F5.</v>
      </c>
      <c r="D6" s="1081">
        <f>F!D10</f>
        <v>0</v>
      </c>
      <c r="E6" s="963">
        <v>2</v>
      </c>
      <c r="F6" s="1122">
        <f>D6*E6</f>
        <v>0</v>
      </c>
      <c r="G6" s="963"/>
      <c r="H6" s="1521"/>
    </row>
    <row r="7" spans="1:8" ht="57" customHeight="1" x14ac:dyDescent="0.25">
      <c r="A7" s="1822"/>
      <c r="B7" s="1521"/>
      <c r="C7" s="1311" t="str">
        <f>F!C11</f>
        <v>Semi-Persistent.  Surface water present for more than 17 weeks (4 months) consecutively during an average growing season, but dries up completely during part of most average years.  Includes some of the areas mapped as Seasonal Nontidal in the ORWAP Map Viewer (which is not comprehensive). Enter 1 and SKIP to F5.</v>
      </c>
      <c r="D7" s="1081">
        <f>F!D11</f>
        <v>0</v>
      </c>
      <c r="E7" s="963">
        <v>1</v>
      </c>
      <c r="F7" s="1122">
        <f>D7*E7</f>
        <v>0</v>
      </c>
      <c r="G7" s="963"/>
      <c r="H7" s="1521"/>
    </row>
    <row r="8" spans="1:8" ht="42" customHeight="1" thickBot="1" x14ac:dyDescent="0.3">
      <c r="A8" s="1825"/>
      <c r="B8" s="1523"/>
      <c r="C8" s="1307" t="str">
        <f>F!C12</f>
        <v>Permanent.  Does not dry up completely during most average years. Includes some of the areas mapped as Persistent Nontidal in the ORWAP Map Viewer (which is not comprehensive).  Enter 1 and continue.</v>
      </c>
      <c r="D8" s="1276">
        <f>F!D12</f>
        <v>0</v>
      </c>
      <c r="E8" s="1141">
        <v>0</v>
      </c>
      <c r="F8" s="1140">
        <f>D8*E8</f>
        <v>0</v>
      </c>
      <c r="G8" s="1141"/>
      <c r="H8" s="1523"/>
    </row>
    <row r="9" spans="1:8" ht="30" customHeight="1" thickBot="1" x14ac:dyDescent="0.3">
      <c r="A9" s="1864" t="str">
        <f>F!A18</f>
        <v>F5</v>
      </c>
      <c r="B9" s="1599" t="str">
        <f>F!B18</f>
        <v>Depth Class (Predominant)  (DepthDom)</v>
      </c>
      <c r="C9" s="186" t="str">
        <f>F!C18</f>
        <v>When water is present in the AA, the depth most of the time in most of inundated area is: 
[Note: NOT necessarily the maximum spatial or annual depth]</v>
      </c>
      <c r="D9" s="1139"/>
      <c r="E9" s="1139"/>
      <c r="F9" s="955"/>
      <c r="G9" s="815">
        <f>IF((NeverWater+TempWet&gt;0),"",IF((TempWet=1),"",MAX(F10:F14)/MAX(E10:E14)))</f>
        <v>0</v>
      </c>
      <c r="H9" s="1599" t="s">
        <v>1658</v>
      </c>
    </row>
    <row r="10" spans="1:8" ht="16.2" customHeight="1" x14ac:dyDescent="0.25">
      <c r="A10" s="1865"/>
      <c r="B10" s="1582"/>
      <c r="C10" s="236" t="str">
        <f>F!C19</f>
        <v>&gt;0 to &lt;0.5 ft.</v>
      </c>
      <c r="D10" s="1304">
        <f>F!D19</f>
        <v>0</v>
      </c>
      <c r="E10" s="1122">
        <v>0</v>
      </c>
      <c r="F10" s="1122">
        <f>D10*E10</f>
        <v>0</v>
      </c>
      <c r="G10" s="956"/>
      <c r="H10" s="1582"/>
    </row>
    <row r="11" spans="1:8" ht="16.2" customHeight="1" x14ac:dyDescent="0.25">
      <c r="A11" s="1865"/>
      <c r="B11" s="1582"/>
      <c r="C11" s="237" t="str">
        <f>F!C20</f>
        <v>0.5 to &lt; 1 ft deep.</v>
      </c>
      <c r="D11" s="1081">
        <f>F!D20</f>
        <v>0</v>
      </c>
      <c r="E11" s="1122">
        <v>1</v>
      </c>
      <c r="F11" s="1122">
        <f>D11*E11</f>
        <v>0</v>
      </c>
      <c r="G11" s="957"/>
      <c r="H11" s="1582"/>
    </row>
    <row r="12" spans="1:8" ht="16.2" customHeight="1" x14ac:dyDescent="0.25">
      <c r="A12" s="1865"/>
      <c r="B12" s="1582"/>
      <c r="C12" s="237" t="str">
        <f>F!C21</f>
        <v>1 to &lt;3 ft deep.</v>
      </c>
      <c r="D12" s="1081">
        <f>F!D21</f>
        <v>0</v>
      </c>
      <c r="E12" s="1122">
        <v>2</v>
      </c>
      <c r="F12" s="1122">
        <f>D12*E12</f>
        <v>0</v>
      </c>
      <c r="G12" s="957"/>
      <c r="H12" s="1582"/>
    </row>
    <row r="13" spans="1:8" ht="16.2" customHeight="1" x14ac:dyDescent="0.25">
      <c r="A13" s="1865"/>
      <c r="B13" s="1582"/>
      <c r="C13" s="237" t="str">
        <f>F!C22</f>
        <v>3 to 6 ft deep.</v>
      </c>
      <c r="D13" s="1081">
        <f>F!D22</f>
        <v>0</v>
      </c>
      <c r="E13" s="1122">
        <v>4</v>
      </c>
      <c r="F13" s="1122">
        <f>D13*E13</f>
        <v>0</v>
      </c>
      <c r="G13" s="957"/>
      <c r="H13" s="1582"/>
    </row>
    <row r="14" spans="1:8" ht="16.2" customHeight="1" thickBot="1" x14ac:dyDescent="0.3">
      <c r="A14" s="1866"/>
      <c r="B14" s="1600"/>
      <c r="C14" s="212" t="str">
        <f>F!C23</f>
        <v>&gt;6 ft deep.</v>
      </c>
      <c r="D14" s="213">
        <f>F!D23</f>
        <v>0</v>
      </c>
      <c r="E14" s="1124">
        <v>6</v>
      </c>
      <c r="F14" s="1124">
        <f>D14*E14</f>
        <v>0</v>
      </c>
      <c r="G14" s="958"/>
      <c r="H14" s="1600"/>
    </row>
    <row r="15" spans="1:8" ht="21" customHeight="1" thickBot="1" x14ac:dyDescent="0.3">
      <c r="A15" s="1864" t="str">
        <f>F!A35</f>
        <v>F8</v>
      </c>
      <c r="B15" s="1522" t="str">
        <f>F!B35</f>
        <v>% Emergent Plants (EmPct)</v>
      </c>
      <c r="C15" s="4" t="str">
        <f>F!C35</f>
        <v>Emergent plants occupy an annual maximum of:</v>
      </c>
      <c r="D15" s="1139"/>
      <c r="E15" s="1169"/>
      <c r="F15" s="1121"/>
      <c r="G15" s="1170">
        <f>IF((NoEm=1),"",MAX(F16:F20)/MAX(E16:E20))</f>
        <v>0</v>
      </c>
      <c r="H15" s="1911" t="s">
        <v>1688</v>
      </c>
    </row>
    <row r="16" spans="1:8" ht="16.2" customHeight="1" x14ac:dyDescent="0.25">
      <c r="A16" s="1865"/>
      <c r="B16" s="1521"/>
      <c r="C16" s="236" t="str">
        <f>F!C36</f>
        <v>&lt;5% of the parts of the AA that are inundated for &gt;7 days at some time of the year.</v>
      </c>
      <c r="D16" s="1304">
        <f>F!D36</f>
        <v>0</v>
      </c>
      <c r="E16" s="1122">
        <v>0</v>
      </c>
      <c r="F16" s="1122">
        <f>D16*E16</f>
        <v>0</v>
      </c>
      <c r="G16" s="998"/>
      <c r="H16" s="1912"/>
    </row>
    <row r="17" spans="1:8" ht="16.2" customHeight="1" x14ac:dyDescent="0.25">
      <c r="A17" s="1865"/>
      <c r="B17" s="1521"/>
      <c r="C17" s="237" t="str">
        <f>F!C37</f>
        <v>5 to &lt;30% of the parts of the AA that are inundated for &gt;7 days at some time of the year.</v>
      </c>
      <c r="D17" s="1081">
        <f>F!D37</f>
        <v>0</v>
      </c>
      <c r="E17" s="1122">
        <v>1</v>
      </c>
      <c r="F17" s="1122">
        <f>D17*E17</f>
        <v>0</v>
      </c>
      <c r="G17" s="998"/>
      <c r="H17" s="1912"/>
    </row>
    <row r="18" spans="1:8" ht="16.2" customHeight="1" x14ac:dyDescent="0.25">
      <c r="A18" s="1865"/>
      <c r="B18" s="1521"/>
      <c r="C18" s="237" t="str">
        <f>F!C38</f>
        <v>30 to &lt;60% of the parts of the AA that are inundated for &gt;7 days at some time of the year.</v>
      </c>
      <c r="D18" s="1081">
        <f>F!D38</f>
        <v>0</v>
      </c>
      <c r="E18" s="1122">
        <v>2</v>
      </c>
      <c r="F18" s="1122">
        <f>D18*E18</f>
        <v>0</v>
      </c>
      <c r="G18" s="998"/>
      <c r="H18" s="1912"/>
    </row>
    <row r="19" spans="1:8" ht="16.2" customHeight="1" x14ac:dyDescent="0.25">
      <c r="A19" s="1865"/>
      <c r="B19" s="1521"/>
      <c r="C19" s="237" t="str">
        <f>F!C39</f>
        <v>60 to 95% of the parts of the AA that are inundated for &gt;7 days at some time of the year.</v>
      </c>
      <c r="D19" s="1081">
        <f>F!D39</f>
        <v>0</v>
      </c>
      <c r="E19" s="1122">
        <v>3</v>
      </c>
      <c r="F19" s="1122">
        <f>D19*E19</f>
        <v>0</v>
      </c>
      <c r="G19" s="998"/>
      <c r="H19" s="1912"/>
    </row>
    <row r="20" spans="1:8" ht="16.2" customHeight="1" thickBot="1" x14ac:dyDescent="0.3">
      <c r="A20" s="943"/>
      <c r="B20" s="1523"/>
      <c r="C20" s="212" t="str">
        <f>F!C40</f>
        <v>&gt;95% of the parts of the AA that are inundated for &gt;7 days at some time of the year.</v>
      </c>
      <c r="D20" s="213">
        <f>F!D40</f>
        <v>0</v>
      </c>
      <c r="E20" s="1124">
        <v>4</v>
      </c>
      <c r="F20" s="1124">
        <f>D20*E20</f>
        <v>0</v>
      </c>
      <c r="G20" s="999"/>
      <c r="H20" s="1913"/>
    </row>
    <row r="21" spans="1:8" ht="45" customHeight="1" thickBot="1" x14ac:dyDescent="0.3">
      <c r="A21" s="2108" t="str">
        <f>F!A46</f>
        <v>F10</v>
      </c>
      <c r="B21" s="1818" t="str">
        <f>F!B46</f>
        <v>Water Shading by AA's Woody Vegetation - Driest  (WoodyDryShade)</v>
      </c>
      <c r="C21" s="114" t="str">
        <f>F!C46</f>
        <v>During an average growing season, when water levels are lowest (but surface water still occupies &gt;400 sq ft or &gt;1% of the AA), the percentage of the remaining surface water within the AA that is shaded by trees and/or shrubs located within the AA is:</v>
      </c>
      <c r="D21" s="1139"/>
      <c r="E21" s="45"/>
      <c r="F21" s="1122"/>
      <c r="G21" s="996">
        <f>IF((NeverWater+TempWet&gt;0),"",IF((HistOpenland=1),"",MAX(F22:F27)/MAX(E22:E27)))</f>
        <v>0</v>
      </c>
      <c r="H21" s="1911" t="s">
        <v>1689</v>
      </c>
    </row>
    <row r="22" spans="1:8" ht="29.25" customHeight="1" x14ac:dyDescent="0.25">
      <c r="A22" s="1803"/>
      <c r="B22" s="1521"/>
      <c r="C22" s="1310" t="str">
        <f>F!C47</f>
        <v>&lt;5% of the water, and fewer than 10 woody plants taller than 3 ft shade it, or all surface water is flowing.</v>
      </c>
      <c r="D22" s="1304">
        <f>F!D47</f>
        <v>0</v>
      </c>
      <c r="E22" s="1122">
        <v>0</v>
      </c>
      <c r="F22" s="1140">
        <f t="shared" ref="F22:F27" si="0">D22*E22</f>
        <v>0</v>
      </c>
      <c r="G22" s="1344"/>
      <c r="H22" s="1912"/>
    </row>
    <row r="23" spans="1:8" ht="16.2" customHeight="1" x14ac:dyDescent="0.25">
      <c r="A23" s="1803"/>
      <c r="B23" s="1521"/>
      <c r="C23" s="1311" t="str">
        <f>F!C48</f>
        <v>&lt;5% of the water, but more than 10 woody plants taller than 3 ft shade it.</v>
      </c>
      <c r="D23" s="1081">
        <f>F!D48</f>
        <v>0</v>
      </c>
      <c r="E23" s="1122">
        <v>1</v>
      </c>
      <c r="F23" s="1140">
        <f t="shared" si="0"/>
        <v>0</v>
      </c>
      <c r="G23" s="1344"/>
      <c r="H23" s="1912"/>
    </row>
    <row r="24" spans="1:8" ht="16.2" customHeight="1" x14ac:dyDescent="0.25">
      <c r="A24" s="1803"/>
      <c r="B24" s="1521"/>
      <c r="C24" s="1311" t="str">
        <f>F!C49</f>
        <v>5 to &lt;25% of the water.</v>
      </c>
      <c r="D24" s="1081">
        <f>F!D49</f>
        <v>0</v>
      </c>
      <c r="E24" s="1122">
        <v>2</v>
      </c>
      <c r="F24" s="1140">
        <f t="shared" si="0"/>
        <v>0</v>
      </c>
      <c r="G24" s="1344"/>
      <c r="H24" s="1912"/>
    </row>
    <row r="25" spans="1:8" ht="16.2" customHeight="1" x14ac:dyDescent="0.25">
      <c r="A25" s="1803"/>
      <c r="B25" s="1521"/>
      <c r="C25" s="1311" t="str">
        <f>F!C50</f>
        <v>25 to &lt;50% of the water.</v>
      </c>
      <c r="D25" s="1081">
        <f>F!D50</f>
        <v>0</v>
      </c>
      <c r="E25" s="1122">
        <v>3</v>
      </c>
      <c r="F25" s="1140">
        <f t="shared" si="0"/>
        <v>0</v>
      </c>
      <c r="G25" s="1344"/>
      <c r="H25" s="1912"/>
    </row>
    <row r="26" spans="1:8" ht="16.2" customHeight="1" x14ac:dyDescent="0.25">
      <c r="A26" s="1803"/>
      <c r="B26" s="1521"/>
      <c r="C26" s="1311" t="str">
        <f>F!C51</f>
        <v>50 to 95% of the water.</v>
      </c>
      <c r="D26" s="1081">
        <f>F!D51</f>
        <v>0</v>
      </c>
      <c r="E26" s="1122">
        <v>4</v>
      </c>
      <c r="F26" s="1140">
        <f t="shared" si="0"/>
        <v>0</v>
      </c>
      <c r="G26" s="1344"/>
      <c r="H26" s="1912"/>
    </row>
    <row r="27" spans="1:8" ht="16.2" customHeight="1" thickBot="1" x14ac:dyDescent="0.3">
      <c r="A27" s="2106"/>
      <c r="B27" s="1523"/>
      <c r="C27" s="1311" t="str">
        <f>F!C52</f>
        <v>&gt;95% of the water.</v>
      </c>
      <c r="D27" s="1081">
        <f>F!D52</f>
        <v>0</v>
      </c>
      <c r="E27" s="1122">
        <v>5</v>
      </c>
      <c r="F27" s="1122">
        <f t="shared" si="0"/>
        <v>0</v>
      </c>
      <c r="G27" s="1345"/>
      <c r="H27" s="1913"/>
    </row>
    <row r="28" spans="1:8" ht="62.25" customHeight="1" thickBot="1" x14ac:dyDescent="0.3">
      <c r="A28" s="2119" t="str">
        <f>F!A76</f>
        <v>F15</v>
      </c>
      <c r="B28" s="1599" t="str">
        <f>F!B76</f>
        <v>Width of Vegetated Zone - Wettest  (WidthWet)</v>
      </c>
      <c r="C28" s="186" t="str">
        <f>F!C76</f>
        <v>When water levels are highest, during a normal year, the width of the vegetated wetland  that separates the largest patch of open water within or bordering the AA from the closest adjacent uplands, is predominantly: 
[Note: This is not asking for the maximum width.]</v>
      </c>
      <c r="D28" s="1139"/>
      <c r="E28" s="1139"/>
      <c r="F28" s="955"/>
      <c r="G28" s="815" t="str">
        <f>IF((NeverWater=1),"",IF((OpenW=0),"",MAX(F29:F34)/MAX(E29:E34)))</f>
        <v/>
      </c>
      <c r="H28" s="1522" t="s">
        <v>1659</v>
      </c>
    </row>
    <row r="29" spans="1:8" ht="16.2" customHeight="1" x14ac:dyDescent="0.25">
      <c r="A29" s="2115"/>
      <c r="B29" s="1582"/>
      <c r="C29" s="236" t="str">
        <f>F!C77</f>
        <v>&lt;5 ft, or no vegetation between upland and open water.</v>
      </c>
      <c r="D29" s="1304">
        <f>F!D77</f>
        <v>0</v>
      </c>
      <c r="E29" s="1122">
        <v>0</v>
      </c>
      <c r="F29" s="1122">
        <f t="shared" ref="F29:F34" si="1">D29*E29</f>
        <v>0</v>
      </c>
      <c r="G29" s="957"/>
      <c r="H29" s="1521"/>
    </row>
    <row r="30" spans="1:8" ht="16.2" customHeight="1" x14ac:dyDescent="0.25">
      <c r="A30" s="2115"/>
      <c r="B30" s="1582"/>
      <c r="C30" s="237" t="str">
        <f>F!C78</f>
        <v>5 to &lt;30 ft.</v>
      </c>
      <c r="D30" s="1081">
        <f>F!D78</f>
        <v>0</v>
      </c>
      <c r="E30" s="1122">
        <v>3</v>
      </c>
      <c r="F30" s="1122">
        <f t="shared" si="1"/>
        <v>0</v>
      </c>
      <c r="G30" s="957"/>
      <c r="H30" s="1521"/>
    </row>
    <row r="31" spans="1:8" ht="16.2" customHeight="1" x14ac:dyDescent="0.25">
      <c r="A31" s="2115"/>
      <c r="B31" s="1582"/>
      <c r="C31" s="237" t="str">
        <f>F!C79</f>
        <v>30 to &lt;50 ft.</v>
      </c>
      <c r="D31" s="1081">
        <f>F!D79</f>
        <v>0</v>
      </c>
      <c r="E31" s="1122">
        <v>5</v>
      </c>
      <c r="F31" s="1122">
        <f t="shared" si="1"/>
        <v>0</v>
      </c>
      <c r="G31" s="957"/>
      <c r="H31" s="1521"/>
    </row>
    <row r="32" spans="1:8" ht="16.2" customHeight="1" x14ac:dyDescent="0.25">
      <c r="A32" s="2115"/>
      <c r="B32" s="1582"/>
      <c r="C32" s="237" t="str">
        <f>F!C80</f>
        <v>50 to &lt;100 ft.</v>
      </c>
      <c r="D32" s="1081">
        <f>F!D80</f>
        <v>0</v>
      </c>
      <c r="E32" s="1122">
        <v>6</v>
      </c>
      <c r="F32" s="1122">
        <f t="shared" si="1"/>
        <v>0</v>
      </c>
      <c r="G32" s="957"/>
      <c r="H32" s="1521"/>
    </row>
    <row r="33" spans="1:8" ht="16.2" customHeight="1" x14ac:dyDescent="0.25">
      <c r="A33" s="2115"/>
      <c r="B33" s="1582"/>
      <c r="C33" s="237" t="str">
        <f>F!C81</f>
        <v>100 to 300 ft.</v>
      </c>
      <c r="D33" s="1081">
        <f>F!D81</f>
        <v>0</v>
      </c>
      <c r="E33" s="1122">
        <v>7</v>
      </c>
      <c r="F33" s="1122">
        <f t="shared" si="1"/>
        <v>0</v>
      </c>
      <c r="G33" s="957"/>
      <c r="H33" s="1521"/>
    </row>
    <row r="34" spans="1:8" ht="16.2" customHeight="1" thickBot="1" x14ac:dyDescent="0.3">
      <c r="A34" s="2115"/>
      <c r="B34" s="1600"/>
      <c r="C34" s="212" t="str">
        <f>F!C82</f>
        <v>&gt; 300 ft.</v>
      </c>
      <c r="D34" s="213">
        <f>F!D82</f>
        <v>0</v>
      </c>
      <c r="E34" s="1124">
        <v>8</v>
      </c>
      <c r="F34" s="1124">
        <f t="shared" si="1"/>
        <v>0</v>
      </c>
      <c r="G34" s="958"/>
      <c r="H34" s="1523"/>
    </row>
    <row r="35" spans="1:8" ht="45" customHeight="1" thickBot="1" x14ac:dyDescent="0.3">
      <c r="A35" s="2119" t="str">
        <f>F!A83</f>
        <v>F16</v>
      </c>
      <c r="B35" s="1521" t="str">
        <f>F!B83</f>
        <v>All Ponded Water as a Percentage (Driest)  (PondWpctDry)</v>
      </c>
      <c r="C35" s="940" t="str">
        <f>F!C83</f>
        <v>When water levels are lowest, during a normal year, but surface water still occupies &gt;1,076 sq feet (100 sq meter) OR  &gt;1% of the AA (whichever is more), the water that is ponded (either visible or concealed by vegetation) in the AA occupies:</v>
      </c>
      <c r="D35" s="1139"/>
      <c r="E35" s="963"/>
      <c r="F35" s="963"/>
      <c r="G35" s="954">
        <f>IF((NeverWater+TempWet&gt;0),"",IF((NoPond=1),"",MAX(F36:F41)/MAX(E36:E41)))</f>
        <v>0</v>
      </c>
      <c r="H35" s="1521" t="s">
        <v>1660</v>
      </c>
    </row>
    <row r="36" spans="1:8" ht="30.75" customHeight="1" x14ac:dyDescent="0.25">
      <c r="A36" s="2115"/>
      <c r="B36" s="1521"/>
      <c r="C36" s="393" t="str">
        <f>F!C84</f>
        <v xml:space="preserve">&lt;1% or none. Surface water is completely or nearly absent then, or is entirely flowing. Enter 1 and SKIP TO F22. </v>
      </c>
      <c r="D36" s="1306">
        <f>F!D84</f>
        <v>0</v>
      </c>
      <c r="E36" s="45">
        <v>5</v>
      </c>
      <c r="F36" s="1122">
        <f t="shared" ref="F36:F41" si="2">D36*E36</f>
        <v>0</v>
      </c>
      <c r="G36" s="963"/>
      <c r="H36" s="1521"/>
    </row>
    <row r="37" spans="1:8" ht="16.2" customHeight="1" x14ac:dyDescent="0.25">
      <c r="A37" s="2115"/>
      <c r="B37" s="1521"/>
      <c r="C37" s="1275" t="str">
        <f>F!C85</f>
        <v>1 to 5% of the AA.</v>
      </c>
      <c r="D37" s="1276">
        <f>F!D85</f>
        <v>0</v>
      </c>
      <c r="E37" s="45">
        <v>4</v>
      </c>
      <c r="F37" s="1122">
        <f t="shared" si="2"/>
        <v>0</v>
      </c>
      <c r="G37" s="963"/>
      <c r="H37" s="1521"/>
    </row>
    <row r="38" spans="1:8" ht="16.2" customHeight="1" x14ac:dyDescent="0.25">
      <c r="A38" s="2115"/>
      <c r="B38" s="1521"/>
      <c r="C38" s="1275" t="str">
        <f>F!C86</f>
        <v>5 to &lt;30% of the AA.</v>
      </c>
      <c r="D38" s="1276">
        <f>F!D86</f>
        <v>0</v>
      </c>
      <c r="E38" s="45">
        <v>3</v>
      </c>
      <c r="F38" s="1122">
        <f t="shared" si="2"/>
        <v>0</v>
      </c>
      <c r="G38" s="963"/>
      <c r="H38" s="1521"/>
    </row>
    <row r="39" spans="1:8" ht="16.2" customHeight="1" x14ac:dyDescent="0.25">
      <c r="A39" s="2115"/>
      <c r="B39" s="1521"/>
      <c r="C39" s="1275" t="str">
        <f>F!C87</f>
        <v>30 to &lt;70% of the AA.</v>
      </c>
      <c r="D39" s="1276">
        <f>F!D87</f>
        <v>0</v>
      </c>
      <c r="E39" s="45">
        <v>2</v>
      </c>
      <c r="F39" s="1122">
        <f t="shared" si="2"/>
        <v>0</v>
      </c>
      <c r="G39" s="963"/>
      <c r="H39" s="1521"/>
    </row>
    <row r="40" spans="1:8" ht="16.2" customHeight="1" x14ac:dyDescent="0.25">
      <c r="A40" s="2115"/>
      <c r="B40" s="1521"/>
      <c r="C40" s="1275" t="str">
        <f>F!C88</f>
        <v>70 to 95% of the AA.</v>
      </c>
      <c r="D40" s="1276">
        <f>F!D88</f>
        <v>0</v>
      </c>
      <c r="E40" s="45">
        <v>1</v>
      </c>
      <c r="F40" s="1122">
        <f t="shared" si="2"/>
        <v>0</v>
      </c>
      <c r="G40" s="963"/>
      <c r="H40" s="1521"/>
    </row>
    <row r="41" spans="1:8" ht="16.2" customHeight="1" thickBot="1" x14ac:dyDescent="0.3">
      <c r="A41" s="2116"/>
      <c r="B41" s="1521"/>
      <c r="C41" s="1275" t="str">
        <f>F!C89</f>
        <v>&gt;95% of the AA.</v>
      </c>
      <c r="D41" s="1276">
        <f>F!D89</f>
        <v>0</v>
      </c>
      <c r="E41" s="54">
        <v>0</v>
      </c>
      <c r="F41" s="1140">
        <f t="shared" si="2"/>
        <v>0</v>
      </c>
      <c r="G41" s="1141"/>
      <c r="H41" s="1521"/>
    </row>
    <row r="42" spans="1:8" ht="21" customHeight="1" thickBot="1" x14ac:dyDescent="0.3">
      <c r="A42" s="2120" t="str">
        <f>F!A188</f>
        <v>F37</v>
      </c>
      <c r="B42" s="1622" t="str">
        <f>F!B188</f>
        <v xml:space="preserve">Groundwater Strength of Evidence (Groundw) </v>
      </c>
      <c r="C42" s="186" t="str">
        <f>F!C188</f>
        <v>Select first one that applies:</v>
      </c>
      <c r="D42" s="1139"/>
      <c r="E42" s="1139"/>
      <c r="F42" s="955"/>
      <c r="G42" s="815">
        <f>MAX(F43:F46)/MAX(E43:E46)</f>
        <v>0</v>
      </c>
      <c r="H42" s="1599" t="s">
        <v>1661</v>
      </c>
    </row>
    <row r="43" spans="1:8" ht="99" customHeight="1" x14ac:dyDescent="0.25">
      <c r="A43" s="2121"/>
      <c r="B43" s="1623"/>
      <c r="C43" s="393"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43" s="1306">
        <f>F!D189</f>
        <v>0</v>
      </c>
      <c r="E43" s="1122">
        <v>4</v>
      </c>
      <c r="F43" s="1122">
        <f>D43*E43</f>
        <v>0</v>
      </c>
      <c r="G43" s="956"/>
      <c r="H43" s="1582"/>
    </row>
    <row r="44" spans="1:8" ht="99" customHeight="1" x14ac:dyDescent="0.25">
      <c r="A44" s="2121"/>
      <c r="B44" s="1623"/>
      <c r="C44" s="1275"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44" s="1276">
        <f>F!D190</f>
        <v>0</v>
      </c>
      <c r="E44" s="1122">
        <v>2</v>
      </c>
      <c r="F44" s="1122">
        <f>D44*E44</f>
        <v>0</v>
      </c>
      <c r="G44" s="957"/>
      <c r="H44" s="1582"/>
    </row>
    <row r="45" spans="1:8" ht="39" customHeight="1" x14ac:dyDescent="0.25">
      <c r="A45" s="2121"/>
      <c r="B45" s="1623"/>
      <c r="C45" s="1275" t="str">
        <f>F!C191</f>
        <v>The AA is not in an Arid or Semi-arid hydrologic unit, but has persistent ponded water, no tributary, and is not fed by wastewater, concentrated stormwater, or irrigation water, or by an adjacent river or lake.</v>
      </c>
      <c r="D45" s="1276">
        <f>F!D191</f>
        <v>0</v>
      </c>
      <c r="E45" s="1122">
        <v>1</v>
      </c>
      <c r="F45" s="1122">
        <f>D45*E45</f>
        <v>0</v>
      </c>
      <c r="G45" s="957"/>
      <c r="H45" s="1582"/>
    </row>
    <row r="46" spans="1:8" ht="27" customHeight="1" thickBot="1" x14ac:dyDescent="0.3">
      <c r="A46" s="2122"/>
      <c r="B46" s="1624"/>
      <c r="C46" s="212" t="str">
        <f>F!C192</f>
        <v>None of above is true, OR AA contains a hot spring. Some groundwater may nonetheless discharge to or flow through the wetland.</v>
      </c>
      <c r="D46" s="213">
        <f>F!D192</f>
        <v>0</v>
      </c>
      <c r="E46" s="1124">
        <v>0</v>
      </c>
      <c r="F46" s="1124">
        <f>D46*E46</f>
        <v>0</v>
      </c>
      <c r="G46" s="958"/>
      <c r="H46" s="1600"/>
    </row>
    <row r="47" spans="1:8" ht="33.75" customHeight="1" thickBot="1" x14ac:dyDescent="0.3">
      <c r="A47" s="1821" t="str">
        <f>F!A221</f>
        <v>F45</v>
      </c>
      <c r="B47" s="1522" t="str">
        <f>F!B221</f>
        <v>Woody Extent (WoodyPct)</v>
      </c>
      <c r="C47" s="1313" t="str">
        <f>F!C221</f>
        <v>Within the vegetated part of the AA, woody vegetation (trees, shrubs, robust vines) taller than 3 ft occupies:</v>
      </c>
      <c r="D47" s="1139"/>
      <c r="E47" s="1139"/>
      <c r="F47" s="1139"/>
      <c r="G47" s="996">
        <f>MAX(F48:F53)/MAX(E48:E53)</f>
        <v>0</v>
      </c>
      <c r="H47" s="1911"/>
    </row>
    <row r="48" spans="1:8" ht="16.2" customHeight="1" x14ac:dyDescent="0.25">
      <c r="A48" s="1822"/>
      <c r="B48" s="1521"/>
      <c r="C48" s="1310" t="str">
        <f>F!C222</f>
        <v>&lt;5% of the vegetated AA, and fewer than 10 trees are present.  Enter 1 and SKIP to F51.</v>
      </c>
      <c r="D48" s="1304">
        <f>F!D222</f>
        <v>0</v>
      </c>
      <c r="E48" s="1122">
        <v>0</v>
      </c>
      <c r="F48" s="1140">
        <f t="shared" ref="F48:F53" si="3">D48*E48</f>
        <v>0</v>
      </c>
      <c r="G48" s="1344"/>
      <c r="H48" s="1912"/>
    </row>
    <row r="49" spans="1:256" ht="16.2" customHeight="1" x14ac:dyDescent="0.25">
      <c r="A49" s="1822"/>
      <c r="B49" s="1521"/>
      <c r="C49" s="1311" t="str">
        <f>F!C223</f>
        <v xml:space="preserve">&lt;5% of the vegetated AA, but more than 10 trees are present. </v>
      </c>
      <c r="D49" s="1081">
        <f>F!D223</f>
        <v>0</v>
      </c>
      <c r="E49" s="1122">
        <v>1</v>
      </c>
      <c r="F49" s="1140">
        <f t="shared" si="3"/>
        <v>0</v>
      </c>
      <c r="G49" s="1344"/>
      <c r="H49" s="1912"/>
    </row>
    <row r="50" spans="1:256" ht="16.2" customHeight="1" x14ac:dyDescent="0.25">
      <c r="A50" s="1822"/>
      <c r="B50" s="1521"/>
      <c r="C50" s="1311" t="str">
        <f>F!C224</f>
        <v>5 to &lt;25% of the vegetated AA.</v>
      </c>
      <c r="D50" s="1081">
        <f>F!D224</f>
        <v>0</v>
      </c>
      <c r="E50" s="1122">
        <v>3</v>
      </c>
      <c r="F50" s="1140">
        <f t="shared" si="3"/>
        <v>0</v>
      </c>
      <c r="G50" s="1344"/>
      <c r="H50" s="1912"/>
    </row>
    <row r="51" spans="1:256" ht="16.2" customHeight="1" x14ac:dyDescent="0.25">
      <c r="A51" s="1822"/>
      <c r="B51" s="1521"/>
      <c r="C51" s="1311" t="str">
        <f>F!C225</f>
        <v>25 to &lt;50% of the vegetated AA.</v>
      </c>
      <c r="D51" s="1081">
        <f>F!D225</f>
        <v>0</v>
      </c>
      <c r="E51" s="1122">
        <v>4</v>
      </c>
      <c r="F51" s="1140">
        <f t="shared" si="3"/>
        <v>0</v>
      </c>
      <c r="G51" s="1344"/>
      <c r="H51" s="1912"/>
    </row>
    <row r="52" spans="1:256" ht="16.2" customHeight="1" x14ac:dyDescent="0.25">
      <c r="A52" s="1822"/>
      <c r="B52" s="1521"/>
      <c r="C52" s="1311" t="str">
        <f>F!C226</f>
        <v>50 to 95% of the vegetated AA.</v>
      </c>
      <c r="D52" s="1081">
        <f>F!D226</f>
        <v>0</v>
      </c>
      <c r="E52" s="1122">
        <v>5</v>
      </c>
      <c r="F52" s="1140">
        <f t="shared" si="3"/>
        <v>0</v>
      </c>
      <c r="G52" s="1344"/>
      <c r="H52" s="1912"/>
    </row>
    <row r="53" spans="1:256" ht="16.2" customHeight="1" thickBot="1" x14ac:dyDescent="0.3">
      <c r="A53" s="1825"/>
      <c r="B53" s="1523"/>
      <c r="C53" s="1308" t="str">
        <f>F!C227</f>
        <v>&gt;95% of the vegetated part of the AA.</v>
      </c>
      <c r="D53" s="213">
        <f>F!D227</f>
        <v>0</v>
      </c>
      <c r="E53" s="1124">
        <v>6</v>
      </c>
      <c r="F53" s="1124">
        <f t="shared" si="3"/>
        <v>0</v>
      </c>
      <c r="G53" s="1345"/>
      <c r="H53" s="1913"/>
    </row>
    <row r="54" spans="1:256" ht="43.5" customHeight="1" thickBot="1" x14ac:dyDescent="0.3">
      <c r="A54" s="2115" t="str">
        <f>F!A288</f>
        <v>F56</v>
      </c>
      <c r="B54" s="1521" t="str">
        <f>F!B288</f>
        <v>Bare Ground &amp; Accumulated Plant Litter (Gcover)</v>
      </c>
      <c r="C54" s="940" t="str">
        <f>F!C288</f>
        <v>Consider the parts of the AA that go dry during a normal year. Viewed from 6 inches above the soil surface, the condition in most of that area just before the year's longest inundation period begins is:</v>
      </c>
      <c r="D54" s="1139"/>
      <c r="E54" s="1014"/>
      <c r="F54" s="1014"/>
      <c r="G54" s="954">
        <f>IF((D59=1),"",MAX(F55:F58)/MAX(E55:E58))</f>
        <v>0</v>
      </c>
      <c r="H54" s="1521" t="s">
        <v>355</v>
      </c>
    </row>
    <row r="55" spans="1:256" ht="54.75" customHeight="1" x14ac:dyDescent="0.25">
      <c r="A55" s="2115"/>
      <c r="B55" s="1521"/>
      <c r="C55" s="236"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55" s="1304">
        <f>F!D289</f>
        <v>0</v>
      </c>
      <c r="E55" s="1140">
        <v>4</v>
      </c>
      <c r="F55" s="1122">
        <f>D55*E55</f>
        <v>0</v>
      </c>
      <c r="G55" s="959"/>
      <c r="H55" s="1521"/>
    </row>
    <row r="56" spans="1:256" ht="27" customHeight="1" x14ac:dyDescent="0.25">
      <c r="A56" s="2115"/>
      <c r="B56" s="1521"/>
      <c r="C56" s="237" t="str">
        <f>F!C290</f>
        <v>Some (5-20%) bare ground or remaining thatch is visible.  Herbaceous plants have moderate stem densities and do not closely hug the ground.</v>
      </c>
      <c r="D56" s="1081">
        <f>F!D290</f>
        <v>0</v>
      </c>
      <c r="E56" s="1140">
        <v>3</v>
      </c>
      <c r="F56" s="1122">
        <f>D56*E56</f>
        <v>0</v>
      </c>
      <c r="G56" s="959"/>
      <c r="H56" s="1521"/>
    </row>
    <row r="57" spans="1:256" ht="27" customHeight="1" x14ac:dyDescent="0.25">
      <c r="A57" s="2115"/>
      <c r="B57" s="1521"/>
      <c r="C57" s="237" t="str">
        <f>F!C291</f>
        <v>Much (20-50%) bare ground or thatch is visible.  Low stem density and/or tall plants with little living ground cover during early growing season.</v>
      </c>
      <c r="D57" s="1081">
        <f>F!D291</f>
        <v>0</v>
      </c>
      <c r="E57" s="1140">
        <v>2</v>
      </c>
      <c r="F57" s="1122">
        <f>D57*E57</f>
        <v>0</v>
      </c>
      <c r="G57" s="959"/>
      <c r="H57" s="1521"/>
    </row>
    <row r="58" spans="1:256" ht="16.2" customHeight="1" x14ac:dyDescent="0.25">
      <c r="A58" s="2115"/>
      <c r="B58" s="1521"/>
      <c r="C58" s="237" t="str">
        <f>F!C292</f>
        <v>Mostly (&gt;50%) bare ground or thatch.</v>
      </c>
      <c r="D58" s="1081">
        <f>F!D292</f>
        <v>0</v>
      </c>
      <c r="E58" s="1140">
        <v>1</v>
      </c>
      <c r="F58" s="1122">
        <f>D58*E58</f>
        <v>0</v>
      </c>
      <c r="G58" s="959"/>
      <c r="H58" s="1521"/>
    </row>
    <row r="59" spans="1:256" ht="16.2" customHeight="1" thickBot="1" x14ac:dyDescent="0.3">
      <c r="A59" s="2116"/>
      <c r="B59" s="1523"/>
      <c r="C59" s="212" t="str">
        <f>F!C293</f>
        <v>Not applicable.  All of the AA is inundated throughout most years.</v>
      </c>
      <c r="D59" s="213">
        <f>F!D293</f>
        <v>0</v>
      </c>
      <c r="E59" s="1124"/>
      <c r="F59" s="1124"/>
      <c r="G59" s="958"/>
      <c r="H59" s="1523"/>
    </row>
    <row r="60" spans="1:256" s="366" customFormat="1" ht="36" customHeight="1" thickBot="1" x14ac:dyDescent="0.3">
      <c r="A60" s="1150" t="s">
        <v>126</v>
      </c>
      <c r="B60" s="1150" t="s">
        <v>1464</v>
      </c>
      <c r="C60" s="1346" t="s">
        <v>1271</v>
      </c>
      <c r="D60" s="1346" t="s">
        <v>115</v>
      </c>
      <c r="E60" s="863" t="s">
        <v>771</v>
      </c>
      <c r="F60" s="863" t="s">
        <v>1462</v>
      </c>
      <c r="G60" s="824" t="s">
        <v>770</v>
      </c>
      <c r="H60" s="363" t="s">
        <v>772</v>
      </c>
      <c r="T60" s="367"/>
      <c r="U60" s="367"/>
      <c r="V60" s="367"/>
      <c r="W60" s="368"/>
      <c r="X60" s="369"/>
      <c r="Y60" s="370"/>
      <c r="Z60" s="371"/>
      <c r="AA60" s="368"/>
      <c r="AB60" s="367"/>
      <c r="AC60" s="367"/>
      <c r="AD60" s="367"/>
      <c r="AE60" s="368"/>
      <c r="AF60" s="369"/>
      <c r="AG60" s="370"/>
      <c r="AH60" s="367"/>
      <c r="AI60" s="367"/>
      <c r="AJ60" s="368"/>
      <c r="AK60" s="369"/>
      <c r="AL60" s="370"/>
      <c r="AM60" s="371"/>
      <c r="AN60" s="368"/>
      <c r="AO60" s="367"/>
      <c r="AP60" s="367"/>
      <c r="AQ60" s="367"/>
      <c r="AR60" s="368"/>
      <c r="AS60" s="369"/>
      <c r="AT60" s="370"/>
      <c r="AU60" s="371"/>
      <c r="AV60" s="368"/>
      <c r="AW60" s="367"/>
      <c r="AX60" s="367"/>
      <c r="AY60" s="367"/>
      <c r="AZ60" s="368"/>
      <c r="BA60" s="369"/>
      <c r="BB60" s="370"/>
      <c r="BC60" s="371"/>
      <c r="BD60" s="368"/>
      <c r="BE60" s="367"/>
      <c r="BF60" s="367"/>
      <c r="BG60" s="367"/>
      <c r="BH60" s="368"/>
      <c r="BI60" s="369"/>
      <c r="BJ60" s="370"/>
      <c r="BK60" s="371"/>
      <c r="BL60" s="368"/>
      <c r="BM60" s="367"/>
      <c r="BN60" s="367"/>
      <c r="BO60" s="367"/>
      <c r="BP60" s="368"/>
      <c r="BQ60" s="369"/>
      <c r="BR60" s="370"/>
      <c r="BS60" s="371"/>
      <c r="BT60" s="368"/>
      <c r="BU60" s="367"/>
      <c r="BV60" s="367"/>
      <c r="BW60" s="367"/>
      <c r="BX60" s="368"/>
      <c r="BY60" s="369"/>
      <c r="BZ60" s="370"/>
      <c r="CA60" s="371"/>
      <c r="CB60" s="368"/>
      <c r="CC60" s="367"/>
      <c r="CD60" s="367"/>
      <c r="CE60" s="367"/>
      <c r="CF60" s="368"/>
      <c r="CG60" s="369"/>
      <c r="CH60" s="370"/>
      <c r="CI60" s="371"/>
      <c r="CJ60" s="368"/>
      <c r="CK60" s="367"/>
      <c r="CL60" s="367"/>
      <c r="CM60" s="367"/>
      <c r="CN60" s="368"/>
      <c r="CO60" s="369"/>
      <c r="CP60" s="370"/>
      <c r="CQ60" s="371"/>
      <c r="CR60" s="368"/>
      <c r="CS60" s="367"/>
      <c r="CT60" s="367"/>
      <c r="CU60" s="367"/>
      <c r="CV60" s="368"/>
      <c r="CW60" s="369"/>
      <c r="CX60" s="370"/>
      <c r="CY60" s="371"/>
      <c r="CZ60" s="368"/>
      <c r="DA60" s="367"/>
      <c r="DB60" s="367"/>
      <c r="DC60" s="367"/>
      <c r="DD60" s="368"/>
      <c r="DE60" s="369"/>
      <c r="DF60" s="370"/>
      <c r="DG60" s="371"/>
      <c r="DH60" s="368"/>
      <c r="DI60" s="367"/>
      <c r="DJ60" s="367"/>
      <c r="DK60" s="367"/>
      <c r="DL60" s="368"/>
      <c r="DM60" s="369"/>
      <c r="DN60" s="370"/>
      <c r="DO60" s="371"/>
      <c r="DP60" s="368"/>
      <c r="DQ60" s="367"/>
      <c r="DR60" s="367"/>
      <c r="DS60" s="367"/>
      <c r="DT60" s="368"/>
      <c r="DU60" s="369"/>
      <c r="DV60" s="370"/>
      <c r="DW60" s="371"/>
      <c r="DX60" s="368"/>
      <c r="DY60" s="367"/>
      <c r="DZ60" s="367"/>
      <c r="EA60" s="367"/>
      <c r="EB60" s="368"/>
      <c r="EC60" s="369"/>
      <c r="ED60" s="370"/>
      <c r="EE60" s="371"/>
      <c r="EF60" s="368"/>
      <c r="EG60" s="367"/>
      <c r="EH60" s="367"/>
      <c r="EI60" s="367"/>
      <c r="EJ60" s="368"/>
      <c r="EK60" s="369"/>
      <c r="EL60" s="370"/>
      <c r="EM60" s="371"/>
      <c r="EN60" s="368"/>
      <c r="EO60" s="367"/>
      <c r="EP60" s="367"/>
      <c r="EQ60" s="367"/>
      <c r="ER60" s="368"/>
      <c r="ES60" s="369"/>
      <c r="ET60" s="370"/>
      <c r="EU60" s="371"/>
      <c r="EV60" s="368"/>
      <c r="EW60" s="367"/>
      <c r="EX60" s="367"/>
      <c r="EY60" s="367"/>
      <c r="EZ60" s="368"/>
      <c r="FA60" s="369"/>
      <c r="FB60" s="370"/>
      <c r="FC60" s="371"/>
      <c r="FD60" s="368"/>
      <c r="FE60" s="367"/>
      <c r="FF60" s="367"/>
      <c r="FG60" s="367"/>
      <c r="FH60" s="368"/>
      <c r="FI60" s="369"/>
      <c r="FJ60" s="370"/>
      <c r="FK60" s="371"/>
      <c r="FL60" s="368"/>
      <c r="FM60" s="367"/>
      <c r="FN60" s="367"/>
      <c r="FO60" s="367"/>
      <c r="FP60" s="368"/>
      <c r="FQ60" s="369"/>
      <c r="FR60" s="370"/>
      <c r="FS60" s="371"/>
      <c r="FT60" s="368"/>
      <c r="FU60" s="367"/>
      <c r="FV60" s="367"/>
      <c r="FW60" s="367"/>
      <c r="FX60" s="368"/>
      <c r="FY60" s="369"/>
      <c r="FZ60" s="370"/>
      <c r="GA60" s="371"/>
      <c r="GB60" s="368"/>
      <c r="GC60" s="367"/>
      <c r="GD60" s="367"/>
      <c r="GE60" s="367"/>
      <c r="GF60" s="368"/>
      <c r="GG60" s="369"/>
      <c r="GH60" s="370"/>
      <c r="GI60" s="371"/>
      <c r="GJ60" s="368"/>
      <c r="GK60" s="367"/>
      <c r="GL60" s="367"/>
      <c r="GM60" s="367"/>
      <c r="GN60" s="368"/>
      <c r="GO60" s="369"/>
      <c r="GP60" s="370"/>
      <c r="GQ60" s="371"/>
      <c r="GR60" s="368"/>
      <c r="GS60" s="367"/>
      <c r="GT60" s="367"/>
      <c r="GU60" s="367"/>
      <c r="GV60" s="368"/>
      <c r="GW60" s="369"/>
      <c r="GX60" s="370"/>
      <c r="GY60" s="371"/>
      <c r="GZ60" s="368"/>
      <c r="HA60" s="367"/>
      <c r="HB60" s="367"/>
      <c r="HC60" s="367"/>
      <c r="HD60" s="368"/>
      <c r="HE60" s="369"/>
      <c r="HF60" s="370"/>
      <c r="HG60" s="371"/>
      <c r="HH60" s="368"/>
      <c r="HI60" s="367"/>
      <c r="HJ60" s="367"/>
      <c r="HK60" s="367"/>
      <c r="HL60" s="368"/>
      <c r="HM60" s="369"/>
      <c r="HN60" s="370"/>
      <c r="HO60" s="371"/>
      <c r="HP60" s="368"/>
      <c r="HQ60" s="367"/>
      <c r="HR60" s="367"/>
      <c r="HS60" s="367"/>
      <c r="HT60" s="368"/>
      <c r="HU60" s="369"/>
      <c r="HV60" s="370"/>
      <c r="HW60" s="371"/>
      <c r="HX60" s="368"/>
      <c r="HY60" s="367"/>
      <c r="HZ60" s="367"/>
      <c r="IA60" s="367"/>
      <c r="IB60" s="368"/>
      <c r="IC60" s="369"/>
      <c r="ID60" s="370"/>
      <c r="IE60" s="371"/>
      <c r="IF60" s="368"/>
      <c r="IG60" s="367"/>
      <c r="IH60" s="367"/>
      <c r="II60" s="367"/>
      <c r="IJ60" s="368"/>
      <c r="IK60" s="369"/>
      <c r="IL60" s="370"/>
      <c r="IM60" s="371"/>
      <c r="IN60" s="368"/>
      <c r="IO60" s="367"/>
      <c r="IP60" s="367"/>
      <c r="IQ60" s="367"/>
      <c r="IR60" s="368"/>
      <c r="IS60" s="369"/>
      <c r="IT60" s="370"/>
      <c r="IU60" s="371"/>
      <c r="IV60" s="368"/>
    </row>
    <row r="61" spans="1:256" s="2" customFormat="1" ht="45" customHeight="1" thickBot="1" x14ac:dyDescent="0.3">
      <c r="A61" s="1153" t="str">
        <f>OF!A87</f>
        <v>OF15</v>
      </c>
      <c r="B61" s="1522" t="str">
        <f>OF!B87</f>
        <v>Landscape Functional Deficit (GISscore)</v>
      </c>
      <c r="C61" s="4" t="str">
        <f>OF!C87</f>
        <v xml:space="preserve">In the ORWAP Report, find the AA's 12-digit HUC code.  Then, find that HUC code in the FuncDeficit worksheet in the accompanying Supp_Info file. Select All functions below that have a notation for that HUC code. </v>
      </c>
      <c r="D61" s="1139"/>
      <c r="E61" s="1114"/>
      <c r="F61" s="1114"/>
      <c r="G61" s="959"/>
      <c r="H61" s="1521" t="s">
        <v>674</v>
      </c>
    </row>
    <row r="62" spans="1:256" s="2" customFormat="1" ht="16.2" customHeight="1" thickBot="1" x14ac:dyDescent="0.3">
      <c r="A62" s="1347"/>
      <c r="B62" s="1521"/>
      <c r="C62" s="129" t="str">
        <f>OF!C91</f>
        <v>Thermoregulation (WC)</v>
      </c>
      <c r="D62" s="1276">
        <f>OF!D91</f>
        <v>0</v>
      </c>
      <c r="E62" s="1348"/>
      <c r="F62" s="1114"/>
      <c r="G62" s="1349">
        <f>IF((OF!D98=1),"",D62)</f>
        <v>0</v>
      </c>
      <c r="H62" s="1521"/>
    </row>
    <row r="63" spans="1:256" ht="45" customHeight="1" thickBot="1" x14ac:dyDescent="0.3">
      <c r="A63" s="974" t="str">
        <f>OF!A98</f>
        <v>OF16</v>
      </c>
      <c r="B63" s="4" t="str">
        <f>OF!B98</f>
        <v>Conservation Designations of the AA or Local Area (ConDesig)</v>
      </c>
      <c r="C63" s="127" t="str">
        <f>OF!C99</f>
        <v>The AA is within or connected to a stream or other water body and this stream or water body has been designated as ESH within 0.5 miles of the AA, according to the Essential Salmonid Habitat (ESH) layer.</v>
      </c>
      <c r="D63" s="1279">
        <f>OF!D99</f>
        <v>0</v>
      </c>
      <c r="E63" s="1350"/>
      <c r="F63" s="1154"/>
      <c r="G63" s="1351">
        <f>D63</f>
        <v>0</v>
      </c>
      <c r="H63" s="114" t="s">
        <v>332</v>
      </c>
    </row>
    <row r="64" spans="1:256" ht="75" customHeight="1" thickBot="1" x14ac:dyDescent="0.3">
      <c r="A64" s="1978" t="str">
        <f>OF!A163</f>
        <v>OF30</v>
      </c>
      <c r="B64" s="1522" t="str">
        <f>OF!B163</f>
        <v>Downslope Water Quality Issues (ContamDown)</v>
      </c>
      <c r="C64" s="75" t="str">
        <f>OF!C163</f>
        <v xml:space="preserve">According to ORWAP Map Viewer's  Water Quality Streams layer and Water Quality Lake map layer, ALL of the following are true: (a) within 1 mile downhill or downstream from the AA's edge, a water body is labeled as being 303d, Water Quality Limited (categories 3B-5); Potential Concern; or TMDL Approved AND  (b) the problem concerns one or more of the parameters listed below.  Select All that apply. </v>
      </c>
      <c r="D64" s="1113"/>
      <c r="E64" s="1121"/>
      <c r="F64" s="1121"/>
      <c r="G64" s="1336" t="str">
        <f>IF((OF!D170=1),"",IF((D65=1),1,""))</f>
        <v/>
      </c>
      <c r="H64" s="1522" t="s">
        <v>352</v>
      </c>
    </row>
    <row r="65" spans="1:8" ht="16.2" customHeight="1" thickBot="1" x14ac:dyDescent="0.3">
      <c r="A65" s="1980"/>
      <c r="B65" s="1523"/>
      <c r="C65" s="246" t="str">
        <f>OF!C168</f>
        <v>Temperature or dissolved oxygen.</v>
      </c>
      <c r="D65" s="1321">
        <f>OF!D168</f>
        <v>0</v>
      </c>
      <c r="E65" s="1030"/>
      <c r="F65" s="1030"/>
      <c r="G65" s="958"/>
      <c r="H65" s="1523"/>
    </row>
    <row r="66" spans="1:8" ht="21" customHeight="1" thickBot="1" x14ac:dyDescent="0.3">
      <c r="A66" s="1979" t="str">
        <f>OF!A170</f>
        <v>OF31</v>
      </c>
      <c r="B66" s="1521" t="str">
        <f>OF!B170</f>
        <v>Duration of Connection Beween AA &amp; Water Quality Problem Area (ConnDown)</v>
      </c>
      <c r="C66" s="714" t="str">
        <f>OF!C170</f>
        <v xml:space="preserve">The connection between the downstream problem area mentioned above (OF30) and the AA: </v>
      </c>
      <c r="D66" s="1139"/>
      <c r="E66" s="1141"/>
      <c r="F66" s="1141"/>
      <c r="G66" s="1337" t="str">
        <f>IF((D65=1), MAX(F67:F69)/MAX(E67:E69),"")</f>
        <v/>
      </c>
      <c r="H66" s="1521" t="s">
        <v>353</v>
      </c>
    </row>
    <row r="67" spans="1:8" ht="16.2" customHeight="1" x14ac:dyDescent="0.25">
      <c r="A67" s="1979"/>
      <c r="B67" s="1521"/>
      <c r="C67" s="236" t="str">
        <f>OF!C171</f>
        <v>Is a stream or water body that connects these areas for 9 or more continuous months annually.</v>
      </c>
      <c r="D67" s="1304">
        <f>OF!D171</f>
        <v>0</v>
      </c>
      <c r="E67" s="1114">
        <v>3</v>
      </c>
      <c r="F67" s="1114">
        <f>D67*E67</f>
        <v>0</v>
      </c>
      <c r="G67" s="959"/>
      <c r="H67" s="1521"/>
    </row>
    <row r="68" spans="1:8" ht="27" customHeight="1" x14ac:dyDescent="0.25">
      <c r="A68" s="1979"/>
      <c r="B68" s="1521"/>
      <c r="C68" s="237" t="str">
        <f>OF!C172</f>
        <v>Is a stream or water body that connects these areas intermittently (at least once annually, but for less than 9 months continually).</v>
      </c>
      <c r="D68" s="1081">
        <f>OF!D172</f>
        <v>0</v>
      </c>
      <c r="E68" s="1114">
        <v>2</v>
      </c>
      <c r="F68" s="1114">
        <f>D68*E68</f>
        <v>0</v>
      </c>
      <c r="G68" s="959"/>
      <c r="H68" s="1521"/>
    </row>
    <row r="69" spans="1:8" ht="29.25" customHeight="1" thickBot="1" x14ac:dyDescent="0.3">
      <c r="A69" s="1979"/>
      <c r="B69" s="1521"/>
      <c r="C69" s="1275" t="str">
        <f>OF!C173</f>
        <v>Is a probable groundwater connection, or connection via direct runoff only (no channel connection).</v>
      </c>
      <c r="D69" s="1276">
        <f>OF!D173</f>
        <v>0</v>
      </c>
      <c r="E69" s="1114">
        <v>0</v>
      </c>
      <c r="F69" s="1114">
        <f>D69*E69</f>
        <v>0</v>
      </c>
      <c r="G69" s="959"/>
      <c r="H69" s="1521"/>
    </row>
    <row r="70" spans="1:8" s="2" customFormat="1" ht="30" customHeight="1" thickBot="1" x14ac:dyDescent="0.3">
      <c r="A70" s="1978" t="str">
        <f>OF!A183</f>
        <v>OF34</v>
      </c>
      <c r="B70" s="1522" t="str">
        <f>OF!B183</f>
        <v>Relative Elevation in Watershed (Elev)</v>
      </c>
      <c r="C70" s="4" t="str">
        <f>OF!C183</f>
        <v>In the ORWAP Map Viewer, based on the Hydrologic Boundaries 4th Level (HUC 8) layer (under Watersheds), determine if the AA is:          (See Column E)</v>
      </c>
      <c r="D70" s="1139"/>
      <c r="E70" s="1121"/>
      <c r="F70" s="1121"/>
      <c r="G70" s="1336">
        <f>MAX(F71:F73)/ MAX(E71:E73)</f>
        <v>0</v>
      </c>
      <c r="H70" s="1547" t="s">
        <v>158</v>
      </c>
    </row>
    <row r="71" spans="1:8" s="2" customFormat="1" ht="16.2" customHeight="1" x14ac:dyDescent="0.25">
      <c r="A71" s="1979"/>
      <c r="B71" s="1521"/>
      <c r="C71" s="236" t="str">
        <f>OF!C184</f>
        <v>In the upper one-third of its watershed.</v>
      </c>
      <c r="D71" s="1304">
        <f>OF!D184</f>
        <v>0</v>
      </c>
      <c r="E71" s="1114">
        <v>0</v>
      </c>
      <c r="F71" s="1114">
        <f>D71*E71</f>
        <v>0</v>
      </c>
      <c r="G71" s="959"/>
      <c r="H71" s="1548"/>
    </row>
    <row r="72" spans="1:8" s="2" customFormat="1" ht="16.2" customHeight="1" x14ac:dyDescent="0.25">
      <c r="A72" s="1979"/>
      <c r="B72" s="1521"/>
      <c r="C72" s="237" t="str">
        <f>OF!C185</f>
        <v>In the middle one-third of its watershed.</v>
      </c>
      <c r="D72" s="1081">
        <f>OF!D185</f>
        <v>0</v>
      </c>
      <c r="E72" s="1114">
        <v>1</v>
      </c>
      <c r="F72" s="1114">
        <f>D72*E72</f>
        <v>0</v>
      </c>
      <c r="G72" s="959"/>
      <c r="H72" s="1548"/>
    </row>
    <row r="73" spans="1:8" s="2" customFormat="1" ht="16.2" customHeight="1" thickBot="1" x14ac:dyDescent="0.3">
      <c r="A73" s="1980"/>
      <c r="B73" s="1523"/>
      <c r="C73" s="212" t="str">
        <f>OF!C186</f>
        <v>In the lower one-third of its watershed.</v>
      </c>
      <c r="D73" s="213">
        <f>OF!D186</f>
        <v>0</v>
      </c>
      <c r="E73" s="1030">
        <v>2</v>
      </c>
      <c r="F73" s="1030">
        <f>D73*E73</f>
        <v>0</v>
      </c>
      <c r="G73" s="958"/>
      <c r="H73" s="1549"/>
    </row>
    <row r="74" spans="1:8" s="2" customFormat="1" ht="60" customHeight="1" thickBot="1" x14ac:dyDescent="0.3">
      <c r="A74" s="1979" t="str">
        <f>OF!A187</f>
        <v>OF35</v>
      </c>
      <c r="B74" s="1521" t="str">
        <f>OF!B187</f>
        <v>Runoff Contributing Area (RCA) - Wetland as % of (WetPctRCA)</v>
      </c>
      <c r="C74" s="727" t="str">
        <f>OF!C187</f>
        <v>Delimit the wetland's Runoff Contributing Area (RCA) using a topographic base map.  The area of the AA's wetland is:</v>
      </c>
      <c r="D74" s="1139"/>
      <c r="E74" s="1141"/>
      <c r="F74" s="1141"/>
      <c r="G74" s="1337">
        <f>MAX(F75:F78)/ MAX(E75:E78)</f>
        <v>0</v>
      </c>
      <c r="H74" s="1521" t="s">
        <v>1549</v>
      </c>
    </row>
    <row r="75" spans="1:8" s="2" customFormat="1" ht="16.2" customHeight="1" x14ac:dyDescent="0.25">
      <c r="A75" s="1979"/>
      <c r="B75" s="1521"/>
      <c r="C75" s="1310" t="str">
        <f>OF!C188</f>
        <v>&lt;1% of its RCA.</v>
      </c>
      <c r="D75" s="1304">
        <f>OF!D188</f>
        <v>0</v>
      </c>
      <c r="E75" s="1114">
        <v>0</v>
      </c>
      <c r="F75" s="1114">
        <f>D75*E75</f>
        <v>0</v>
      </c>
      <c r="G75" s="959"/>
      <c r="H75" s="1521"/>
    </row>
    <row r="76" spans="1:8" s="2" customFormat="1" ht="16.2" customHeight="1" x14ac:dyDescent="0.25">
      <c r="A76" s="1979"/>
      <c r="B76" s="1521"/>
      <c r="C76" s="1311" t="str">
        <f>OF!C189</f>
        <v>1 to &lt;10% of its RCA.</v>
      </c>
      <c r="D76" s="1081">
        <f>OF!D189</f>
        <v>0</v>
      </c>
      <c r="E76" s="1114">
        <v>1</v>
      </c>
      <c r="F76" s="1114">
        <f>D76*E76</f>
        <v>0</v>
      </c>
      <c r="G76" s="959"/>
      <c r="H76" s="1521"/>
    </row>
    <row r="77" spans="1:8" s="2" customFormat="1" ht="16.2" customHeight="1" x14ac:dyDescent="0.25">
      <c r="A77" s="1979"/>
      <c r="B77" s="1521"/>
      <c r="C77" s="1311" t="str">
        <f>OF!C190</f>
        <v>10 to 100% of its RCA.</v>
      </c>
      <c r="D77" s="1081">
        <f>OF!D190</f>
        <v>0</v>
      </c>
      <c r="E77" s="1114">
        <v>2</v>
      </c>
      <c r="F77" s="1114">
        <f>D77*E77</f>
        <v>0</v>
      </c>
      <c r="G77" s="959"/>
      <c r="H77" s="1521"/>
    </row>
    <row r="78" spans="1:8" s="2" customFormat="1" ht="16.2" customHeight="1" thickBot="1" x14ac:dyDescent="0.3">
      <c r="A78" s="1979"/>
      <c r="B78" s="1521"/>
      <c r="C78" s="1307" t="str">
        <f>OF!C191</f>
        <v>Larger than the area of its RCA.  Enter 1 and SKIP TO OF39.</v>
      </c>
      <c r="D78" s="1276">
        <f>OF!D191</f>
        <v>0</v>
      </c>
      <c r="E78" s="1114">
        <v>3</v>
      </c>
      <c r="F78" s="1114">
        <f>D78*E78</f>
        <v>0</v>
      </c>
      <c r="G78" s="959"/>
      <c r="H78" s="1521"/>
    </row>
    <row r="79" spans="1:8" s="2" customFormat="1" ht="30" customHeight="1" thickBot="1" x14ac:dyDescent="0.3">
      <c r="A79" s="1978" t="str">
        <f>OF!A192</f>
        <v>OF36</v>
      </c>
      <c r="B79" s="1522" t="str">
        <f>OF!B192</f>
        <v>Unvegetated % in the RCA (ImpervRCA)</v>
      </c>
      <c r="C79" s="4" t="str">
        <f>OF!C192</f>
        <v>The proportion of the RCA comprised of buildings, roads, parking lots, exposed bedrock, and other surface that is usually unvegetated at the time of peak annual runoff is about:</v>
      </c>
      <c r="D79" s="1139"/>
      <c r="E79" s="1121"/>
      <c r="F79" s="1121"/>
      <c r="G79" s="810">
        <f>IF((NoRCA=1),"",MAX(F80:F82)/MAX(E80:E82))</f>
        <v>0</v>
      </c>
      <c r="H79" s="1522" t="s">
        <v>1548</v>
      </c>
    </row>
    <row r="80" spans="1:8" s="2" customFormat="1" ht="16.2" customHeight="1" x14ac:dyDescent="0.25">
      <c r="A80" s="1979"/>
      <c r="B80" s="1521"/>
      <c r="C80" s="393" t="str">
        <f>OF!C193</f>
        <v>&lt;10%.</v>
      </c>
      <c r="D80" s="1306">
        <f>OF!D193</f>
        <v>0</v>
      </c>
      <c r="E80" s="1114">
        <v>0</v>
      </c>
      <c r="F80" s="1114">
        <f>D80*E80</f>
        <v>0</v>
      </c>
      <c r="G80" s="959"/>
      <c r="H80" s="1521"/>
    </row>
    <row r="81" spans="1:8" s="2" customFormat="1" ht="16.2" customHeight="1" x14ac:dyDescent="0.25">
      <c r="A81" s="1979"/>
      <c r="B81" s="1521"/>
      <c r="C81" s="1275" t="str">
        <f>OF!C194</f>
        <v>10 to 25%.</v>
      </c>
      <c r="D81" s="1276">
        <f>OF!D194</f>
        <v>0</v>
      </c>
      <c r="E81" s="1114">
        <v>2</v>
      </c>
      <c r="F81" s="1114">
        <f>D81*E81</f>
        <v>0</v>
      </c>
      <c r="G81" s="959"/>
      <c r="H81" s="1521"/>
    </row>
    <row r="82" spans="1:8" s="2" customFormat="1" ht="16.2" customHeight="1" thickBot="1" x14ac:dyDescent="0.3">
      <c r="A82" s="1980"/>
      <c r="B82" s="1523"/>
      <c r="C82" s="212" t="str">
        <f>OF!C195</f>
        <v>&gt;25%.</v>
      </c>
      <c r="D82" s="213">
        <f>OF!D195</f>
        <v>0</v>
      </c>
      <c r="E82" s="1030">
        <v>3</v>
      </c>
      <c r="F82" s="1030">
        <f>D82*E82</f>
        <v>0</v>
      </c>
      <c r="G82" s="958"/>
      <c r="H82" s="1523"/>
    </row>
    <row r="83" spans="1:8" s="2" customFormat="1" ht="60" customHeight="1" thickBot="1" x14ac:dyDescent="0.3">
      <c r="A83" s="1979" t="str">
        <f>OF!A206</f>
        <v>OF39</v>
      </c>
      <c r="B83" s="1521" t="str">
        <f>OF!B206</f>
        <v>Streamflow Contributing Area (SCA) - Wetland as % of (WetPctSCA)</v>
      </c>
      <c r="C83" s="727" t="str">
        <f>OF!C206</f>
        <v>Delimit (or visualize, for large river basins) the wetland's Streamflow Contributing Area (SCA) using a topographic base map. The area of the AA's wetland is:</v>
      </c>
      <c r="D83" s="1139"/>
      <c r="E83" s="1141"/>
      <c r="F83" s="1141"/>
      <c r="G83" s="1337">
        <f>IF((NoSCA=1),"",MAX(F84:F87)/ MAX(E84:E87))</f>
        <v>0</v>
      </c>
      <c r="H83" s="1521" t="s">
        <v>1549</v>
      </c>
    </row>
    <row r="84" spans="1:8" s="2" customFormat="1" ht="16.2" customHeight="1" x14ac:dyDescent="0.25">
      <c r="A84" s="1979"/>
      <c r="B84" s="1521"/>
      <c r="C84" s="1310" t="str">
        <f>OF!C207</f>
        <v>&lt;1% of its SCA, or wetland is in the floodplain of a major river.</v>
      </c>
      <c r="D84" s="1304">
        <f>OF!D207</f>
        <v>0</v>
      </c>
      <c r="E84" s="1114">
        <v>0</v>
      </c>
      <c r="F84" s="1114">
        <f>D84*E84</f>
        <v>0</v>
      </c>
      <c r="G84" s="959"/>
      <c r="H84" s="1521"/>
    </row>
    <row r="85" spans="1:8" s="2" customFormat="1" ht="16.2" customHeight="1" x14ac:dyDescent="0.25">
      <c r="A85" s="1979"/>
      <c r="B85" s="1521"/>
      <c r="C85" s="1311" t="str">
        <f>OF!C208</f>
        <v>1 to &lt;10% of its SCA.</v>
      </c>
      <c r="D85" s="1081">
        <f>OF!D208</f>
        <v>0</v>
      </c>
      <c r="E85" s="1114">
        <v>1</v>
      </c>
      <c r="F85" s="1114">
        <f>D85*E85</f>
        <v>0</v>
      </c>
      <c r="G85" s="959"/>
      <c r="H85" s="1521"/>
    </row>
    <row r="86" spans="1:8" s="2" customFormat="1" ht="16.2" customHeight="1" x14ac:dyDescent="0.25">
      <c r="A86" s="1979"/>
      <c r="B86" s="1521"/>
      <c r="C86" s="1311" t="str">
        <f>OF!C209</f>
        <v>10 to 100% of its SCA.</v>
      </c>
      <c r="D86" s="1081">
        <f>OF!D209</f>
        <v>0</v>
      </c>
      <c r="E86" s="1114">
        <v>2</v>
      </c>
      <c r="F86" s="1114">
        <f>D86*E86</f>
        <v>0</v>
      </c>
      <c r="G86" s="959"/>
      <c r="H86" s="1521"/>
    </row>
    <row r="87" spans="1:8" s="2" customFormat="1" ht="16.2" customHeight="1" thickBot="1" x14ac:dyDescent="0.3">
      <c r="A87" s="1979"/>
      <c r="B87" s="1521"/>
      <c r="C87" s="1307" t="str">
        <f>OF!C210</f>
        <v>Larger than the area of its SCA.  Enter 1 and SKIP TO OF41.</v>
      </c>
      <c r="D87" s="1276">
        <f>OF!D210</f>
        <v>0</v>
      </c>
      <c r="E87" s="1114">
        <v>3</v>
      </c>
      <c r="F87" s="1114">
        <f>D87*E87</f>
        <v>0</v>
      </c>
      <c r="G87" s="959"/>
      <c r="H87" s="1521"/>
    </row>
    <row r="88" spans="1:8" s="2" customFormat="1" ht="30" customHeight="1" thickBot="1" x14ac:dyDescent="0.3">
      <c r="A88" s="1978" t="str">
        <f>OF!A212</f>
        <v>OF40</v>
      </c>
      <c r="B88" s="1522" t="str">
        <f>OF!B212</f>
        <v>Unvegetated % in the SCA (ImpervSCA)</v>
      </c>
      <c r="C88" s="4" t="str">
        <f>OF!C212</f>
        <v>The proportion of the SCA comprised of buildings, roads, parking lots, exposed bedrock, and other surface that is usually unvegetated at the time of peak annual runoff is about :</v>
      </c>
      <c r="D88" s="1139"/>
      <c r="E88" s="1121"/>
      <c r="F88" s="1121"/>
      <c r="G88" s="810">
        <f>IF((NoSCA=1),"",IF((NoSCA1=1),"", MAX(F89:F91)/MAX(E89:E91)))</f>
        <v>0</v>
      </c>
      <c r="H88" s="1522" t="s">
        <v>354</v>
      </c>
    </row>
    <row r="89" spans="1:8" s="2" customFormat="1" ht="17.25" customHeight="1" x14ac:dyDescent="0.25">
      <c r="A89" s="1979"/>
      <c r="B89" s="1521"/>
      <c r="C89" s="236" t="str">
        <f>OF!C213</f>
        <v>&lt;10%.</v>
      </c>
      <c r="D89" s="1304">
        <f>OF!D213</f>
        <v>0</v>
      </c>
      <c r="E89" s="1114">
        <v>0</v>
      </c>
      <c r="F89" s="1114">
        <f t="shared" ref="F89:F104" si="4">D89*E89</f>
        <v>0</v>
      </c>
      <c r="G89" s="959"/>
      <c r="H89" s="1521"/>
    </row>
    <row r="90" spans="1:8" s="2" customFormat="1" ht="17.25" customHeight="1" x14ac:dyDescent="0.25">
      <c r="A90" s="1979"/>
      <c r="B90" s="1521"/>
      <c r="C90" s="237" t="str">
        <f>OF!C214</f>
        <v>10 to 25%.</v>
      </c>
      <c r="D90" s="1081">
        <f>OF!D214</f>
        <v>0</v>
      </c>
      <c r="E90" s="1114">
        <v>2</v>
      </c>
      <c r="F90" s="1114">
        <f t="shared" si="4"/>
        <v>0</v>
      </c>
      <c r="G90" s="959"/>
      <c r="H90" s="1521"/>
    </row>
    <row r="91" spans="1:8" s="2" customFormat="1" ht="17.25" customHeight="1" thickBot="1" x14ac:dyDescent="0.3">
      <c r="A91" s="1980"/>
      <c r="B91" s="1523"/>
      <c r="C91" s="212" t="str">
        <f>OF!C215</f>
        <v>&gt;25%.</v>
      </c>
      <c r="D91" s="213">
        <f>OF!D215</f>
        <v>0</v>
      </c>
      <c r="E91" s="1030">
        <v>3</v>
      </c>
      <c r="F91" s="1030">
        <f t="shared" si="4"/>
        <v>0</v>
      </c>
      <c r="G91" s="958"/>
      <c r="H91" s="1523"/>
    </row>
    <row r="92" spans="1:8" s="2" customFormat="1" ht="45" customHeight="1" thickBot="1" x14ac:dyDescent="0.3">
      <c r="A92" s="1979" t="str">
        <f>OF!A220</f>
        <v>OF42</v>
      </c>
      <c r="B92" s="1521" t="str">
        <f>OF!B220</f>
        <v>Zoning (Zoning)</v>
      </c>
      <c r="C92" s="727" t="str">
        <f>OF!C220</f>
        <v>According to ORWAP Map Viewer's Oregon Zoning layer, the dominant zoned land use designation for currently undeveloped parcels upslope from the AA and within 300 ft. of its upland edge is:</v>
      </c>
      <c r="D92" s="1139"/>
      <c r="E92" s="1141"/>
      <c r="F92" s="1141"/>
      <c r="G92" s="811">
        <f>IF((D96=1),"",MAX(F93:F96)/MAX(E93:E96))</f>
        <v>0</v>
      </c>
      <c r="H92" s="1521" t="s">
        <v>366</v>
      </c>
    </row>
    <row r="93" spans="1:8" s="2" customFormat="1" ht="27" customHeight="1" x14ac:dyDescent="0.25">
      <c r="A93" s="1979"/>
      <c r="B93" s="1521"/>
      <c r="C93" s="1310" t="str">
        <f>OF!C221</f>
        <v>Development (Commercial, Industrial, Urban Residential, etc.), or no undeveloped parcels exist upslope from the AA.</v>
      </c>
      <c r="D93" s="1304">
        <f>OF!D221</f>
        <v>0</v>
      </c>
      <c r="E93" s="1114">
        <v>2</v>
      </c>
      <c r="F93" s="1114">
        <f t="shared" si="4"/>
        <v>0</v>
      </c>
      <c r="G93" s="959"/>
      <c r="H93" s="1521"/>
    </row>
    <row r="94" spans="1:8" s="2" customFormat="1" ht="16.2" customHeight="1" x14ac:dyDescent="0.25">
      <c r="A94" s="1979"/>
      <c r="B94" s="1521"/>
      <c r="C94" s="1311" t="str">
        <f>OF!C222</f>
        <v>Agriculture or Rural Residential.</v>
      </c>
      <c r="D94" s="1081">
        <f>OF!D222</f>
        <v>0</v>
      </c>
      <c r="E94" s="1114">
        <v>1</v>
      </c>
      <c r="F94" s="1114">
        <f t="shared" si="4"/>
        <v>0</v>
      </c>
      <c r="G94" s="959"/>
      <c r="H94" s="1521"/>
    </row>
    <row r="95" spans="1:8" s="2" customFormat="1" ht="16.2" customHeight="1" x14ac:dyDescent="0.25">
      <c r="A95" s="1979"/>
      <c r="B95" s="1521"/>
      <c r="C95" s="1311" t="str">
        <f>OF!C223</f>
        <v>Forest or Open Space, or entirely public lands.</v>
      </c>
      <c r="D95" s="1081">
        <f>OF!D223</f>
        <v>0</v>
      </c>
      <c r="E95" s="1114">
        <v>0</v>
      </c>
      <c r="F95" s="1114">
        <f t="shared" si="4"/>
        <v>0</v>
      </c>
      <c r="G95" s="959"/>
      <c r="H95" s="1521"/>
    </row>
    <row r="96" spans="1:8" s="2" customFormat="1" ht="16.2" customHeight="1" thickBot="1" x14ac:dyDescent="0.3">
      <c r="A96" s="1979"/>
      <c r="B96" s="1521"/>
      <c r="C96" s="1307" t="str">
        <f>OF!C224</f>
        <v>Not zoned, or no information.</v>
      </c>
      <c r="D96" s="1276">
        <f>OF!D224</f>
        <v>0</v>
      </c>
      <c r="E96" s="1114"/>
      <c r="F96" s="1114"/>
      <c r="G96" s="959"/>
      <c r="H96" s="1521"/>
    </row>
    <row r="97" spans="1:8" ht="30" customHeight="1" thickBot="1" x14ac:dyDescent="0.3">
      <c r="A97" s="1978" t="str">
        <f>OF!A225</f>
        <v>OF43</v>
      </c>
      <c r="B97" s="1522" t="str">
        <f>OF!B225</f>
        <v>Growing Degree Days (GDD)</v>
      </c>
      <c r="C97" s="114" t="str">
        <f>OF!C225</f>
        <v xml:space="preserve">According to ORWAP Map Viewer's Growing Degree Days layer,  the long term normal Growing Degree Days category at the approximate location of the AA is: </v>
      </c>
      <c r="D97" s="1139"/>
      <c r="E97" s="1121"/>
      <c r="F97" s="1121"/>
      <c r="G97" s="1351">
        <f>MAX(F98:F104)/MAX(E98:E104)</f>
        <v>0</v>
      </c>
      <c r="H97" s="1522" t="s">
        <v>206</v>
      </c>
    </row>
    <row r="98" spans="1:8" ht="16.2" customHeight="1" x14ac:dyDescent="0.25">
      <c r="A98" s="1979"/>
      <c r="B98" s="1521"/>
      <c r="C98" s="1352" t="str">
        <f>OF!C226</f>
        <v>&lt;256.</v>
      </c>
      <c r="D98" s="1304">
        <f>OF!D226</f>
        <v>0</v>
      </c>
      <c r="E98" s="1114">
        <v>0</v>
      </c>
      <c r="F98" s="1114">
        <f t="shared" si="4"/>
        <v>0</v>
      </c>
      <c r="G98" s="994"/>
      <c r="H98" s="1521"/>
    </row>
    <row r="99" spans="1:8" ht="16.2" customHeight="1" x14ac:dyDescent="0.25">
      <c r="A99" s="1979"/>
      <c r="B99" s="1521"/>
      <c r="C99" s="1353" t="str">
        <f>OF!C227</f>
        <v>256 - 1020.</v>
      </c>
      <c r="D99" s="1081">
        <f>OF!D227</f>
        <v>0</v>
      </c>
      <c r="E99" s="1114">
        <v>1</v>
      </c>
      <c r="F99" s="1114">
        <f t="shared" si="4"/>
        <v>0</v>
      </c>
      <c r="G99" s="959"/>
      <c r="H99" s="1521"/>
    </row>
    <row r="100" spans="1:8" ht="16.2" customHeight="1" x14ac:dyDescent="0.25">
      <c r="A100" s="1979"/>
      <c r="B100" s="1521"/>
      <c r="C100" s="1353" t="str">
        <f>OF!C228</f>
        <v>1021-1785.</v>
      </c>
      <c r="D100" s="1081">
        <f>OF!D228</f>
        <v>0</v>
      </c>
      <c r="E100" s="1114">
        <v>2</v>
      </c>
      <c r="F100" s="1114">
        <f t="shared" si="4"/>
        <v>0</v>
      </c>
      <c r="G100" s="959"/>
      <c r="H100" s="1521"/>
    </row>
    <row r="101" spans="1:8" ht="16.2" customHeight="1" x14ac:dyDescent="0.25">
      <c r="A101" s="1979"/>
      <c r="B101" s="1521"/>
      <c r="C101" s="1353" t="str">
        <f>OF!C229</f>
        <v>1786 - 2550.</v>
      </c>
      <c r="D101" s="1081">
        <f>OF!D229</f>
        <v>0</v>
      </c>
      <c r="E101" s="1114">
        <v>3</v>
      </c>
      <c r="F101" s="1114">
        <f t="shared" si="4"/>
        <v>0</v>
      </c>
      <c r="G101" s="959"/>
      <c r="H101" s="1521"/>
    </row>
    <row r="102" spans="1:8" ht="16.2" customHeight="1" x14ac:dyDescent="0.25">
      <c r="A102" s="1979"/>
      <c r="B102" s="1521"/>
      <c r="C102" s="1353" t="str">
        <f>OF!C230</f>
        <v>2551 - 3315.</v>
      </c>
      <c r="D102" s="1081">
        <f>OF!D230</f>
        <v>0</v>
      </c>
      <c r="E102" s="1114">
        <v>4</v>
      </c>
      <c r="F102" s="1114">
        <f t="shared" si="4"/>
        <v>0</v>
      </c>
      <c r="G102" s="959"/>
      <c r="H102" s="1521"/>
    </row>
    <row r="103" spans="1:8" ht="16.2" customHeight="1" x14ac:dyDescent="0.25">
      <c r="A103" s="1979"/>
      <c r="B103" s="1521"/>
      <c r="C103" s="1353" t="str">
        <f>OF!C231</f>
        <v>3316 - 4079.</v>
      </c>
      <c r="D103" s="1081">
        <f>OF!D231</f>
        <v>0</v>
      </c>
      <c r="E103" s="1114">
        <v>5</v>
      </c>
      <c r="F103" s="1114">
        <f t="shared" si="4"/>
        <v>0</v>
      </c>
      <c r="G103" s="959"/>
      <c r="H103" s="1521"/>
    </row>
    <row r="104" spans="1:8" ht="16.2" customHeight="1" thickBot="1" x14ac:dyDescent="0.3">
      <c r="A104" s="1980"/>
      <c r="B104" s="1523"/>
      <c r="C104" s="1354" t="str">
        <f>OF!C232</f>
        <v>&gt; 4079.</v>
      </c>
      <c r="D104" s="213">
        <f>OF!D232</f>
        <v>0</v>
      </c>
      <c r="E104" s="1030">
        <v>6</v>
      </c>
      <c r="F104" s="1030">
        <f t="shared" si="4"/>
        <v>0</v>
      </c>
      <c r="G104" s="958"/>
      <c r="H104" s="1523"/>
    </row>
    <row r="105" spans="1:8" ht="83.25" customHeight="1" thickBot="1" x14ac:dyDescent="0.3">
      <c r="A105" s="2123" t="str">
        <f>F!A162</f>
        <v>F31</v>
      </c>
      <c r="B105" s="1689" t="str">
        <f>F!B162</f>
        <v>Outflow Duration (OutDura)</v>
      </c>
      <c r="C105" s="1123"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105" s="1139"/>
      <c r="E105" s="1141"/>
      <c r="F105" s="1141"/>
      <c r="G105" s="1355">
        <f>MAX(F106:F109)/ MAX(E106:E109)</f>
        <v>0</v>
      </c>
      <c r="H105" s="1576" t="s">
        <v>160</v>
      </c>
    </row>
    <row r="106" spans="1:8" ht="16.2" customHeight="1" x14ac:dyDescent="0.25">
      <c r="A106" s="2123"/>
      <c r="B106" s="1689"/>
      <c r="C106" s="1356" t="str">
        <f>F!C163</f>
        <v>Persistent (&gt;9 months/year).</v>
      </c>
      <c r="D106" s="1357">
        <f>F!D163</f>
        <v>0</v>
      </c>
      <c r="E106" s="1114">
        <v>5</v>
      </c>
      <c r="F106" s="1114">
        <f>D106*E106</f>
        <v>0</v>
      </c>
      <c r="G106" s="959"/>
      <c r="H106" s="1548"/>
    </row>
    <row r="107" spans="1:8" ht="16.2" customHeight="1" x14ac:dyDescent="0.25">
      <c r="A107" s="2123"/>
      <c r="B107" s="1689"/>
      <c r="C107" s="1358" t="str">
        <f>F!C164</f>
        <v>Seasonal (14 days to 9 months/year, not necessarily consecutive).</v>
      </c>
      <c r="D107" s="1359">
        <f>F!D164</f>
        <v>0</v>
      </c>
      <c r="E107" s="1114">
        <v>2</v>
      </c>
      <c r="F107" s="1114">
        <f>D107*E107</f>
        <v>0</v>
      </c>
      <c r="G107" s="959"/>
      <c r="H107" s="1548"/>
    </row>
    <row r="108" spans="1:8" ht="16.2" customHeight="1" x14ac:dyDescent="0.25">
      <c r="A108" s="2123"/>
      <c r="B108" s="1689"/>
      <c r="C108" s="1358" t="str">
        <f>F!C165</f>
        <v>Temporary (&lt;14 days, not necessarily consecutive).</v>
      </c>
      <c r="D108" s="1359">
        <f>F!D165</f>
        <v>0</v>
      </c>
      <c r="E108" s="1114">
        <v>1</v>
      </c>
      <c r="F108" s="1114">
        <f>D108*E108</f>
        <v>0</v>
      </c>
      <c r="G108" s="959"/>
      <c r="H108" s="1548"/>
    </row>
    <row r="109" spans="1:8" ht="42" customHeight="1" thickBot="1" x14ac:dyDescent="0.3">
      <c r="A109" s="2123"/>
      <c r="B109" s="1689"/>
      <c r="C109" s="1360" t="str">
        <f>F!C166</f>
        <v xml:space="preserve">None -- no surface water flows out of the wetland except possibly during extreme events (&lt;once per 10 years). Or, water flows only into a wetland, ditch, or lake that lacks an outlet. Enter 1  and SKIP TO F33. </v>
      </c>
      <c r="D109" s="1318">
        <f>F!D166</f>
        <v>0</v>
      </c>
      <c r="E109" s="1114">
        <v>0</v>
      </c>
      <c r="F109" s="1114">
        <f>D109*E109</f>
        <v>0</v>
      </c>
      <c r="G109" s="959"/>
      <c r="H109" s="1818"/>
    </row>
    <row r="110" spans="1:8" ht="30" customHeight="1" thickBot="1" x14ac:dyDescent="0.3">
      <c r="A110" s="2009" t="str">
        <f>F!A260</f>
        <v>F52</v>
      </c>
      <c r="B110" s="1599" t="str">
        <f>F!B260</f>
        <v>Upland Perennial Cover - % of Perimeter (PerimPctPer)</v>
      </c>
      <c r="C110" s="4" t="str">
        <f>F!C260</f>
        <v xml:space="preserve">The percentage of the AA's edge (perimeter) that is comprised of a band of upland perennial cover wider than 10 ft and taller than 6 inches, during most of the growing season is:  </v>
      </c>
      <c r="D110" s="1139"/>
      <c r="E110" s="1121"/>
      <c r="F110" s="1121"/>
      <c r="G110" s="813">
        <f>MAX(F111:F116)/MAX(E111:E116)</f>
        <v>0</v>
      </c>
      <c r="H110" s="1522" t="s">
        <v>1775</v>
      </c>
    </row>
    <row r="111" spans="1:8" ht="16.2" customHeight="1" x14ac:dyDescent="0.25">
      <c r="A111" s="1934"/>
      <c r="B111" s="1582"/>
      <c r="C111" s="393" t="str">
        <f>F!C261</f>
        <v>&lt;5%.</v>
      </c>
      <c r="D111" s="1306">
        <f>F!D261</f>
        <v>0</v>
      </c>
      <c r="E111" s="1114">
        <v>6</v>
      </c>
      <c r="F111" s="1114">
        <f t="shared" ref="F111:F116" si="5">D111*E111</f>
        <v>0</v>
      </c>
      <c r="G111" s="959"/>
      <c r="H111" s="1521"/>
    </row>
    <row r="112" spans="1:8" ht="16.2" customHeight="1" x14ac:dyDescent="0.25">
      <c r="A112" s="1934"/>
      <c r="B112" s="1582"/>
      <c r="C112" s="1275" t="str">
        <f>F!C262</f>
        <v>5 to &lt;25%.</v>
      </c>
      <c r="D112" s="1276">
        <f>F!D262</f>
        <v>0</v>
      </c>
      <c r="E112" s="1114">
        <v>4</v>
      </c>
      <c r="F112" s="1114">
        <f t="shared" si="5"/>
        <v>0</v>
      </c>
      <c r="G112" s="959"/>
      <c r="H112" s="1521"/>
    </row>
    <row r="113" spans="1:8" ht="16.2" customHeight="1" x14ac:dyDescent="0.25">
      <c r="A113" s="1934"/>
      <c r="B113" s="1582"/>
      <c r="C113" s="1275" t="str">
        <f>F!C263</f>
        <v>25 to &lt;50%.</v>
      </c>
      <c r="D113" s="1276">
        <f>F!D263</f>
        <v>0</v>
      </c>
      <c r="E113" s="1114">
        <v>3</v>
      </c>
      <c r="F113" s="1114">
        <f t="shared" si="5"/>
        <v>0</v>
      </c>
      <c r="G113" s="959"/>
      <c r="H113" s="1521"/>
    </row>
    <row r="114" spans="1:8" ht="16.2" customHeight="1" x14ac:dyDescent="0.25">
      <c r="A114" s="1934"/>
      <c r="B114" s="1582"/>
      <c r="C114" s="1275" t="str">
        <f>F!C264</f>
        <v>50 to &lt;75%.</v>
      </c>
      <c r="D114" s="1276">
        <f>F!D264</f>
        <v>0</v>
      </c>
      <c r="E114" s="1114">
        <v>2</v>
      </c>
      <c r="F114" s="1114">
        <f t="shared" si="5"/>
        <v>0</v>
      </c>
      <c r="G114" s="959"/>
      <c r="H114" s="1521"/>
    </row>
    <row r="115" spans="1:8" ht="16.2" customHeight="1" x14ac:dyDescent="0.25">
      <c r="A115" s="1934"/>
      <c r="B115" s="1582"/>
      <c r="C115" s="1275" t="str">
        <f>F!C265</f>
        <v>75 to 95%.</v>
      </c>
      <c r="D115" s="1276">
        <f>F!D265</f>
        <v>0</v>
      </c>
      <c r="E115" s="1114">
        <v>1</v>
      </c>
      <c r="F115" s="1114">
        <f t="shared" si="5"/>
        <v>0</v>
      </c>
      <c r="G115" s="959"/>
      <c r="H115" s="1521"/>
    </row>
    <row r="116" spans="1:8" ht="16.2" customHeight="1" thickBot="1" x14ac:dyDescent="0.3">
      <c r="A116" s="2010"/>
      <c r="B116" s="1600"/>
      <c r="C116" s="212" t="str">
        <f>F!C266</f>
        <v>&gt;95%.</v>
      </c>
      <c r="D116" s="213">
        <f>F!D266</f>
        <v>0</v>
      </c>
      <c r="E116" s="1030">
        <v>0</v>
      </c>
      <c r="F116" s="1030">
        <f t="shared" si="5"/>
        <v>0</v>
      </c>
      <c r="G116" s="958"/>
      <c r="H116" s="1523"/>
    </row>
    <row r="117" spans="1:8" ht="56.25" customHeight="1" thickBot="1" x14ac:dyDescent="0.3">
      <c r="A117" s="2009" t="str">
        <f>F!A267</f>
        <v>F53</v>
      </c>
      <c r="B117" s="1599" t="str">
        <f>F!B267</f>
        <v>Upland Perennial Cover - Width (Buffer)  (BuffWidth)</v>
      </c>
      <c r="C117" s="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17" s="1139"/>
      <c r="E117" s="1121"/>
      <c r="F117" s="1121"/>
      <c r="G117" s="813">
        <f>MAX(F118:F123)/MAX(E118:E123)</f>
        <v>0</v>
      </c>
      <c r="H117" s="1522" t="s">
        <v>340</v>
      </c>
    </row>
    <row r="118" spans="1:8" ht="16.2" customHeight="1" x14ac:dyDescent="0.25">
      <c r="A118" s="1934"/>
      <c r="B118" s="1582"/>
      <c r="C118" s="129" t="str">
        <f>F!C268</f>
        <v xml:space="preserve">&lt; 5 ft, or none.  </v>
      </c>
      <c r="D118" s="1306">
        <f>F!D268</f>
        <v>0</v>
      </c>
      <c r="E118" s="1114">
        <v>6</v>
      </c>
      <c r="F118" s="1114">
        <f t="shared" ref="F118:F123" si="6">D118*E118</f>
        <v>0</v>
      </c>
      <c r="G118" s="959"/>
      <c r="H118" s="1521"/>
    </row>
    <row r="119" spans="1:8" ht="16.2" customHeight="1" x14ac:dyDescent="0.25">
      <c r="A119" s="1934"/>
      <c r="B119" s="1582"/>
      <c r="C119" s="238" t="str">
        <f>F!C269</f>
        <v>5 to &lt;30 ft.</v>
      </c>
      <c r="D119" s="1276">
        <f>F!D269</f>
        <v>0</v>
      </c>
      <c r="E119" s="1114">
        <v>4</v>
      </c>
      <c r="F119" s="1114">
        <f t="shared" si="6"/>
        <v>0</v>
      </c>
      <c r="G119" s="959"/>
      <c r="H119" s="1521"/>
    </row>
    <row r="120" spans="1:8" ht="16.2" customHeight="1" x14ac:dyDescent="0.25">
      <c r="A120" s="1934"/>
      <c r="B120" s="1582"/>
      <c r="C120" s="238" t="str">
        <f>F!C270</f>
        <v>30 to &lt;50 ft.</v>
      </c>
      <c r="D120" s="1276">
        <f>F!D270</f>
        <v>0</v>
      </c>
      <c r="E120" s="1114">
        <v>3</v>
      </c>
      <c r="F120" s="1114">
        <f t="shared" si="6"/>
        <v>0</v>
      </c>
      <c r="G120" s="959"/>
      <c r="H120" s="1521"/>
    </row>
    <row r="121" spans="1:8" ht="16.2" customHeight="1" x14ac:dyDescent="0.25">
      <c r="A121" s="1934"/>
      <c r="B121" s="1582"/>
      <c r="C121" s="238" t="str">
        <f>F!C271</f>
        <v>50 to &lt;100 ft.</v>
      </c>
      <c r="D121" s="1276">
        <f>F!D271</f>
        <v>0</v>
      </c>
      <c r="E121" s="1114">
        <v>2</v>
      </c>
      <c r="F121" s="1114">
        <f t="shared" si="6"/>
        <v>0</v>
      </c>
      <c r="G121" s="959"/>
      <c r="H121" s="1521"/>
    </row>
    <row r="122" spans="1:8" ht="16.2" customHeight="1" x14ac:dyDescent="0.25">
      <c r="A122" s="1934"/>
      <c r="B122" s="1582"/>
      <c r="C122" s="238" t="str">
        <f>F!C272</f>
        <v>100  to 300 ft.</v>
      </c>
      <c r="D122" s="1276">
        <f>F!D272</f>
        <v>0</v>
      </c>
      <c r="E122" s="1114">
        <v>1</v>
      </c>
      <c r="F122" s="1114">
        <f t="shared" si="6"/>
        <v>0</v>
      </c>
      <c r="G122" s="959"/>
      <c r="H122" s="1521"/>
    </row>
    <row r="123" spans="1:8" ht="16.2" customHeight="1" thickBot="1" x14ac:dyDescent="0.3">
      <c r="A123" s="2010"/>
      <c r="B123" s="1600"/>
      <c r="C123" s="115" t="str">
        <f>F!C273</f>
        <v xml:space="preserve">&gt; 300 ft. </v>
      </c>
      <c r="D123" s="213">
        <f>F!D273</f>
        <v>0</v>
      </c>
      <c r="E123" s="1030">
        <v>0</v>
      </c>
      <c r="F123" s="1030">
        <f t="shared" si="6"/>
        <v>0</v>
      </c>
      <c r="G123" s="958"/>
      <c r="H123" s="1523"/>
    </row>
    <row r="124" spans="1:8" ht="21" customHeight="1" thickBot="1" x14ac:dyDescent="0.3">
      <c r="A124" s="3"/>
      <c r="B124" s="3"/>
      <c r="C124" s="3"/>
      <c r="D124" s="16"/>
      <c r="G124" s="110"/>
      <c r="H124" s="3"/>
    </row>
    <row r="125" spans="1:8" ht="54" customHeight="1" thickBot="1" x14ac:dyDescent="0.3">
      <c r="C125" s="1807" t="s">
        <v>157</v>
      </c>
      <c r="D125" s="1808"/>
      <c r="E125" s="1809"/>
      <c r="F125" s="983" t="s">
        <v>6</v>
      </c>
      <c r="G125" s="782">
        <f>10*(IF((Tidal=1),0, IF((NeverWater+TempWet&gt;0),(2*Groundw2 + AVERAGE(Gcover2,WoodyPct2))/3, (2*Groundw2 + AVERAGE(WoodyDryShade2,AVERAGE(WidthWet2, WoodyPct2,EmPct2, Gcover2)) + AVERAGE(Hydropd2,DepthDom2,PondWpctDry2))/4)))</f>
        <v>0</v>
      </c>
      <c r="H125" s="4" t="s">
        <v>2512</v>
      </c>
    </row>
    <row r="126" spans="1:8" ht="57.6" customHeight="1" thickBot="1" x14ac:dyDescent="0.3">
      <c r="C126" s="1807" t="s">
        <v>159</v>
      </c>
      <c r="D126" s="1808"/>
      <c r="E126" s="1809"/>
      <c r="F126" s="983" t="s">
        <v>7</v>
      </c>
      <c r="G126" s="989">
        <f>10*(IF((D108+D109&gt;0),0, AVERAGE(Zoning2v, (OutDura2v + 4*MAX(ESH2v,ConnDown2v,GISscoreWCv) + AVERAGE(BuffWidth2v,PerimPctPer2v,ImpervRCA2v,ImpervSCA2v) + AVERAGE(WetPctRCA2v,WetPctSCA2v,Elev2v,GDD2v))/7)))</f>
        <v>0</v>
      </c>
      <c r="H126" s="4" t="s">
        <v>1523</v>
      </c>
    </row>
    <row r="127" spans="1:8" ht="21" customHeight="1" thickBot="1" x14ac:dyDescent="0.3"/>
    <row r="128" spans="1:8" ht="21" customHeight="1" thickBot="1" x14ac:dyDescent="0.3">
      <c r="H128" s="234" t="s">
        <v>859</v>
      </c>
    </row>
    <row r="129" spans="8:8" ht="27" customHeight="1" x14ac:dyDescent="0.25">
      <c r="H129" s="715" t="s">
        <v>906</v>
      </c>
    </row>
    <row r="130" spans="8:8" ht="42" customHeight="1" x14ac:dyDescent="0.25">
      <c r="H130" s="716" t="s">
        <v>907</v>
      </c>
    </row>
    <row r="131" spans="8:8" ht="42" customHeight="1" x14ac:dyDescent="0.25">
      <c r="H131" s="716" t="s">
        <v>908</v>
      </c>
    </row>
    <row r="132" spans="8:8" ht="27" customHeight="1" x14ac:dyDescent="0.25">
      <c r="H132" s="716" t="s">
        <v>909</v>
      </c>
    </row>
    <row r="133" spans="8:8" ht="42" customHeight="1" x14ac:dyDescent="0.25">
      <c r="H133" s="716" t="s">
        <v>910</v>
      </c>
    </row>
    <row r="134" spans="8:8" ht="27" customHeight="1" x14ac:dyDescent="0.25">
      <c r="H134" s="716" t="s">
        <v>911</v>
      </c>
    </row>
    <row r="135" spans="8:8" ht="27" customHeight="1" thickBot="1" x14ac:dyDescent="0.3">
      <c r="H135" s="717" t="s">
        <v>912</v>
      </c>
    </row>
  </sheetData>
  <sheetProtection password="C74A" sheet="1" objects="1" scenarios="1" formatCells="0" formatColumns="0" formatRows="0"/>
  <customSheetViews>
    <customSheetView guid="{B8E02330-2419-4DE6-AD01-7ACC7A5D18DD}" scale="75" topLeftCell="A35">
      <selection activeCell="A2" sqref="A2:H47"/>
      <pageMargins left="0.75" right="0.75" top="1" bottom="1" header="0.5" footer="0.5"/>
      <pageSetup orientation="portrait" r:id="rId1"/>
      <headerFooter alignWithMargins="0"/>
    </customSheetView>
  </customSheetViews>
  <mergeCells count="69">
    <mergeCell ref="A83:A87"/>
    <mergeCell ref="B83:B87"/>
    <mergeCell ref="A88:A91"/>
    <mergeCell ref="B88:B91"/>
    <mergeCell ref="A79:A82"/>
    <mergeCell ref="A92:A96"/>
    <mergeCell ref="A117:A123"/>
    <mergeCell ref="B117:B123"/>
    <mergeCell ref="H117:H123"/>
    <mergeCell ref="B92:B96"/>
    <mergeCell ref="H92:H96"/>
    <mergeCell ref="A97:A104"/>
    <mergeCell ref="B97:B104"/>
    <mergeCell ref="H97:H104"/>
    <mergeCell ref="A105:A109"/>
    <mergeCell ref="B105:B109"/>
    <mergeCell ref="H105:H109"/>
    <mergeCell ref="A110:A116"/>
    <mergeCell ref="B110:B116"/>
    <mergeCell ref="H110:H116"/>
    <mergeCell ref="A15:A19"/>
    <mergeCell ref="A35:A41"/>
    <mergeCell ref="B35:B41"/>
    <mergeCell ref="H35:H41"/>
    <mergeCell ref="H47:H53"/>
    <mergeCell ref="B47:B53"/>
    <mergeCell ref="B15:B20"/>
    <mergeCell ref="H15:H20"/>
    <mergeCell ref="A28:A34"/>
    <mergeCell ref="A42:A46"/>
    <mergeCell ref="A21:A27"/>
    <mergeCell ref="A47:A53"/>
    <mergeCell ref="B3:B8"/>
    <mergeCell ref="H3:H8"/>
    <mergeCell ref="H61:H62"/>
    <mergeCell ref="C126:E126"/>
    <mergeCell ref="B54:B59"/>
    <mergeCell ref="B9:B14"/>
    <mergeCell ref="H9:H14"/>
    <mergeCell ref="B21:B27"/>
    <mergeCell ref="H83:H87"/>
    <mergeCell ref="B79:B82"/>
    <mergeCell ref="H88:H91"/>
    <mergeCell ref="C125:E125"/>
    <mergeCell ref="H74:H78"/>
    <mergeCell ref="H64:H65"/>
    <mergeCell ref="A70:A73"/>
    <mergeCell ref="A66:A69"/>
    <mergeCell ref="H28:H34"/>
    <mergeCell ref="B28:B34"/>
    <mergeCell ref="H42:H46"/>
    <mergeCell ref="B42:B46"/>
    <mergeCell ref="H66:H69"/>
    <mergeCell ref="A3:A8"/>
    <mergeCell ref="E1:H1"/>
    <mergeCell ref="A54:A59"/>
    <mergeCell ref="A64:A65"/>
    <mergeCell ref="H79:H82"/>
    <mergeCell ref="B61:B62"/>
    <mergeCell ref="B74:B78"/>
    <mergeCell ref="H70:H73"/>
    <mergeCell ref="B70:B73"/>
    <mergeCell ref="A1:B1"/>
    <mergeCell ref="A74:A78"/>
    <mergeCell ref="H21:H27"/>
    <mergeCell ref="H54:H59"/>
    <mergeCell ref="A9:A14"/>
    <mergeCell ref="B64:B65"/>
    <mergeCell ref="B66:B69"/>
  </mergeCells>
  <phoneticPr fontId="3" type="noConversion"/>
  <pageMargins left="0.75" right="0.75" top="1" bottom="1" header="0.5" footer="0.5"/>
  <pageSetup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3"/>
  <dimension ref="A1:I238"/>
  <sheetViews>
    <sheetView zoomScaleNormal="100" workbookViewId="0">
      <selection activeCell="G224" sqref="G224:G232"/>
    </sheetView>
  </sheetViews>
  <sheetFormatPr defaultColWidth="9.33203125" defaultRowHeight="13.8" x14ac:dyDescent="0.25"/>
  <cols>
    <col min="1" max="1" width="5.77734375" style="2" customWidth="1"/>
    <col min="2" max="2" width="18.77734375" style="2" customWidth="1"/>
    <col min="3" max="3" width="75.77734375" style="2" customWidth="1"/>
    <col min="4" max="4" width="6.77734375" style="14" customWidth="1"/>
    <col min="5" max="5" width="8.33203125" style="14" customWidth="1"/>
    <col min="6" max="6" width="9.77734375" style="14" customWidth="1"/>
    <col min="7" max="7" width="12.33203125" style="5" customWidth="1"/>
    <col min="8" max="8" width="75.77734375" style="2" customWidth="1"/>
    <col min="9" max="9" width="13.77734375" style="2" customWidth="1"/>
    <col min="10" max="16384" width="9.33203125" style="2"/>
  </cols>
  <sheetData>
    <row r="1" spans="1:8" s="21" customFormat="1" ht="66" customHeight="1" thickBot="1" x14ac:dyDescent="0.3">
      <c r="A1" s="1826" t="s">
        <v>1561</v>
      </c>
      <c r="B1" s="1827"/>
      <c r="C1" s="151" t="s">
        <v>580</v>
      </c>
      <c r="D1" s="1165" t="s">
        <v>1177</v>
      </c>
      <c r="E1" s="2049"/>
      <c r="F1" s="2050"/>
      <c r="G1" s="2050"/>
      <c r="H1" s="2050"/>
    </row>
    <row r="2" spans="1:8" s="366" customFormat="1" ht="50.25" customHeight="1" thickBot="1" x14ac:dyDescent="0.3">
      <c r="A2" s="946" t="s">
        <v>126</v>
      </c>
      <c r="B2" s="787" t="s">
        <v>1458</v>
      </c>
      <c r="C2" s="831" t="s">
        <v>1271</v>
      </c>
      <c r="D2" s="787" t="s">
        <v>115</v>
      </c>
      <c r="E2" s="789" t="s">
        <v>771</v>
      </c>
      <c r="F2" s="787" t="s">
        <v>1461</v>
      </c>
      <c r="G2" s="790" t="s">
        <v>1273</v>
      </c>
      <c r="H2" s="787" t="s">
        <v>772</v>
      </c>
    </row>
    <row r="3" spans="1:8" ht="30" customHeight="1" thickBot="1" x14ac:dyDescent="0.3">
      <c r="A3" s="1946" t="str">
        <f>OF!A145</f>
        <v>OF27</v>
      </c>
      <c r="B3" s="1522" t="str">
        <f>OF!B145</f>
        <v>Hydrologic Landscape (Arid)</v>
      </c>
      <c r="C3" s="942" t="str">
        <f>OF!C145</f>
        <v>According to the ORWAP Report,  the wetland is in a hydrologic landscape unit classified as:</v>
      </c>
      <c r="D3" s="65"/>
      <c r="E3" s="46"/>
      <c r="F3" s="60"/>
      <c r="G3" s="814">
        <f>MAX(F4:F9)/MAX(E4:E9)</f>
        <v>0</v>
      </c>
      <c r="H3" s="1521" t="s">
        <v>1165</v>
      </c>
    </row>
    <row r="4" spans="1:8" ht="16.2" customHeight="1" x14ac:dyDescent="0.25">
      <c r="A4" s="1946"/>
      <c r="B4" s="1521"/>
      <c r="C4" s="1310" t="str">
        <f>OF!C146</f>
        <v>Arid.</v>
      </c>
      <c r="D4" s="1304">
        <f>OF!D146</f>
        <v>0</v>
      </c>
      <c r="E4" s="45">
        <v>1</v>
      </c>
      <c r="F4" s="45">
        <f t="shared" ref="F4:F9" si="0">D4*E4</f>
        <v>0</v>
      </c>
      <c r="G4" s="792"/>
      <c r="H4" s="1521"/>
    </row>
    <row r="5" spans="1:8" ht="16.2" customHeight="1" x14ac:dyDescent="0.25">
      <c r="A5" s="1946"/>
      <c r="B5" s="1521"/>
      <c r="C5" s="1311" t="str">
        <f>OF!C147</f>
        <v>Semi-arid.</v>
      </c>
      <c r="D5" s="1081">
        <f>OF!D147</f>
        <v>0</v>
      </c>
      <c r="E5" s="45">
        <v>2</v>
      </c>
      <c r="F5" s="45">
        <f t="shared" si="0"/>
        <v>0</v>
      </c>
      <c r="G5" s="793"/>
      <c r="H5" s="1521"/>
    </row>
    <row r="6" spans="1:8" ht="16.2" customHeight="1" x14ac:dyDescent="0.25">
      <c r="A6" s="1946"/>
      <c r="B6" s="1521"/>
      <c r="C6" s="1311" t="str">
        <f>OF!C148</f>
        <v>Dry.</v>
      </c>
      <c r="D6" s="1081">
        <f>OF!D148</f>
        <v>0</v>
      </c>
      <c r="E6" s="45">
        <v>3</v>
      </c>
      <c r="F6" s="45">
        <f t="shared" si="0"/>
        <v>0</v>
      </c>
      <c r="G6" s="793"/>
      <c r="H6" s="1521"/>
    </row>
    <row r="7" spans="1:8" ht="16.2" customHeight="1" x14ac:dyDescent="0.25">
      <c r="A7" s="1946"/>
      <c r="B7" s="1521"/>
      <c r="C7" s="1311" t="str">
        <f>OF!C149</f>
        <v>Moist.</v>
      </c>
      <c r="D7" s="1081">
        <f>OF!D149</f>
        <v>0</v>
      </c>
      <c r="E7" s="45">
        <v>4</v>
      </c>
      <c r="F7" s="45">
        <f t="shared" si="0"/>
        <v>0</v>
      </c>
      <c r="G7" s="793"/>
      <c r="H7" s="1521"/>
    </row>
    <row r="8" spans="1:8" ht="16.2" customHeight="1" x14ac:dyDescent="0.25">
      <c r="A8" s="1946"/>
      <c r="B8" s="1521"/>
      <c r="C8" s="1311" t="str">
        <f>OF!C150</f>
        <v>Wet.</v>
      </c>
      <c r="D8" s="1081">
        <f>OF!D150</f>
        <v>0</v>
      </c>
      <c r="E8" s="45">
        <v>5</v>
      </c>
      <c r="F8" s="45">
        <f t="shared" si="0"/>
        <v>0</v>
      </c>
      <c r="G8" s="793"/>
      <c r="H8" s="1521"/>
    </row>
    <row r="9" spans="1:8" ht="16.2" customHeight="1" thickBot="1" x14ac:dyDescent="0.3">
      <c r="A9" s="1946"/>
      <c r="B9" s="1523"/>
      <c r="C9" s="1307" t="str">
        <f>OF!C151</f>
        <v>Very Wet.</v>
      </c>
      <c r="D9" s="1276">
        <f>OF!D151</f>
        <v>0</v>
      </c>
      <c r="E9" s="54">
        <v>6</v>
      </c>
      <c r="F9" s="54">
        <f t="shared" si="0"/>
        <v>0</v>
      </c>
      <c r="G9" s="800"/>
      <c r="H9" s="1521"/>
    </row>
    <row r="10" spans="1:8" ht="30" customHeight="1" thickBot="1" x14ac:dyDescent="0.3">
      <c r="A10" s="2138" t="str">
        <f>OF!A183</f>
        <v>OF34</v>
      </c>
      <c r="B10" s="1669" t="str">
        <f>OF!B183</f>
        <v>Relative Elevation in Watershed (Elev)</v>
      </c>
      <c r="C10" s="1361" t="str">
        <f>OF!C183</f>
        <v>In the ORWAP Map Viewer, based on the Hydrologic Boundaries 4th Level (HUC 8) layer (under Watersheds), determine if the AA is:          (See Column E)</v>
      </c>
      <c r="D10" s="192"/>
      <c r="E10" s="192"/>
      <c r="F10" s="241"/>
      <c r="G10" s="791">
        <f>MAX(F11:F13)/MAX(E11:E13)</f>
        <v>0</v>
      </c>
      <c r="H10" s="1522" t="s">
        <v>645</v>
      </c>
    </row>
    <row r="11" spans="1:8" ht="16.2" customHeight="1" x14ac:dyDescent="0.25">
      <c r="A11" s="2139"/>
      <c r="B11" s="1691"/>
      <c r="C11" s="1362" t="str">
        <f>OF!C184</f>
        <v>In the upper one-third of its watershed.</v>
      </c>
      <c r="D11" s="1357">
        <f>OF!D184</f>
        <v>0</v>
      </c>
      <c r="E11" s="45">
        <v>1</v>
      </c>
      <c r="F11" s="45">
        <f>D11*E11</f>
        <v>0</v>
      </c>
      <c r="G11" s="792"/>
      <c r="H11" s="1521"/>
    </row>
    <row r="12" spans="1:8" ht="16.2" customHeight="1" x14ac:dyDescent="0.25">
      <c r="A12" s="2139"/>
      <c r="B12" s="1691"/>
      <c r="C12" s="1363" t="str">
        <f>OF!C185</f>
        <v>In the middle one-third of its watershed.</v>
      </c>
      <c r="D12" s="1359">
        <f>OF!D185</f>
        <v>0</v>
      </c>
      <c r="E12" s="45">
        <v>2</v>
      </c>
      <c r="F12" s="45">
        <f>D12*E12</f>
        <v>0</v>
      </c>
      <c r="G12" s="793"/>
      <c r="H12" s="1521"/>
    </row>
    <row r="13" spans="1:8" ht="16.2" customHeight="1" thickBot="1" x14ac:dyDescent="0.3">
      <c r="A13" s="2140"/>
      <c r="B13" s="1692"/>
      <c r="C13" s="1319" t="str">
        <f>OF!C186</f>
        <v>In the lower one-third of its watershed.</v>
      </c>
      <c r="D13" s="1320">
        <f>OF!D186</f>
        <v>0</v>
      </c>
      <c r="E13" s="193">
        <v>3</v>
      </c>
      <c r="F13" s="193">
        <f>D13*E13</f>
        <v>0</v>
      </c>
      <c r="G13" s="909"/>
      <c r="H13" s="1523"/>
    </row>
    <row r="14" spans="1:8" ht="30" customHeight="1" thickBot="1" x14ac:dyDescent="0.3">
      <c r="A14" s="1799" t="str">
        <f>OF!A225</f>
        <v>OF43</v>
      </c>
      <c r="B14" s="1522" t="str">
        <f>OF!B225</f>
        <v>Growing Degree Days (GDD)</v>
      </c>
      <c r="C14" s="1313" t="str">
        <f>OF!C225</f>
        <v xml:space="preserve">According to ORWAP Map Viewer's Growing Degree Days layer,  the long term normal Growing Degree Days category at the approximate location of the AA is: </v>
      </c>
      <c r="D14" s="192"/>
      <c r="E14" s="192"/>
      <c r="F14" s="1364"/>
      <c r="G14" s="791">
        <f>MAX(F15:F21)/MAX(E15:E21)</f>
        <v>0</v>
      </c>
      <c r="H14" s="1522" t="s">
        <v>242</v>
      </c>
    </row>
    <row r="15" spans="1:8" ht="16.2" customHeight="1" x14ac:dyDescent="0.25">
      <c r="A15" s="1800"/>
      <c r="B15" s="1521"/>
      <c r="C15" s="1305" t="str">
        <f>OF!C226</f>
        <v>&lt;256.</v>
      </c>
      <c r="D15" s="1306">
        <f>OF!D226</f>
        <v>0</v>
      </c>
      <c r="E15" s="46">
        <v>1</v>
      </c>
      <c r="F15" s="45">
        <f t="shared" ref="F15:F21" si="1">D15*E15</f>
        <v>0</v>
      </c>
      <c r="G15" s="792"/>
      <c r="H15" s="1521"/>
    </row>
    <row r="16" spans="1:8" ht="16.2" customHeight="1" x14ac:dyDescent="0.25">
      <c r="A16" s="1800"/>
      <c r="B16" s="1521"/>
      <c r="C16" s="1307" t="str">
        <f>OF!C227</f>
        <v>256 - 1020.</v>
      </c>
      <c r="D16" s="1276">
        <f>OF!D227</f>
        <v>0</v>
      </c>
      <c r="E16" s="46">
        <v>2</v>
      </c>
      <c r="F16" s="45">
        <f t="shared" si="1"/>
        <v>0</v>
      </c>
      <c r="G16" s="792"/>
      <c r="H16" s="1521"/>
    </row>
    <row r="17" spans="1:8" ht="16.2" customHeight="1" x14ac:dyDescent="0.25">
      <c r="A17" s="1800"/>
      <c r="B17" s="1521"/>
      <c r="C17" s="1307" t="str">
        <f>OF!C228</f>
        <v>1021-1785.</v>
      </c>
      <c r="D17" s="1276">
        <f>OF!D228</f>
        <v>0</v>
      </c>
      <c r="E17" s="46">
        <v>3</v>
      </c>
      <c r="F17" s="45">
        <f t="shared" si="1"/>
        <v>0</v>
      </c>
      <c r="G17" s="792"/>
      <c r="H17" s="1521"/>
    </row>
    <row r="18" spans="1:8" ht="16.2" customHeight="1" x14ac:dyDescent="0.25">
      <c r="A18" s="1800"/>
      <c r="B18" s="1521"/>
      <c r="C18" s="1307" t="str">
        <f>OF!C229</f>
        <v>1786 - 2550.</v>
      </c>
      <c r="D18" s="1276">
        <f>OF!D229</f>
        <v>0</v>
      </c>
      <c r="E18" s="46">
        <v>4</v>
      </c>
      <c r="F18" s="45">
        <f t="shared" si="1"/>
        <v>0</v>
      </c>
      <c r="G18" s="792"/>
      <c r="H18" s="1521"/>
    </row>
    <row r="19" spans="1:8" ht="16.2" customHeight="1" x14ac:dyDescent="0.25">
      <c r="A19" s="1800"/>
      <c r="B19" s="1521"/>
      <c r="C19" s="1307" t="str">
        <f>OF!C230</f>
        <v>2551 - 3315.</v>
      </c>
      <c r="D19" s="1276">
        <f>OF!D230</f>
        <v>0</v>
      </c>
      <c r="E19" s="46">
        <v>5</v>
      </c>
      <c r="F19" s="45">
        <f t="shared" si="1"/>
        <v>0</v>
      </c>
      <c r="G19" s="792"/>
      <c r="H19" s="1521"/>
    </row>
    <row r="20" spans="1:8" ht="16.2" customHeight="1" x14ac:dyDescent="0.25">
      <c r="A20" s="1800"/>
      <c r="B20" s="1521"/>
      <c r="C20" s="1307" t="str">
        <f>OF!C231</f>
        <v>3316 - 4079.</v>
      </c>
      <c r="D20" s="1276">
        <f>OF!D231</f>
        <v>0</v>
      </c>
      <c r="E20" s="46">
        <v>6</v>
      </c>
      <c r="F20" s="45">
        <f t="shared" si="1"/>
        <v>0</v>
      </c>
      <c r="G20" s="792"/>
      <c r="H20" s="1521"/>
    </row>
    <row r="21" spans="1:8" ht="16.2" customHeight="1" thickBot="1" x14ac:dyDescent="0.3">
      <c r="A21" s="1801"/>
      <c r="B21" s="1523"/>
      <c r="C21" s="1308" t="str">
        <f>OF!C232</f>
        <v>&gt; 4079.</v>
      </c>
      <c r="D21" s="213">
        <f>OF!D232</f>
        <v>0</v>
      </c>
      <c r="E21" s="1322">
        <v>7</v>
      </c>
      <c r="F21" s="193">
        <f t="shared" si="1"/>
        <v>0</v>
      </c>
      <c r="G21" s="976"/>
      <c r="H21" s="1523"/>
    </row>
    <row r="22" spans="1:8" ht="30" customHeight="1" thickBot="1" x14ac:dyDescent="0.3">
      <c r="A22" s="1805" t="str">
        <f>F!A18</f>
        <v>F5</v>
      </c>
      <c r="B22" s="1582" t="str">
        <f>F!B18</f>
        <v>Depth Class (Predominant)  (DepthDom)</v>
      </c>
      <c r="C22" s="940" t="str">
        <f>F!C18</f>
        <v>When water is present in the AA, the depth most of the time in most of inundated area is: 
[Note: NOT necessarily the maximum spatial or annual depth]</v>
      </c>
      <c r="D22" s="192"/>
      <c r="E22" s="46"/>
      <c r="F22" s="60"/>
      <c r="G22" s="799">
        <f>IF((NeverWater+TempWet&gt;0),"",IF((TempWet=1),"",MAX(F23:F27)/MAX(E23:E27)))</f>
        <v>0</v>
      </c>
      <c r="H22" s="1582" t="s">
        <v>1662</v>
      </c>
    </row>
    <row r="23" spans="1:8" ht="16.2" customHeight="1" x14ac:dyDescent="0.25">
      <c r="A23" s="1805"/>
      <c r="B23" s="1582"/>
      <c r="C23" s="236" t="str">
        <f>F!C19</f>
        <v>&gt;0 to &lt;0.5 ft.</v>
      </c>
      <c r="D23" s="1304">
        <f>F!D19</f>
        <v>0</v>
      </c>
      <c r="E23" s="45">
        <v>5</v>
      </c>
      <c r="F23" s="45">
        <f>D23*E23</f>
        <v>0</v>
      </c>
      <c r="G23" s="792"/>
      <c r="H23" s="1582"/>
    </row>
    <row r="24" spans="1:8" ht="16.2" customHeight="1" x14ac:dyDescent="0.25">
      <c r="A24" s="1805"/>
      <c r="B24" s="1582"/>
      <c r="C24" s="237" t="str">
        <f>F!C20</f>
        <v>0.5 to &lt; 1 ft deep.</v>
      </c>
      <c r="D24" s="1081">
        <f>F!D20</f>
        <v>0</v>
      </c>
      <c r="E24" s="45">
        <v>4</v>
      </c>
      <c r="F24" s="45">
        <f>D24*E24</f>
        <v>0</v>
      </c>
      <c r="G24" s="793"/>
      <c r="H24" s="1582"/>
    </row>
    <row r="25" spans="1:8" ht="16.2" customHeight="1" x14ac:dyDescent="0.25">
      <c r="A25" s="1805"/>
      <c r="B25" s="1582"/>
      <c r="C25" s="237" t="str">
        <f>F!C21</f>
        <v>1 to &lt;3 ft deep.</v>
      </c>
      <c r="D25" s="1081">
        <f>F!D21</f>
        <v>0</v>
      </c>
      <c r="E25" s="45">
        <v>3</v>
      </c>
      <c r="F25" s="45">
        <f>D25*E25</f>
        <v>0</v>
      </c>
      <c r="G25" s="793"/>
      <c r="H25" s="1582"/>
    </row>
    <row r="26" spans="1:8" ht="16.2" customHeight="1" x14ac:dyDescent="0.25">
      <c r="A26" s="1805"/>
      <c r="B26" s="1582"/>
      <c r="C26" s="237" t="str">
        <f>F!C22</f>
        <v>3 to 6 ft deep.</v>
      </c>
      <c r="D26" s="1081">
        <f>F!D22</f>
        <v>0</v>
      </c>
      <c r="E26" s="45">
        <v>1</v>
      </c>
      <c r="F26" s="45">
        <f>D26*E26</f>
        <v>0</v>
      </c>
      <c r="G26" s="793"/>
      <c r="H26" s="1582"/>
    </row>
    <row r="27" spans="1:8" ht="16.2" customHeight="1" thickBot="1" x14ac:dyDescent="0.3">
      <c r="A27" s="1805"/>
      <c r="B27" s="1582"/>
      <c r="C27" s="1275" t="str">
        <f>F!C23</f>
        <v>&gt;6 ft deep.</v>
      </c>
      <c r="D27" s="1276">
        <f>F!D23</f>
        <v>0</v>
      </c>
      <c r="E27" s="54">
        <v>0</v>
      </c>
      <c r="F27" s="54">
        <f>D27*E27</f>
        <v>0</v>
      </c>
      <c r="G27" s="800"/>
      <c r="H27" s="1582"/>
    </row>
    <row r="28" spans="1:8" ht="45" customHeight="1" thickBot="1" x14ac:dyDescent="0.3">
      <c r="A28" s="1867" t="str">
        <f>F!A28</f>
        <v>F7</v>
      </c>
      <c r="B28" s="1688" t="str">
        <f>F!B28</f>
        <v>Emergent Plants -- Area (EmArea)</v>
      </c>
      <c r="C28" s="1361" t="str">
        <f>F!C28</f>
        <v>Consider just the area that has surface water for &gt;1 week during the growing season.  Herbaceous plants (not moss, not woody) whose foliage extends above a water surface in this area (i.e., emergents) cumulatively occupy an annual maximum of:</v>
      </c>
      <c r="D28" s="192"/>
      <c r="E28" s="192"/>
      <c r="F28" s="972"/>
      <c r="G28" s="804">
        <f>IF((NeverWater+TempWet&gt;0),"",MAX(F29:F34)/MAX(E29:E34))</f>
        <v>0</v>
      </c>
      <c r="H28" s="1522" t="s">
        <v>1663</v>
      </c>
    </row>
    <row r="29" spans="1:8" ht="29.25" customHeight="1" x14ac:dyDescent="0.25">
      <c r="A29" s="1868"/>
      <c r="B29" s="1689"/>
      <c r="C29" s="1315" t="str">
        <f>F!C29</f>
        <v>&lt;0.01 acre (&lt; 400 sq.ft).  Enter 1 and SKIP TO F10, unless only part of a wetland is being assessed.</v>
      </c>
      <c r="D29" s="1316">
        <f>F!D29</f>
        <v>0</v>
      </c>
      <c r="E29" s="45">
        <v>1</v>
      </c>
      <c r="F29" s="54">
        <f t="shared" ref="F29:F34" si="2">D29*E29</f>
        <v>0</v>
      </c>
      <c r="G29" s="793"/>
      <c r="H29" s="1521"/>
    </row>
    <row r="30" spans="1:8" ht="16.2" customHeight="1" x14ac:dyDescent="0.25">
      <c r="A30" s="1868"/>
      <c r="B30" s="1689"/>
      <c r="C30" s="1317" t="str">
        <f>F!C30</f>
        <v>0.01 to&lt; 0.10 acres (3,920 sq. ft).</v>
      </c>
      <c r="D30" s="1318">
        <f>F!D30</f>
        <v>0</v>
      </c>
      <c r="E30" s="45">
        <v>2</v>
      </c>
      <c r="F30" s="54">
        <f t="shared" si="2"/>
        <v>0</v>
      </c>
      <c r="G30" s="793"/>
      <c r="H30" s="1521"/>
    </row>
    <row r="31" spans="1:8" ht="16.2" customHeight="1" x14ac:dyDescent="0.25">
      <c r="A31" s="1868"/>
      <c r="B31" s="1689"/>
      <c r="C31" s="1317" t="str">
        <f>F!C31</f>
        <v>0.10 to &lt;0.50 acres (21,340 sq. ft).</v>
      </c>
      <c r="D31" s="1318">
        <f>F!D31</f>
        <v>0</v>
      </c>
      <c r="E31" s="45">
        <v>3</v>
      </c>
      <c r="F31" s="54">
        <f t="shared" si="2"/>
        <v>0</v>
      </c>
      <c r="G31" s="793"/>
      <c r="H31" s="1521"/>
    </row>
    <row r="32" spans="1:8" ht="16.2" customHeight="1" x14ac:dyDescent="0.25">
      <c r="A32" s="1868"/>
      <c r="B32" s="1689"/>
      <c r="C32" s="1317" t="str">
        <f>F!C32</f>
        <v>0.50 to &lt;5 acres.</v>
      </c>
      <c r="D32" s="1318">
        <f>F!D32</f>
        <v>0</v>
      </c>
      <c r="E32" s="45">
        <v>4</v>
      </c>
      <c r="F32" s="54">
        <f t="shared" si="2"/>
        <v>0</v>
      </c>
      <c r="G32" s="793"/>
      <c r="H32" s="1521"/>
    </row>
    <row r="33" spans="1:8" ht="16.2" customHeight="1" x14ac:dyDescent="0.25">
      <c r="A33" s="1868"/>
      <c r="B33" s="1689"/>
      <c r="C33" s="1317" t="str">
        <f>F!C33</f>
        <v>5 to 50 acres.</v>
      </c>
      <c r="D33" s="1318">
        <f>F!D33</f>
        <v>0</v>
      </c>
      <c r="E33" s="45">
        <v>5</v>
      </c>
      <c r="F33" s="45">
        <f t="shared" si="2"/>
        <v>0</v>
      </c>
      <c r="G33" s="793"/>
      <c r="H33" s="1521"/>
    </row>
    <row r="34" spans="1:8" ht="16.2" customHeight="1" thickBot="1" x14ac:dyDescent="0.3">
      <c r="A34" s="1869"/>
      <c r="B34" s="1690"/>
      <c r="C34" s="1319" t="str">
        <f>F!C34</f>
        <v>&gt;50 acres.</v>
      </c>
      <c r="D34" s="1320">
        <f>F!D34</f>
        <v>0</v>
      </c>
      <c r="E34" s="193">
        <v>6</v>
      </c>
      <c r="F34" s="1082">
        <f t="shared" si="2"/>
        <v>0</v>
      </c>
      <c r="G34" s="794"/>
      <c r="H34" s="1523"/>
    </row>
    <row r="35" spans="1:8" ht="21" customHeight="1" thickBot="1" x14ac:dyDescent="0.3">
      <c r="A35" s="1868" t="str">
        <f>F!A35</f>
        <v>F8</v>
      </c>
      <c r="B35" s="1691" t="str">
        <f>F!B35</f>
        <v>% Emergent Plants (EmPct)</v>
      </c>
      <c r="C35" s="1365" t="str">
        <f>F!C35</f>
        <v>Emergent plants occupy an annual maximum of:</v>
      </c>
      <c r="D35" s="192"/>
      <c r="E35" s="46"/>
      <c r="F35" s="46"/>
      <c r="G35" s="799">
        <f>IF((NeverWater+TempWet&gt;0),"",IF((TempWet=1),"",IF((NoEm=1),"",MAX(F36:F40)/MAX(E36:E40))))</f>
        <v>0</v>
      </c>
      <c r="H35" s="1521" t="s">
        <v>1664</v>
      </c>
    </row>
    <row r="36" spans="1:8" ht="16.2" customHeight="1" x14ac:dyDescent="0.25">
      <c r="A36" s="1868"/>
      <c r="B36" s="1691"/>
      <c r="C36" s="1315" t="str">
        <f>F!C36</f>
        <v>&lt;5% of the parts of the AA that are inundated for &gt;7 days at some time of the year.</v>
      </c>
      <c r="D36" s="1316">
        <f>F!D36</f>
        <v>0</v>
      </c>
      <c r="E36" s="45">
        <v>1</v>
      </c>
      <c r="F36" s="54">
        <f>D36*E36</f>
        <v>0</v>
      </c>
      <c r="G36" s="800"/>
      <c r="H36" s="1521"/>
    </row>
    <row r="37" spans="1:8" ht="16.2" customHeight="1" x14ac:dyDescent="0.25">
      <c r="A37" s="1868"/>
      <c r="B37" s="1691"/>
      <c r="C37" s="1317" t="str">
        <f>F!C37</f>
        <v>5 to &lt;30% of the parts of the AA that are inundated for &gt;7 days at some time of the year.</v>
      </c>
      <c r="D37" s="1318">
        <f>F!D37</f>
        <v>0</v>
      </c>
      <c r="E37" s="45">
        <v>2</v>
      </c>
      <c r="F37" s="54">
        <f>D37*E37</f>
        <v>0</v>
      </c>
      <c r="G37" s="800"/>
      <c r="H37" s="1521"/>
    </row>
    <row r="38" spans="1:8" ht="16.2" customHeight="1" x14ac:dyDescent="0.25">
      <c r="A38" s="1868"/>
      <c r="B38" s="1691"/>
      <c r="C38" s="1317" t="str">
        <f>F!C38</f>
        <v>30 to &lt;60% of the parts of the AA that are inundated for &gt;7 days at some time of the year.</v>
      </c>
      <c r="D38" s="1318">
        <f>F!D38</f>
        <v>0</v>
      </c>
      <c r="E38" s="45">
        <v>3</v>
      </c>
      <c r="F38" s="54">
        <f>D38*E38</f>
        <v>0</v>
      </c>
      <c r="G38" s="800"/>
      <c r="H38" s="1521"/>
    </row>
    <row r="39" spans="1:8" ht="16.2" customHeight="1" x14ac:dyDescent="0.25">
      <c r="A39" s="1868"/>
      <c r="B39" s="1691"/>
      <c r="C39" s="1317" t="str">
        <f>F!C39</f>
        <v>60 to 95% of the parts of the AA that are inundated for &gt;7 days at some time of the year.</v>
      </c>
      <c r="D39" s="1318">
        <f>F!D39</f>
        <v>0</v>
      </c>
      <c r="E39" s="45">
        <v>4</v>
      </c>
      <c r="F39" s="54">
        <f>D39*E39</f>
        <v>0</v>
      </c>
      <c r="G39" s="800"/>
      <c r="H39" s="1521"/>
    </row>
    <row r="40" spans="1:8" ht="16.2" customHeight="1" thickBot="1" x14ac:dyDescent="0.3">
      <c r="A40" s="1868"/>
      <c r="B40" s="1691"/>
      <c r="C40" s="1317" t="str">
        <f>F!C40</f>
        <v>&gt;95% of the parts of the AA that are inundated for &gt;7 days at some time of the year.</v>
      </c>
      <c r="D40" s="1318">
        <f>F!D40</f>
        <v>0</v>
      </c>
      <c r="E40" s="54">
        <v>5</v>
      </c>
      <c r="F40" s="54">
        <f>D40*E40</f>
        <v>0</v>
      </c>
      <c r="G40" s="800"/>
      <c r="H40" s="1521"/>
    </row>
    <row r="41" spans="1:8" ht="30" customHeight="1" thickBot="1" x14ac:dyDescent="0.3">
      <c r="A41" s="1804" t="str">
        <f>F!A54</f>
        <v>F12</v>
      </c>
      <c r="B41" s="1599" t="str">
        <f>F!B54</f>
        <v>All Ponded Water as Percentage - Wettest (PondWpctWet)</v>
      </c>
      <c r="C41" s="186" t="str">
        <f>F!C54</f>
        <v>When water levels are highest, during a normal year, the surface water that is ponded continually for &gt;6 days occupies:</v>
      </c>
      <c r="D41" s="192"/>
      <c r="E41" s="192"/>
      <c r="F41" s="241"/>
      <c r="G41" s="804">
        <f>IF((NeverWater+TempWet&gt;0),"",MAX(F42:F47)/MAX(E42:E47))</f>
        <v>0</v>
      </c>
      <c r="H41" s="1622" t="s">
        <v>1665</v>
      </c>
    </row>
    <row r="42" spans="1:8" ht="27" customHeight="1" x14ac:dyDescent="0.25">
      <c r="A42" s="1805"/>
      <c r="B42" s="1582"/>
      <c r="C42" s="236" t="str">
        <f>F!C55</f>
        <v xml:space="preserve">&lt;1% or none of the AA.  Surface water is completely or nearly absent then, or is entirely flowing. 
Enter 1 and SKIP TO F22. </v>
      </c>
      <c r="D42" s="1304">
        <f>F!D55</f>
        <v>0</v>
      </c>
      <c r="E42" s="45">
        <v>5</v>
      </c>
      <c r="F42" s="45">
        <f t="shared" ref="F42:F47" si="3">D42*E42</f>
        <v>0</v>
      </c>
      <c r="G42" s="792"/>
      <c r="H42" s="1623"/>
    </row>
    <row r="43" spans="1:8" ht="16.2" customHeight="1" x14ac:dyDescent="0.25">
      <c r="A43" s="1805"/>
      <c r="B43" s="1582"/>
      <c r="C43" s="237" t="str">
        <f>F!C56</f>
        <v>1-5% of the AA.</v>
      </c>
      <c r="D43" s="1081">
        <f>F!D56</f>
        <v>0</v>
      </c>
      <c r="E43" s="45">
        <v>5</v>
      </c>
      <c r="F43" s="45">
        <f t="shared" si="3"/>
        <v>0</v>
      </c>
      <c r="G43" s="793"/>
      <c r="H43" s="1623"/>
    </row>
    <row r="44" spans="1:8" ht="16.2" customHeight="1" x14ac:dyDescent="0.25">
      <c r="A44" s="1805"/>
      <c r="B44" s="1582"/>
      <c r="C44" s="237" t="str">
        <f>F!C57</f>
        <v>5 to &lt;30% of the AA.</v>
      </c>
      <c r="D44" s="1081">
        <f>F!D57</f>
        <v>0</v>
      </c>
      <c r="E44" s="45">
        <v>4</v>
      </c>
      <c r="F44" s="45">
        <f t="shared" si="3"/>
        <v>0</v>
      </c>
      <c r="G44" s="793"/>
      <c r="H44" s="1623"/>
    </row>
    <row r="45" spans="1:8" ht="16.2" customHeight="1" x14ac:dyDescent="0.25">
      <c r="A45" s="1805"/>
      <c r="B45" s="1582"/>
      <c r="C45" s="237" t="str">
        <f>F!C58</f>
        <v>30 to &lt;70% of the AA.</v>
      </c>
      <c r="D45" s="1081">
        <f>F!D58</f>
        <v>0</v>
      </c>
      <c r="E45" s="45">
        <v>3</v>
      </c>
      <c r="F45" s="45">
        <f t="shared" si="3"/>
        <v>0</v>
      </c>
      <c r="G45" s="793"/>
      <c r="H45" s="1623"/>
    </row>
    <row r="46" spans="1:8" ht="16.2" customHeight="1" x14ac:dyDescent="0.25">
      <c r="A46" s="1805"/>
      <c r="B46" s="1582"/>
      <c r="C46" s="237" t="str">
        <f>F!C59</f>
        <v>70 to 95% of the AA.</v>
      </c>
      <c r="D46" s="1081">
        <f>F!D59</f>
        <v>0</v>
      </c>
      <c r="E46" s="45">
        <v>2</v>
      </c>
      <c r="F46" s="45">
        <f t="shared" si="3"/>
        <v>0</v>
      </c>
      <c r="G46" s="793"/>
      <c r="H46" s="1623"/>
    </row>
    <row r="47" spans="1:8" ht="16.2" customHeight="1" thickBot="1" x14ac:dyDescent="0.3">
      <c r="A47" s="1806"/>
      <c r="B47" s="1600"/>
      <c r="C47" s="212" t="str">
        <f>F!C60</f>
        <v>&gt;95% of the AA.</v>
      </c>
      <c r="D47" s="213">
        <f>F!D60</f>
        <v>0</v>
      </c>
      <c r="E47" s="193">
        <v>1</v>
      </c>
      <c r="F47" s="193">
        <f t="shared" si="3"/>
        <v>0</v>
      </c>
      <c r="G47" s="909"/>
      <c r="H47" s="1624"/>
    </row>
    <row r="48" spans="1:8" ht="57.75" customHeight="1" thickBot="1" x14ac:dyDescent="0.3">
      <c r="A48" s="1805" t="str">
        <f>F!A76</f>
        <v>F15</v>
      </c>
      <c r="B48" s="1521" t="str">
        <f>F!B76</f>
        <v>Width of Vegetated Zone - Wettest  (WidthWet)</v>
      </c>
      <c r="C48" s="4" t="str">
        <f>F!C76</f>
        <v>When water levels are highest, during a normal year, the width of the vegetated wetland  that separates the largest patch of open water within or bordering the AA from the closest adjacent uplands, is predominantly: 
[Note: This is not asking for the maximum width.]</v>
      </c>
      <c r="D48" s="192"/>
      <c r="E48" s="46"/>
      <c r="F48" s="60"/>
      <c r="G48" s="799">
        <f>IF((NeverWater+TempWet&gt;0),"",IF((NoPond=1),"", MAX(F49:F54)/MAX(E49:E54)))</f>
        <v>0</v>
      </c>
      <c r="H48" s="1896" t="s">
        <v>1710</v>
      </c>
    </row>
    <row r="49" spans="1:8" ht="16.2" customHeight="1" x14ac:dyDescent="0.25">
      <c r="A49" s="1805"/>
      <c r="B49" s="1521"/>
      <c r="C49" s="393" t="str">
        <f>F!C77</f>
        <v>&lt;5 ft, or no vegetation between upland and open water.</v>
      </c>
      <c r="D49" s="1306">
        <f>F!D77</f>
        <v>0</v>
      </c>
      <c r="E49" s="45">
        <v>6</v>
      </c>
      <c r="F49" s="45">
        <f t="shared" ref="F49:F54" si="4">D49*E49</f>
        <v>0</v>
      </c>
      <c r="G49" s="792"/>
      <c r="H49" s="1623"/>
    </row>
    <row r="50" spans="1:8" ht="16.2" customHeight="1" x14ac:dyDescent="0.25">
      <c r="A50" s="1805"/>
      <c r="B50" s="1521"/>
      <c r="C50" s="1275" t="str">
        <f>F!C78</f>
        <v>5 to &lt;30 ft.</v>
      </c>
      <c r="D50" s="1276">
        <f>F!D78</f>
        <v>0</v>
      </c>
      <c r="E50" s="45">
        <v>5</v>
      </c>
      <c r="F50" s="45">
        <f t="shared" si="4"/>
        <v>0</v>
      </c>
      <c r="G50" s="793"/>
      <c r="H50" s="1623"/>
    </row>
    <row r="51" spans="1:8" ht="16.2" customHeight="1" x14ac:dyDescent="0.25">
      <c r="A51" s="1805"/>
      <c r="B51" s="1521"/>
      <c r="C51" s="1275" t="str">
        <f>F!C79</f>
        <v>30 to &lt;50 ft.</v>
      </c>
      <c r="D51" s="1276">
        <f>F!D79</f>
        <v>0</v>
      </c>
      <c r="E51" s="45">
        <v>4</v>
      </c>
      <c r="F51" s="45">
        <f t="shared" si="4"/>
        <v>0</v>
      </c>
      <c r="G51" s="793"/>
      <c r="H51" s="1623"/>
    </row>
    <row r="52" spans="1:8" ht="16.2" customHeight="1" x14ac:dyDescent="0.25">
      <c r="A52" s="1805"/>
      <c r="B52" s="1521"/>
      <c r="C52" s="1275" t="str">
        <f>F!C80</f>
        <v>50 to &lt;100 ft.</v>
      </c>
      <c r="D52" s="1276">
        <f>F!D80</f>
        <v>0</v>
      </c>
      <c r="E52" s="45">
        <v>3</v>
      </c>
      <c r="F52" s="45">
        <f t="shared" si="4"/>
        <v>0</v>
      </c>
      <c r="G52" s="793"/>
      <c r="H52" s="1623"/>
    </row>
    <row r="53" spans="1:8" ht="16.2" customHeight="1" x14ac:dyDescent="0.25">
      <c r="A53" s="1805"/>
      <c r="B53" s="1521"/>
      <c r="C53" s="1275" t="str">
        <f>F!C81</f>
        <v>100 to 300 ft.</v>
      </c>
      <c r="D53" s="1276">
        <f>F!D81</f>
        <v>0</v>
      </c>
      <c r="E53" s="45">
        <v>2</v>
      </c>
      <c r="F53" s="54">
        <f t="shared" si="4"/>
        <v>0</v>
      </c>
      <c r="G53" s="800"/>
      <c r="H53" s="1623"/>
    </row>
    <row r="54" spans="1:8" ht="16.2" customHeight="1" thickBot="1" x14ac:dyDescent="0.3">
      <c r="A54" s="1805"/>
      <c r="B54" s="1521"/>
      <c r="C54" s="1275" t="str">
        <f>F!C82</f>
        <v>&gt; 300 ft.</v>
      </c>
      <c r="D54" s="1276">
        <f>F!D82</f>
        <v>0</v>
      </c>
      <c r="E54" s="54">
        <v>1</v>
      </c>
      <c r="F54" s="54">
        <f t="shared" si="4"/>
        <v>0</v>
      </c>
      <c r="G54" s="800"/>
      <c r="H54" s="1897"/>
    </row>
    <row r="55" spans="1:8" ht="30" customHeight="1" thickBot="1" x14ac:dyDescent="0.3">
      <c r="A55" s="1804" t="str">
        <f>F!A106</f>
        <v>F20</v>
      </c>
      <c r="B55" s="1522" t="str">
        <f>F!B106</f>
        <v xml:space="preserve">Floating-leaved &amp; Submerged Aquatic Vegetation (SAV)  </v>
      </c>
      <c r="C55" s="4" t="str">
        <f>F!C106</f>
        <v>SAV (submerged &amp; floating-leaved aquatic vegetation, excluding the species listed above) occupies an annual maximum of:</v>
      </c>
      <c r="D55" s="192"/>
      <c r="E55" s="192"/>
      <c r="F55" s="241"/>
      <c r="G55" s="804">
        <f>IF((NeverWater+TempWet&gt;0),"",IF((TempWet=1),"",IF((NoPond2=1),"",IF((NoPondOW2=1),"",IF((D61=1),"", MAX(F56:F61)/MAX(E56:E61))))))</f>
        <v>0</v>
      </c>
      <c r="H55" s="1522" t="s">
        <v>1711</v>
      </c>
    </row>
    <row r="56" spans="1:8" ht="16.2" customHeight="1" x14ac:dyDescent="0.25">
      <c r="A56" s="1805"/>
      <c r="B56" s="1521"/>
      <c r="C56" s="236" t="str">
        <f>F!C107</f>
        <v>none, or &lt;5% of the water area.</v>
      </c>
      <c r="D56" s="1304">
        <f>F!D107</f>
        <v>0</v>
      </c>
      <c r="E56" s="45">
        <v>0</v>
      </c>
      <c r="F56" s="45">
        <f>D56*E56</f>
        <v>0</v>
      </c>
      <c r="G56" s="793"/>
      <c r="H56" s="1521"/>
    </row>
    <row r="57" spans="1:8" ht="16.2" customHeight="1" x14ac:dyDescent="0.25">
      <c r="A57" s="1805"/>
      <c r="B57" s="1521"/>
      <c r="C57" s="237" t="str">
        <f>F!C108</f>
        <v>5 to &lt;25% of the water area.</v>
      </c>
      <c r="D57" s="1081">
        <f>F!D108</f>
        <v>0</v>
      </c>
      <c r="E57" s="45">
        <v>2</v>
      </c>
      <c r="F57" s="45">
        <f>D57*E57</f>
        <v>0</v>
      </c>
      <c r="G57" s="793"/>
      <c r="H57" s="1521"/>
    </row>
    <row r="58" spans="1:8" ht="16.2" customHeight="1" x14ac:dyDescent="0.25">
      <c r="A58" s="1805"/>
      <c r="B58" s="1521"/>
      <c r="C58" s="237" t="str">
        <f>F!C109</f>
        <v>25 to &lt;50% of the water area.</v>
      </c>
      <c r="D58" s="1081">
        <f>F!D109</f>
        <v>0</v>
      </c>
      <c r="E58" s="45">
        <v>3</v>
      </c>
      <c r="F58" s="45">
        <f>D58*E58</f>
        <v>0</v>
      </c>
      <c r="G58" s="793"/>
      <c r="H58" s="1521"/>
    </row>
    <row r="59" spans="1:8" ht="16.2" customHeight="1" x14ac:dyDescent="0.25">
      <c r="A59" s="1805"/>
      <c r="B59" s="1521"/>
      <c r="C59" s="237" t="str">
        <f>F!C110</f>
        <v>50 to 95% of the water area.</v>
      </c>
      <c r="D59" s="1081">
        <f>F!D110</f>
        <v>0</v>
      </c>
      <c r="E59" s="45">
        <v>4</v>
      </c>
      <c r="F59" s="45">
        <f>D59*E59</f>
        <v>0</v>
      </c>
      <c r="G59" s="793"/>
      <c r="H59" s="1521"/>
    </row>
    <row r="60" spans="1:8" ht="16.2" customHeight="1" x14ac:dyDescent="0.25">
      <c r="A60" s="1805"/>
      <c r="B60" s="1521"/>
      <c r="C60" s="237" t="str">
        <f>F!C111</f>
        <v>&gt;95% of the water area.</v>
      </c>
      <c r="D60" s="1081">
        <f>F!D111</f>
        <v>0</v>
      </c>
      <c r="E60" s="45">
        <v>5</v>
      </c>
      <c r="F60" s="45">
        <f>D60*E60</f>
        <v>0</v>
      </c>
      <c r="G60" s="793"/>
      <c r="H60" s="1521"/>
    </row>
    <row r="61" spans="1:8" ht="16.2" customHeight="1" thickBot="1" x14ac:dyDescent="0.3">
      <c r="A61" s="1806"/>
      <c r="B61" s="1523"/>
      <c r="C61" s="212" t="str">
        <f>F!C112</f>
        <v>many SAV plants present, but impossible to select from the above categories.</v>
      </c>
      <c r="D61" s="213">
        <f>F!D112</f>
        <v>0</v>
      </c>
      <c r="E61" s="193"/>
      <c r="F61" s="193"/>
      <c r="G61" s="909"/>
      <c r="H61" s="1523"/>
    </row>
    <row r="62" spans="1:8" ht="21" customHeight="1" thickBot="1" x14ac:dyDescent="0.3">
      <c r="A62" s="1805" t="str">
        <f>F!A128</f>
        <v>F25</v>
      </c>
      <c r="B62" s="1582" t="str">
        <f>F!B128</f>
        <v>Water Fluctuation Range - Maximum  (Fluctu)</v>
      </c>
      <c r="C62" s="4" t="str">
        <f>F!C128</f>
        <v>The maximum vertical fluctuation in surface water within the AA, during a normal year is:</v>
      </c>
      <c r="D62" s="192"/>
      <c r="E62" s="46"/>
      <c r="F62" s="60"/>
      <c r="G62" s="799">
        <f>MAX(F63:F67)/MAX(E63:E67)</f>
        <v>0</v>
      </c>
      <c r="H62" s="1896" t="s">
        <v>1666</v>
      </c>
    </row>
    <row r="63" spans="1:8" ht="16.2" customHeight="1" x14ac:dyDescent="0.25">
      <c r="A63" s="1805"/>
      <c r="B63" s="1582"/>
      <c r="C63" s="236" t="str">
        <f>F!C129</f>
        <v>&lt;0.5 ft or stable.</v>
      </c>
      <c r="D63" s="1304">
        <f>F!D129</f>
        <v>0</v>
      </c>
      <c r="E63" s="45">
        <v>0</v>
      </c>
      <c r="F63" s="45">
        <f>D63*E63</f>
        <v>0</v>
      </c>
      <c r="G63" s="792"/>
      <c r="H63" s="1623"/>
    </row>
    <row r="64" spans="1:8" ht="16.2" customHeight="1" x14ac:dyDescent="0.25">
      <c r="A64" s="1805"/>
      <c r="B64" s="1582"/>
      <c r="C64" s="237" t="str">
        <f>F!C130</f>
        <v>0.5 to &lt; 1 ft.</v>
      </c>
      <c r="D64" s="1081">
        <f>F!D130</f>
        <v>0</v>
      </c>
      <c r="E64" s="45">
        <v>1</v>
      </c>
      <c r="F64" s="45">
        <f>D64*E64</f>
        <v>0</v>
      </c>
      <c r="G64" s="793"/>
      <c r="H64" s="1623"/>
    </row>
    <row r="65" spans="1:8" ht="16.2" customHeight="1" x14ac:dyDescent="0.25">
      <c r="A65" s="1805"/>
      <c r="B65" s="1582"/>
      <c r="C65" s="237" t="str">
        <f>F!C131</f>
        <v>1 to &lt;3 ft.</v>
      </c>
      <c r="D65" s="1081">
        <f>F!D131</f>
        <v>0</v>
      </c>
      <c r="E65" s="45">
        <v>2</v>
      </c>
      <c r="F65" s="45">
        <f>D65*E65</f>
        <v>0</v>
      </c>
      <c r="G65" s="793"/>
      <c r="H65" s="1623"/>
    </row>
    <row r="66" spans="1:8" ht="16.2" customHeight="1" x14ac:dyDescent="0.25">
      <c r="A66" s="1805"/>
      <c r="B66" s="1582"/>
      <c r="C66" s="237" t="str">
        <f>F!C132</f>
        <v>3 to 6 ft.</v>
      </c>
      <c r="D66" s="1081">
        <f>F!D132</f>
        <v>0</v>
      </c>
      <c r="E66" s="45">
        <v>3</v>
      </c>
      <c r="F66" s="45">
        <f>D66*E66</f>
        <v>0</v>
      </c>
      <c r="G66" s="793"/>
      <c r="H66" s="1623"/>
    </row>
    <row r="67" spans="1:8" ht="16.2" customHeight="1" thickBot="1" x14ac:dyDescent="0.3">
      <c r="A67" s="1805"/>
      <c r="B67" s="1582"/>
      <c r="C67" s="1275" t="str">
        <f>F!C133</f>
        <v>&gt;6 ft.</v>
      </c>
      <c r="D67" s="1276">
        <f>F!D133</f>
        <v>0</v>
      </c>
      <c r="E67" s="54">
        <v>2</v>
      </c>
      <c r="F67" s="54">
        <f>D67*E67</f>
        <v>0</v>
      </c>
      <c r="G67" s="800"/>
      <c r="H67" s="1897"/>
    </row>
    <row r="68" spans="1:8" ht="45" customHeight="1" thickBot="1" x14ac:dyDescent="0.3">
      <c r="A68" s="1821" t="str">
        <f>F!A134</f>
        <v>F26</v>
      </c>
      <c r="B68" s="1522" t="str">
        <f>F!B134</f>
        <v>% Only Saturated or Seasonally Flooded (SeasPct)</v>
      </c>
      <c r="C68" s="4"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68" s="192"/>
      <c r="E68" s="192"/>
      <c r="F68" s="241"/>
      <c r="G68" s="804">
        <f>MAX(F69:F73)/MAX(E69:E73)</f>
        <v>0</v>
      </c>
      <c r="H68" s="1622" t="s">
        <v>141</v>
      </c>
    </row>
    <row r="69" spans="1:8" ht="16.2" customHeight="1" x14ac:dyDescent="0.25">
      <c r="A69" s="1822"/>
      <c r="B69" s="1521"/>
      <c r="C69" s="393" t="str">
        <f>F!C135</f>
        <v>&lt;5% of the AA, or none (i.e., all water persists for &gt;4 months).</v>
      </c>
      <c r="D69" s="1306">
        <f>F!D135</f>
        <v>0</v>
      </c>
      <c r="E69" s="45">
        <v>1</v>
      </c>
      <c r="F69" s="45">
        <f>D69*E69</f>
        <v>0</v>
      </c>
      <c r="G69" s="792"/>
      <c r="H69" s="1623"/>
    </row>
    <row r="70" spans="1:8" ht="16.2" customHeight="1" x14ac:dyDescent="0.25">
      <c r="A70" s="1822"/>
      <c r="B70" s="1521"/>
      <c r="C70" s="1275" t="str">
        <f>F!C136</f>
        <v>5 to &lt;25% of the AA.</v>
      </c>
      <c r="D70" s="1276">
        <f>F!D136</f>
        <v>0</v>
      </c>
      <c r="E70" s="45">
        <v>2</v>
      </c>
      <c r="F70" s="45">
        <f>D70*E70</f>
        <v>0</v>
      </c>
      <c r="G70" s="793"/>
      <c r="H70" s="1623"/>
    </row>
    <row r="71" spans="1:8" ht="16.2" customHeight="1" x14ac:dyDescent="0.25">
      <c r="A71" s="1822"/>
      <c r="B71" s="1521"/>
      <c r="C71" s="1275" t="str">
        <f>F!C137</f>
        <v>25 to &lt;50% of the AA.</v>
      </c>
      <c r="D71" s="1276">
        <f>F!D137</f>
        <v>0</v>
      </c>
      <c r="E71" s="45">
        <v>3</v>
      </c>
      <c r="F71" s="45">
        <f>D71*E71</f>
        <v>0</v>
      </c>
      <c r="G71" s="793"/>
      <c r="H71" s="1623"/>
    </row>
    <row r="72" spans="1:8" ht="16.2" customHeight="1" x14ac:dyDescent="0.25">
      <c r="A72" s="1822"/>
      <c r="B72" s="1521"/>
      <c r="C72" s="1275" t="str">
        <f>F!C138</f>
        <v>50 to 75% of the AA.</v>
      </c>
      <c r="D72" s="1276">
        <f>F!D138</f>
        <v>0</v>
      </c>
      <c r="E72" s="45">
        <v>4</v>
      </c>
      <c r="F72" s="45">
        <f>D72*E72</f>
        <v>0</v>
      </c>
      <c r="G72" s="793"/>
      <c r="H72" s="1623"/>
    </row>
    <row r="73" spans="1:8" ht="16.2" customHeight="1" thickBot="1" x14ac:dyDescent="0.3">
      <c r="A73" s="1825"/>
      <c r="B73" s="1523"/>
      <c r="C73" s="212" t="str">
        <f>F!C139</f>
        <v>&gt;75% of the AA.</v>
      </c>
      <c r="D73" s="213">
        <f>F!D139</f>
        <v>0</v>
      </c>
      <c r="E73" s="193">
        <v>5</v>
      </c>
      <c r="F73" s="193">
        <f>D73*E73</f>
        <v>0</v>
      </c>
      <c r="G73" s="909"/>
      <c r="H73" s="1624"/>
    </row>
    <row r="74" spans="1:8" ht="81" customHeight="1" thickBot="1" x14ac:dyDescent="0.3">
      <c r="A74" s="1821" t="str">
        <f>F!A162</f>
        <v>F31</v>
      </c>
      <c r="B74" s="1599" t="str">
        <f>F!B162</f>
        <v>Outflow Duration (OutDura)</v>
      </c>
      <c r="C74" s="4"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74" s="192"/>
      <c r="E74" s="192"/>
      <c r="F74" s="241"/>
      <c r="G74" s="804">
        <f>MAX(F75:F78)/MAX(E75:E78)</f>
        <v>0</v>
      </c>
      <c r="H74" s="1622" t="s">
        <v>199</v>
      </c>
    </row>
    <row r="75" spans="1:8" ht="16.2" customHeight="1" x14ac:dyDescent="0.25">
      <c r="A75" s="1822"/>
      <c r="B75" s="1582"/>
      <c r="C75" s="236" t="str">
        <f>F!C163</f>
        <v>Persistent (&gt;9 months/year).</v>
      </c>
      <c r="D75" s="1304">
        <f>F!D163</f>
        <v>0</v>
      </c>
      <c r="E75" s="45">
        <v>4</v>
      </c>
      <c r="F75" s="45">
        <f>D75*E75</f>
        <v>0</v>
      </c>
      <c r="G75" s="792"/>
      <c r="H75" s="1623"/>
    </row>
    <row r="76" spans="1:8" ht="16.2" customHeight="1" x14ac:dyDescent="0.25">
      <c r="A76" s="1822"/>
      <c r="B76" s="1582"/>
      <c r="C76" s="237" t="str">
        <f>F!C164</f>
        <v>Seasonal (14 days to 9 months/year, not necessarily consecutive).</v>
      </c>
      <c r="D76" s="1081">
        <f>F!D164</f>
        <v>0</v>
      </c>
      <c r="E76" s="45">
        <v>3</v>
      </c>
      <c r="F76" s="45">
        <f>D76*E76</f>
        <v>0</v>
      </c>
      <c r="G76" s="793"/>
      <c r="H76" s="1623"/>
    </row>
    <row r="77" spans="1:8" ht="16.2" customHeight="1" x14ac:dyDescent="0.25">
      <c r="A77" s="1822"/>
      <c r="B77" s="1582"/>
      <c r="C77" s="237" t="str">
        <f>F!C165</f>
        <v>Temporary (&lt;14 days, not necessarily consecutive).</v>
      </c>
      <c r="D77" s="1081">
        <f>F!D165</f>
        <v>0</v>
      </c>
      <c r="E77" s="45">
        <v>2</v>
      </c>
      <c r="F77" s="45">
        <f>D77*E77</f>
        <v>0</v>
      </c>
      <c r="G77" s="793"/>
      <c r="H77" s="1623"/>
    </row>
    <row r="78" spans="1:8" ht="42" customHeight="1" thickBot="1" x14ac:dyDescent="0.3">
      <c r="A78" s="1825"/>
      <c r="B78" s="1516"/>
      <c r="C78" s="1366" t="str">
        <f>F!C166</f>
        <v xml:space="preserve">None -- no surface water flows out of the wetland except possibly during extreme events (&lt;once per 10 years). Or, water flows only into a wetland, ditch, or lake that lacks an outlet. Enter 1  and SKIP TO F33. </v>
      </c>
      <c r="D78" s="198">
        <f>F!D166</f>
        <v>0</v>
      </c>
      <c r="E78" s="245">
        <v>0</v>
      </c>
      <c r="F78" s="193">
        <f>D78*E78</f>
        <v>0</v>
      </c>
      <c r="G78" s="794"/>
      <c r="H78" s="1624"/>
    </row>
    <row r="79" spans="1:8" ht="21" customHeight="1" thickBot="1" x14ac:dyDescent="0.3">
      <c r="A79" s="1805" t="str">
        <f>F!A167</f>
        <v>F32</v>
      </c>
      <c r="B79" s="1582" t="str">
        <f>F!B167</f>
        <v>Outflow Confinement (Constric)</v>
      </c>
      <c r="C79" s="714" t="str">
        <f>F!C167</f>
        <v>During major runoff events, in the places described above where surface water exits the AA, it:</v>
      </c>
      <c r="D79" s="192"/>
      <c r="E79" s="46"/>
      <c r="F79" s="60"/>
      <c r="G79" s="799">
        <f>IF((NeverWater+TempWet&gt;0),"",IF((NoOutlet=1),"",MAX(F80:F82)/MAX(E80:E82)))</f>
        <v>0</v>
      </c>
      <c r="H79" s="1896" t="s">
        <v>1726</v>
      </c>
    </row>
    <row r="80" spans="1:8" ht="27" customHeight="1" x14ac:dyDescent="0.25">
      <c r="A80" s="1805"/>
      <c r="B80" s="1582"/>
      <c r="C80" s="236" t="str">
        <f>F!C168</f>
        <v>Is impeded as it mostly passes through a pipe, culvert, tidegate, narrowly breached dike, berm, beaver dam, or other partial obstruction (other than natural topography).</v>
      </c>
      <c r="D80" s="1304">
        <f>F!D168</f>
        <v>0</v>
      </c>
      <c r="E80" s="45">
        <v>0</v>
      </c>
      <c r="F80" s="45">
        <f>D80*E80</f>
        <v>0</v>
      </c>
      <c r="G80" s="792"/>
      <c r="H80" s="1623"/>
    </row>
    <row r="81" spans="1:8" ht="27" customHeight="1" x14ac:dyDescent="0.25">
      <c r="A81" s="1805"/>
      <c r="B81" s="1582"/>
      <c r="C81" s="237" t="str">
        <f>F!C169</f>
        <v>Leaves mainly through natural surface exits, not largely through artificial or temporary features which impede or accelerate outflow.</v>
      </c>
      <c r="D81" s="1081">
        <f>F!D169</f>
        <v>0</v>
      </c>
      <c r="E81" s="45">
        <v>1</v>
      </c>
      <c r="F81" s="45">
        <f>D81*E81</f>
        <v>0</v>
      </c>
      <c r="G81" s="806"/>
      <c r="H81" s="1623"/>
    </row>
    <row r="82" spans="1:8" ht="27" customHeight="1" thickBot="1" x14ac:dyDescent="0.3">
      <c r="A82" s="1806"/>
      <c r="B82" s="1600"/>
      <c r="C82" s="212" t="str">
        <f>F!C170</f>
        <v>Is exported more quickly than usual as it mostly passes through ditches or pipes intended to accelerate drainage.  They may be within the AA or connected to its outlet or within 30 ft of the AA's edge.</v>
      </c>
      <c r="D82" s="213">
        <f>F!D170</f>
        <v>0</v>
      </c>
      <c r="E82" s="193">
        <v>2</v>
      </c>
      <c r="F82" s="193">
        <f>D82*E82</f>
        <v>0</v>
      </c>
      <c r="G82" s="909"/>
      <c r="H82" s="1624"/>
    </row>
    <row r="83" spans="1:8" ht="45" customHeight="1" thickBot="1" x14ac:dyDescent="0.3">
      <c r="A83" s="1804" t="str">
        <f>F!A177</f>
        <v>F35</v>
      </c>
      <c r="B83" s="1599" t="str">
        <f>F!B177</f>
        <v>Throughflow Complexity (ThruFlo)</v>
      </c>
      <c r="C83" s="4" t="str">
        <f>F!C177</f>
        <v>[Skip this question if the AA lacks both an inlet and outlet.]  During peak annual flow, water entering the AA in channels encounters which of the following conditions as it travels through the AA: Select the ONE encountered most.</v>
      </c>
      <c r="D83" s="192"/>
      <c r="E83" s="192"/>
      <c r="F83" s="241"/>
      <c r="G83" s="804">
        <f>IF(AND(Inflow=0,NoOutlet=1),"",MAX(F84:F88)/MAX(E84:E88))</f>
        <v>0</v>
      </c>
      <c r="H83" s="1622" t="s">
        <v>1722</v>
      </c>
    </row>
    <row r="84" spans="1:8" ht="42" customHeight="1" x14ac:dyDescent="0.25">
      <c r="A84" s="1805"/>
      <c r="B84" s="1582"/>
      <c r="C84" s="236"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84" s="1304">
        <f>F!D178</f>
        <v>0</v>
      </c>
      <c r="E84" s="45">
        <v>0</v>
      </c>
      <c r="F84" s="45">
        <f>D84*E84</f>
        <v>0</v>
      </c>
      <c r="G84" s="792"/>
      <c r="H84" s="1623"/>
    </row>
    <row r="85" spans="1:8" ht="16.2" customHeight="1" x14ac:dyDescent="0.25">
      <c r="A85" s="1805"/>
      <c r="B85" s="1582"/>
      <c r="C85" s="237" t="str">
        <f>F!C179</f>
        <v>Bumps into herbaceous vegetation but mostly remains in fairly straight channels.</v>
      </c>
      <c r="D85" s="1081">
        <f>F!D179</f>
        <v>0</v>
      </c>
      <c r="E85" s="45">
        <v>1</v>
      </c>
      <c r="F85" s="45">
        <f>D85*E85</f>
        <v>0</v>
      </c>
      <c r="G85" s="793"/>
      <c r="H85" s="1623"/>
    </row>
    <row r="86" spans="1:8" ht="27" customHeight="1" x14ac:dyDescent="0.25">
      <c r="A86" s="1805"/>
      <c r="B86" s="1582"/>
      <c r="C86" s="237" t="str">
        <f>F!C180</f>
        <v>Bumps into herbaceous vegetation and mostly spreads throughout, or follows a fairly indirect path (in widely meandering, multi-branched, or braided channels).</v>
      </c>
      <c r="D86" s="1081">
        <f>F!D180</f>
        <v>0</v>
      </c>
      <c r="E86" s="45">
        <v>2</v>
      </c>
      <c r="F86" s="45">
        <f>D86*E86</f>
        <v>0</v>
      </c>
      <c r="G86" s="793"/>
      <c r="H86" s="1623"/>
    </row>
    <row r="87" spans="1:8" ht="16.2" customHeight="1" x14ac:dyDescent="0.25">
      <c r="A87" s="1805"/>
      <c r="B87" s="1582"/>
      <c r="C87" s="237" t="str">
        <f>F!C181</f>
        <v>Bumps into tree trunks and/or shrub stems but mostly remains in fairly straight channels.</v>
      </c>
      <c r="D87" s="1081">
        <f>F!D181</f>
        <v>0</v>
      </c>
      <c r="E87" s="45">
        <v>1</v>
      </c>
      <c r="F87" s="45">
        <f>D87*E87</f>
        <v>0</v>
      </c>
      <c r="G87" s="793"/>
      <c r="H87" s="1623"/>
    </row>
    <row r="88" spans="1:8" ht="27" customHeight="1" thickBot="1" x14ac:dyDescent="0.3">
      <c r="A88" s="1806"/>
      <c r="B88" s="1600"/>
      <c r="C88" s="212" t="str">
        <f>F!C182</f>
        <v>Bumps into tree trunks and/or shrub stems and follows a fairly indirect path  (meandering, multi-branched, or braided) from entrance to exit.</v>
      </c>
      <c r="D88" s="213">
        <f>F!D182</f>
        <v>0</v>
      </c>
      <c r="E88" s="193">
        <v>2</v>
      </c>
      <c r="F88" s="193">
        <f>D88*E88</f>
        <v>0</v>
      </c>
      <c r="G88" s="909"/>
      <c r="H88" s="1624"/>
    </row>
    <row r="89" spans="1:8" ht="21" customHeight="1" thickBot="1" x14ac:dyDescent="0.3">
      <c r="A89" s="1867" t="str">
        <f>F!A183</f>
        <v>F36</v>
      </c>
      <c r="B89" s="1669" t="str">
        <f>F!B183</f>
        <v>Internal Gradient (Gradient)</v>
      </c>
      <c r="C89" s="219" t="str">
        <f>F!C183</f>
        <v>The gradient from the lowest to highest point of land within the AA (or from outlet to inlet) is:</v>
      </c>
      <c r="D89" s="192"/>
      <c r="E89" s="192"/>
      <c r="F89" s="878"/>
      <c r="G89" s="804">
        <f>MAX(F90:F93)/MAX(E90:E93)</f>
        <v>0</v>
      </c>
      <c r="H89" s="1522" t="s">
        <v>384</v>
      </c>
    </row>
    <row r="90" spans="1:8" ht="16.2" customHeight="1" x14ac:dyDescent="0.25">
      <c r="A90" s="1868"/>
      <c r="B90" s="1691"/>
      <c r="C90" s="1356" t="str">
        <f>F!C184</f>
        <v>&lt;2% (internal flow is absent or barely detectable; basically flat).</v>
      </c>
      <c r="D90" s="1357">
        <f>F!D184</f>
        <v>0</v>
      </c>
      <c r="E90" s="45">
        <v>0</v>
      </c>
      <c r="F90" s="844">
        <f>D90*E90</f>
        <v>0</v>
      </c>
      <c r="G90" s="792"/>
      <c r="H90" s="1521"/>
    </row>
    <row r="91" spans="1:8" ht="16.2" customHeight="1" x14ac:dyDescent="0.25">
      <c r="A91" s="1868"/>
      <c r="B91" s="1691"/>
      <c r="C91" s="1358" t="str">
        <f>F!C185</f>
        <v>2 to &lt;6%.</v>
      </c>
      <c r="D91" s="1359">
        <f>F!D185</f>
        <v>0</v>
      </c>
      <c r="E91" s="45">
        <v>1</v>
      </c>
      <c r="F91" s="844">
        <f>D91*E91</f>
        <v>0</v>
      </c>
      <c r="G91" s="793"/>
      <c r="H91" s="1521"/>
    </row>
    <row r="92" spans="1:8" ht="16.2" customHeight="1" x14ac:dyDescent="0.25">
      <c r="A92" s="1868"/>
      <c r="B92" s="1691"/>
      <c r="C92" s="1358" t="str">
        <f>F!C186</f>
        <v>6 to 10%.</v>
      </c>
      <c r="D92" s="1359">
        <f>F!D186</f>
        <v>0</v>
      </c>
      <c r="E92" s="45">
        <v>2</v>
      </c>
      <c r="F92" s="844">
        <f>D92*E92</f>
        <v>0</v>
      </c>
      <c r="G92" s="793"/>
      <c r="H92" s="1521"/>
    </row>
    <row r="93" spans="1:8" ht="16.2" customHeight="1" thickBot="1" x14ac:dyDescent="0.3">
      <c r="A93" s="1869"/>
      <c r="B93" s="1692"/>
      <c r="C93" s="1367" t="str">
        <f>F!C187</f>
        <v>&gt;10%.</v>
      </c>
      <c r="D93" s="1320">
        <f>F!D187</f>
        <v>0</v>
      </c>
      <c r="E93" s="193">
        <v>4</v>
      </c>
      <c r="F93" s="845">
        <f>D93*E93</f>
        <v>0</v>
      </c>
      <c r="G93" s="794"/>
      <c r="H93" s="1523"/>
    </row>
    <row r="94" spans="1:8" ht="21" customHeight="1" thickBot="1" x14ac:dyDescent="0.3">
      <c r="A94" s="1805" t="str">
        <f>F!A188</f>
        <v>F37</v>
      </c>
      <c r="B94" s="1521" t="str">
        <f>F!B188</f>
        <v xml:space="preserve">Groundwater Strength of Evidence (Groundw) </v>
      </c>
      <c r="C94" s="714" t="str">
        <f>F!C188</f>
        <v>Select first one that applies:</v>
      </c>
      <c r="D94" s="192"/>
      <c r="E94" s="46"/>
      <c r="F94" s="46"/>
      <c r="G94" s="799">
        <f>MAX(F95:F98)/MAX(E95:E98)</f>
        <v>0</v>
      </c>
      <c r="H94" s="1521" t="s">
        <v>143</v>
      </c>
    </row>
    <row r="95" spans="1:8" ht="99" customHeight="1" x14ac:dyDescent="0.25">
      <c r="A95" s="1805"/>
      <c r="B95" s="1521"/>
      <c r="C95" s="236"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95" s="1304">
        <f>F!D189</f>
        <v>0</v>
      </c>
      <c r="E95" s="45">
        <v>3</v>
      </c>
      <c r="F95" s="45">
        <f>D95*E95</f>
        <v>0</v>
      </c>
      <c r="G95" s="793"/>
      <c r="H95" s="1521"/>
    </row>
    <row r="96" spans="1:8" ht="99" customHeight="1" x14ac:dyDescent="0.25">
      <c r="A96" s="1805"/>
      <c r="B96" s="1521"/>
      <c r="C96" s="237"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96" s="1081">
        <f>F!D190</f>
        <v>0</v>
      </c>
      <c r="E96" s="45">
        <v>2</v>
      </c>
      <c r="F96" s="45">
        <f>D96*E96</f>
        <v>0</v>
      </c>
      <c r="G96" s="793"/>
      <c r="H96" s="1521"/>
    </row>
    <row r="97" spans="1:8" ht="41.25" customHeight="1" x14ac:dyDescent="0.25">
      <c r="A97" s="1805"/>
      <c r="B97" s="1521"/>
      <c r="C97" s="237" t="str">
        <f>F!C191</f>
        <v>The AA is not in an Arid or Semi-arid hydrologic unit, but has persistent ponded water, no tributary, and is not fed by wastewater, concentrated stormwater, or irrigation water, or by an adjacent river or lake.</v>
      </c>
      <c r="D97" s="1081">
        <f>F!D191</f>
        <v>0</v>
      </c>
      <c r="E97" s="45">
        <v>1</v>
      </c>
      <c r="F97" s="45">
        <f>D97*E97</f>
        <v>0</v>
      </c>
      <c r="G97" s="800"/>
      <c r="H97" s="1521"/>
    </row>
    <row r="98" spans="1:8" ht="27" customHeight="1" thickBot="1" x14ac:dyDescent="0.3">
      <c r="A98" s="1805"/>
      <c r="B98" s="1521"/>
      <c r="C98" s="1275" t="str">
        <f>F!C192</f>
        <v>None of above is true, OR AA contains a hot spring. Some groundwater may nonetheless discharge to or flow through the wetland.</v>
      </c>
      <c r="D98" s="1276">
        <f>F!D192</f>
        <v>0</v>
      </c>
      <c r="E98" s="54">
        <v>0</v>
      </c>
      <c r="F98" s="54">
        <f>D98*E98</f>
        <v>0</v>
      </c>
      <c r="G98" s="800"/>
      <c r="H98" s="1521"/>
    </row>
    <row r="99" spans="1:8" ht="60" customHeight="1" thickBot="1" x14ac:dyDescent="0.3">
      <c r="A99" s="1368" t="str">
        <f>F!A220</f>
        <v>F44</v>
      </c>
      <c r="B99" s="255" t="str">
        <f>F!B220</f>
        <v>Moss Wetland (Moss)</v>
      </c>
      <c r="C99" s="960" t="str">
        <f>F!C220</f>
        <v>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Enter 1, if true.</v>
      </c>
      <c r="D99" s="47">
        <f>F!D220</f>
        <v>0</v>
      </c>
      <c r="E99" s="249"/>
      <c r="F99" s="249"/>
      <c r="G99" s="804">
        <f>IF((D99=1), 0, 1)</f>
        <v>1</v>
      </c>
      <c r="H99" s="114" t="s">
        <v>1602</v>
      </c>
    </row>
    <row r="100" spans="1:8" ht="45" customHeight="1" thickBot="1" x14ac:dyDescent="0.3">
      <c r="A100" s="1805" t="str">
        <f>F!A253</f>
        <v>F51</v>
      </c>
      <c r="B100" s="1582" t="str">
        <f>F!B253</f>
        <v>N Fixers (Nfix)</v>
      </c>
      <c r="C100" s="4" t="str">
        <f>F!C253</f>
        <v>The percentage of the vegetated area in the AA or along its water edge (whichever has more) that contains nitrogen-fixing plants (e.g., alder, baltic rush, scotch broom, lupine, clover, alfalfa, other legumes) is:</v>
      </c>
      <c r="D100" s="192"/>
      <c r="E100" s="46"/>
      <c r="F100" s="60"/>
      <c r="G100" s="799">
        <f>MAX(F101:F105)/MAX(E101:E105)</f>
        <v>0</v>
      </c>
      <c r="H100" s="1896" t="s">
        <v>2006</v>
      </c>
    </row>
    <row r="101" spans="1:8" ht="16.2" customHeight="1" x14ac:dyDescent="0.25">
      <c r="A101" s="1805"/>
      <c r="B101" s="1582"/>
      <c r="C101" s="236" t="str">
        <f>F!C254</f>
        <v>&lt;1% or none.</v>
      </c>
      <c r="D101" s="1304">
        <f>F!D254</f>
        <v>0</v>
      </c>
      <c r="E101" s="45">
        <v>0</v>
      </c>
      <c r="F101" s="45">
        <f>D101*E101</f>
        <v>0</v>
      </c>
      <c r="G101" s="792"/>
      <c r="H101" s="1623"/>
    </row>
    <row r="102" spans="1:8" ht="16.2" customHeight="1" x14ac:dyDescent="0.25">
      <c r="A102" s="1805"/>
      <c r="B102" s="1582"/>
      <c r="C102" s="237" t="str">
        <f>F!C255</f>
        <v>1 to &lt;25%.</v>
      </c>
      <c r="D102" s="1081">
        <f>F!D255</f>
        <v>0</v>
      </c>
      <c r="E102" s="45">
        <v>1</v>
      </c>
      <c r="F102" s="45">
        <f>D102*E102</f>
        <v>0</v>
      </c>
      <c r="G102" s="793"/>
      <c r="H102" s="1623"/>
    </row>
    <row r="103" spans="1:8" ht="16.2" customHeight="1" x14ac:dyDescent="0.25">
      <c r="A103" s="1805"/>
      <c r="B103" s="1582"/>
      <c r="C103" s="237" t="str">
        <f>F!C256</f>
        <v>25 to &lt;50%.</v>
      </c>
      <c r="D103" s="1081">
        <f>F!D256</f>
        <v>0</v>
      </c>
      <c r="E103" s="45">
        <v>2</v>
      </c>
      <c r="F103" s="45">
        <f>D103*E103</f>
        <v>0</v>
      </c>
      <c r="G103" s="793"/>
      <c r="H103" s="1623"/>
    </row>
    <row r="104" spans="1:8" ht="16.2" customHeight="1" x14ac:dyDescent="0.25">
      <c r="A104" s="1805"/>
      <c r="B104" s="1582"/>
      <c r="C104" s="237" t="str">
        <f>F!C257</f>
        <v>50 to 75%.</v>
      </c>
      <c r="D104" s="1081">
        <f>F!D257</f>
        <v>0</v>
      </c>
      <c r="E104" s="45">
        <v>3</v>
      </c>
      <c r="F104" s="45">
        <f>D104*E104</f>
        <v>0</v>
      </c>
      <c r="G104" s="793"/>
      <c r="H104" s="1623"/>
    </row>
    <row r="105" spans="1:8" ht="16.2" customHeight="1" thickBot="1" x14ac:dyDescent="0.3">
      <c r="A105" s="1805"/>
      <c r="B105" s="1582"/>
      <c r="C105" s="1275" t="str">
        <f>F!C258</f>
        <v>&gt;75%.</v>
      </c>
      <c r="D105" s="1276">
        <f>F!D258</f>
        <v>0</v>
      </c>
      <c r="E105" s="54">
        <v>4</v>
      </c>
      <c r="F105" s="54">
        <f>D105*E105</f>
        <v>0</v>
      </c>
      <c r="G105" s="800"/>
      <c r="H105" s="1897"/>
    </row>
    <row r="106" spans="1:8" ht="41.25" customHeight="1" thickBot="1" x14ac:dyDescent="0.3">
      <c r="A106" s="1804" t="str">
        <f>F!A288</f>
        <v>F56</v>
      </c>
      <c r="B106" s="1599" t="str">
        <f>F!B288</f>
        <v>Bare Ground &amp; Accumulated Plant Litter (Gcover)</v>
      </c>
      <c r="C106" s="4" t="str">
        <f>F!C288</f>
        <v>Consider the parts of the AA that go dry during a normal year. Viewed from 6 inches above the soil surface, the condition in most of that area just before the year's longest inundation period begins is:</v>
      </c>
      <c r="D106" s="192"/>
      <c r="E106" s="192"/>
      <c r="F106" s="241"/>
      <c r="G106" s="804">
        <f>IF((D111=1),"",MAX(F107:F110)/MAX(E107:E110))</f>
        <v>0</v>
      </c>
      <c r="H106" s="1622" t="s">
        <v>142</v>
      </c>
    </row>
    <row r="107" spans="1:8" ht="55.5" customHeight="1" x14ac:dyDescent="0.25">
      <c r="A107" s="1805"/>
      <c r="B107" s="1582"/>
      <c r="C107" s="236"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107" s="1304">
        <f>F!D289</f>
        <v>0</v>
      </c>
      <c r="E107" s="45">
        <v>4</v>
      </c>
      <c r="F107" s="45">
        <f>D107*E107</f>
        <v>0</v>
      </c>
      <c r="G107" s="792"/>
      <c r="H107" s="1623"/>
    </row>
    <row r="108" spans="1:8" ht="27" customHeight="1" x14ac:dyDescent="0.25">
      <c r="A108" s="1805"/>
      <c r="B108" s="1582"/>
      <c r="C108" s="237" t="str">
        <f>F!C290</f>
        <v>Some (5-20%) bare ground or remaining thatch is visible.  Herbaceous plants have moderate stem densities and do not closely hug the ground.</v>
      </c>
      <c r="D108" s="1081">
        <f>F!D290</f>
        <v>0</v>
      </c>
      <c r="E108" s="45">
        <v>3</v>
      </c>
      <c r="F108" s="45">
        <f>D108*E108</f>
        <v>0</v>
      </c>
      <c r="G108" s="793"/>
      <c r="H108" s="1623"/>
    </row>
    <row r="109" spans="1:8" ht="27" customHeight="1" x14ac:dyDescent="0.25">
      <c r="A109" s="1805"/>
      <c r="B109" s="1582"/>
      <c r="C109" s="237" t="str">
        <f>F!C291</f>
        <v>Much (20-50%) bare ground or thatch is visible.  Low stem density and/or tall plants with little living ground cover during early growing season.</v>
      </c>
      <c r="D109" s="1081">
        <f>F!D291</f>
        <v>0</v>
      </c>
      <c r="E109" s="45">
        <v>2</v>
      </c>
      <c r="F109" s="45">
        <f>D109*E109</f>
        <v>0</v>
      </c>
      <c r="G109" s="793"/>
      <c r="H109" s="1623"/>
    </row>
    <row r="110" spans="1:8" ht="16.2" customHeight="1" x14ac:dyDescent="0.25">
      <c r="A110" s="1805"/>
      <c r="B110" s="1582"/>
      <c r="C110" s="237" t="str">
        <f>F!C292</f>
        <v>Mostly (&gt;50%) bare ground or thatch.</v>
      </c>
      <c r="D110" s="1081">
        <f>F!D292</f>
        <v>0</v>
      </c>
      <c r="E110" s="45">
        <v>1</v>
      </c>
      <c r="F110" s="45">
        <f>D110*E110</f>
        <v>0</v>
      </c>
      <c r="G110" s="800"/>
      <c r="H110" s="1623"/>
    </row>
    <row r="111" spans="1:8" ht="16.2" customHeight="1" thickBot="1" x14ac:dyDescent="0.3">
      <c r="A111" s="1806"/>
      <c r="B111" s="1600"/>
      <c r="C111" s="212" t="str">
        <f>F!C293</f>
        <v>Not applicable.  All of the AA is inundated throughout most years.</v>
      </c>
      <c r="D111" s="213">
        <f>F!D293</f>
        <v>0</v>
      </c>
      <c r="E111" s="193"/>
      <c r="F111" s="193"/>
      <c r="G111" s="909"/>
      <c r="H111" s="1624"/>
    </row>
    <row r="112" spans="1:8" ht="37.5" customHeight="1" thickBot="1" x14ac:dyDescent="0.3">
      <c r="A112" s="1805" t="str">
        <f>F!A298</f>
        <v>F58</v>
      </c>
      <c r="B112" s="1521" t="str">
        <f>F!B298</f>
        <v>Soil Composition (SoilTex)</v>
      </c>
      <c r="C112" s="4" t="str">
        <f>F!C298</f>
        <v>Based on digging into the substrate and examining the surface layer of the soil (2 inch depth) that was mapped as being predominant, its composition (excluding duff and living roots) is mostly:</v>
      </c>
      <c r="D112" s="192"/>
      <c r="E112" s="46"/>
      <c r="F112" s="60"/>
      <c r="G112" s="799">
        <f>MAX(F113:F116)/MAX(E113:E116)</f>
        <v>0</v>
      </c>
      <c r="H112" s="1896" t="s">
        <v>99</v>
      </c>
    </row>
    <row r="113" spans="1:8" ht="16.2" customHeight="1" x14ac:dyDescent="0.25">
      <c r="A113" s="1805"/>
      <c r="B113" s="1521"/>
      <c r="C113" s="236" t="str">
        <f>F!C299</f>
        <v>Loamy: includes silt, silt loam, loam, sandy loam.</v>
      </c>
      <c r="D113" s="1304">
        <f>F!D299</f>
        <v>0</v>
      </c>
      <c r="E113" s="45">
        <v>2</v>
      </c>
      <c r="F113" s="45">
        <f>D113*E113</f>
        <v>0</v>
      </c>
      <c r="G113" s="792"/>
      <c r="H113" s="1623"/>
    </row>
    <row r="114" spans="1:8" ht="16.2" customHeight="1" x14ac:dyDescent="0.25">
      <c r="A114" s="1805"/>
      <c r="B114" s="1521"/>
      <c r="C114" s="237" t="str">
        <f>F!C300</f>
        <v>Clayey: includes clay, clay loam, silty clay, silty clay loam, sandy clay, sandy clay loam.</v>
      </c>
      <c r="D114" s="1081">
        <f>F!D300</f>
        <v>0</v>
      </c>
      <c r="E114" s="45">
        <v>1</v>
      </c>
      <c r="F114" s="45">
        <f>D114*E114</f>
        <v>0</v>
      </c>
      <c r="G114" s="793"/>
      <c r="H114" s="1623"/>
    </row>
    <row r="115" spans="1:8" ht="27" customHeight="1" x14ac:dyDescent="0.25">
      <c r="A115" s="1805"/>
      <c r="B115" s="1521"/>
      <c r="C115" s="237" t="str">
        <f>F!C301</f>
        <v>Organic: includes muck, mucky peat, peat, and mucky mineral soils (blackish or grayish).  Exclude live roots unless they are moss.</v>
      </c>
      <c r="D115" s="1081">
        <f>F!D301</f>
        <v>0</v>
      </c>
      <c r="E115" s="45">
        <v>5</v>
      </c>
      <c r="F115" s="45">
        <f>D115*E115</f>
        <v>0</v>
      </c>
      <c r="G115" s="793"/>
      <c r="H115" s="1623"/>
    </row>
    <row r="116" spans="1:8" ht="29.25" customHeight="1" thickBot="1" x14ac:dyDescent="0.3">
      <c r="A116" s="1805"/>
      <c r="B116" s="1521"/>
      <c r="C116" s="1275" t="str">
        <f>F!C302</f>
        <v>Coarse: includes sand, loamy sand, gravel, cobble, stones, boulders, fluvents, fluvaquents, riverwash.</v>
      </c>
      <c r="D116" s="1276">
        <f>F!D302</f>
        <v>0</v>
      </c>
      <c r="E116" s="54">
        <v>3</v>
      </c>
      <c r="F116" s="54">
        <f>D116*E116</f>
        <v>0</v>
      </c>
      <c r="G116" s="800"/>
      <c r="H116" s="1897"/>
    </row>
    <row r="117" spans="1:8" ht="72.75" customHeight="1" thickBot="1" x14ac:dyDescent="0.3">
      <c r="A117" s="1892" t="str">
        <f>F!A304</f>
        <v>F60</v>
      </c>
      <c r="B117" s="1648" t="str">
        <f>F!B304</f>
        <v>Restored or Created Wetland (NewWet)</v>
      </c>
      <c r="C117" s="4" t="str">
        <f>F!C304</f>
        <v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v>
      </c>
      <c r="D117" s="192"/>
      <c r="E117" s="192"/>
      <c r="F117" s="241"/>
      <c r="G117" s="804">
        <f>IF((D123=1),"",MAX(F118:F122)/MAX(E118:E122))</f>
        <v>0</v>
      </c>
      <c r="H117" s="1522" t="s">
        <v>200</v>
      </c>
    </row>
    <row r="118" spans="1:8" ht="16.2" customHeight="1" x14ac:dyDescent="0.25">
      <c r="A118" s="2127"/>
      <c r="B118" s="1649"/>
      <c r="C118" s="1234" t="str">
        <f>F!C305</f>
        <v>Yes, and constructed or restored mostly within last 3 years.</v>
      </c>
      <c r="D118" s="1369">
        <f>F!D305</f>
        <v>0</v>
      </c>
      <c r="E118" s="54">
        <v>0</v>
      </c>
      <c r="F118" s="45">
        <f>D118*E118</f>
        <v>0</v>
      </c>
      <c r="G118" s="792"/>
      <c r="H118" s="1521"/>
    </row>
    <row r="119" spans="1:8" ht="16.2" customHeight="1" x14ac:dyDescent="0.25">
      <c r="A119" s="2127"/>
      <c r="B119" s="1649"/>
      <c r="C119" s="1235" t="str">
        <f>F!C306</f>
        <v>Yes, and constructed or restored mostly 3-7 years ago.</v>
      </c>
      <c r="D119" s="1370">
        <f>F!D306</f>
        <v>0</v>
      </c>
      <c r="E119" s="54">
        <v>1</v>
      </c>
      <c r="F119" s="45">
        <f>D119*E119</f>
        <v>0</v>
      </c>
      <c r="G119" s="793"/>
      <c r="H119" s="1521"/>
    </row>
    <row r="120" spans="1:8" ht="16.2" customHeight="1" x14ac:dyDescent="0.25">
      <c r="A120" s="2127"/>
      <c r="B120" s="1649"/>
      <c r="C120" s="1235" t="str">
        <f>F!C307</f>
        <v>Yes, and constructed or restored mostly &gt; 7 years ago.</v>
      </c>
      <c r="D120" s="1370">
        <f>F!D307</f>
        <v>0</v>
      </c>
      <c r="E120" s="54">
        <v>2</v>
      </c>
      <c r="F120" s="45">
        <f>D120*E120</f>
        <v>0</v>
      </c>
      <c r="G120" s="793"/>
      <c r="H120" s="1521"/>
    </row>
    <row r="121" spans="1:8" ht="16.2" customHeight="1" x14ac:dyDescent="0.25">
      <c r="A121" s="2127"/>
      <c r="B121" s="1649"/>
      <c r="C121" s="1235" t="str">
        <f>F!C308</f>
        <v>Yes, but time of origin or restoration unknown.</v>
      </c>
      <c r="D121" s="1370">
        <f>F!D308</f>
        <v>0</v>
      </c>
      <c r="E121" s="54">
        <v>2</v>
      </c>
      <c r="F121" s="45">
        <f>D121*E121</f>
        <v>0</v>
      </c>
      <c r="G121" s="793"/>
      <c r="H121" s="1521"/>
    </row>
    <row r="122" spans="1:8" ht="16.2" customHeight="1" x14ac:dyDescent="0.25">
      <c r="A122" s="2127"/>
      <c r="B122" s="1649"/>
      <c r="C122" s="1235" t="str">
        <f>F!C309</f>
        <v>No.</v>
      </c>
      <c r="D122" s="1370">
        <f>F!D309</f>
        <v>0</v>
      </c>
      <c r="E122" s="54">
        <v>3</v>
      </c>
      <c r="F122" s="45">
        <f>D122*E122</f>
        <v>0</v>
      </c>
      <c r="G122" s="793"/>
      <c r="H122" s="1521"/>
    </row>
    <row r="123" spans="1:8" ht="16.2" customHeight="1" thickBot="1" x14ac:dyDescent="0.3">
      <c r="A123" s="2128"/>
      <c r="B123" s="1650"/>
      <c r="C123" s="1237" t="str">
        <f>F!C310</f>
        <v>Unknown if wetland is constructed, restored, or natural.</v>
      </c>
      <c r="D123" s="1371">
        <f>F!D310</f>
        <v>0</v>
      </c>
      <c r="E123" s="193"/>
      <c r="F123" s="193"/>
      <c r="G123" s="909"/>
      <c r="H123" s="1523"/>
    </row>
    <row r="124" spans="1:8" s="366" customFormat="1" ht="36" customHeight="1" thickBot="1" x14ac:dyDescent="0.3">
      <c r="A124" s="374" t="s">
        <v>126</v>
      </c>
      <c r="B124" s="374" t="s">
        <v>1468</v>
      </c>
      <c r="C124" s="374" t="s">
        <v>1271</v>
      </c>
      <c r="D124" s="374" t="s">
        <v>115</v>
      </c>
      <c r="E124" s="374" t="s">
        <v>771</v>
      </c>
      <c r="F124" s="374" t="s">
        <v>1462</v>
      </c>
      <c r="G124" s="818" t="s">
        <v>770</v>
      </c>
      <c r="H124" s="374" t="s">
        <v>772</v>
      </c>
    </row>
    <row r="125" spans="1:8" ht="21" customHeight="1" thickBot="1" x14ac:dyDescent="0.3">
      <c r="A125" s="1922" t="str">
        <f>T!A5</f>
        <v>T1</v>
      </c>
      <c r="B125" s="1669" t="str">
        <f>T!B5</f>
        <v>Estuarine Position (EstPosT)</v>
      </c>
      <c r="C125" s="219" t="str">
        <f>T!C5</f>
        <v>The AA's relative position in the estuary is:</v>
      </c>
      <c r="D125" s="1372"/>
      <c r="E125" s="192"/>
      <c r="F125" s="1373"/>
      <c r="G125" s="857">
        <f>MAX(F126:F128)/MAX(E126:E128)</f>
        <v>0</v>
      </c>
      <c r="H125" s="1669" t="s">
        <v>382</v>
      </c>
    </row>
    <row r="126" spans="1:8" ht="27" customHeight="1" x14ac:dyDescent="0.25">
      <c r="A126" s="1923"/>
      <c r="B126" s="1691"/>
      <c r="C126" s="1356" t="str">
        <f>T!C6</f>
        <v>Lower 1/3 (often on a bay and distant from the head-of-tide of a major river; includes most saline tidal wetlands).</v>
      </c>
      <c r="D126" s="47">
        <f>T!D6</f>
        <v>0</v>
      </c>
      <c r="E126" s="45">
        <v>3</v>
      </c>
      <c r="F126" s="45">
        <f>D126*E126</f>
        <v>0</v>
      </c>
      <c r="G126" s="792"/>
      <c r="H126" s="1691"/>
    </row>
    <row r="127" spans="1:8" ht="16.2" customHeight="1" x14ac:dyDescent="0.25">
      <c r="A127" s="1923"/>
      <c r="B127" s="1691"/>
      <c r="C127" s="1358" t="str">
        <f>T!C7</f>
        <v>Mid 1/3.</v>
      </c>
      <c r="D127" s="47">
        <f>T!D7</f>
        <v>0</v>
      </c>
      <c r="E127" s="45">
        <v>2</v>
      </c>
      <c r="F127" s="45">
        <f>D127*E127</f>
        <v>0</v>
      </c>
      <c r="G127" s="793"/>
      <c r="H127" s="1691"/>
    </row>
    <row r="128" spans="1:8" ht="31.5" customHeight="1" thickBot="1" x14ac:dyDescent="0.3">
      <c r="A128" s="1924"/>
      <c r="B128" s="1692"/>
      <c r="C128" s="1367" t="str">
        <f>T!C8</f>
        <v>Upper 1/3 (near the head-of-tide of a major river; includes most brackish and fresh tidal wetlands).</v>
      </c>
      <c r="D128" s="242">
        <f>T!D8</f>
        <v>0</v>
      </c>
      <c r="E128" s="193">
        <v>1</v>
      </c>
      <c r="F128" s="193">
        <f>D128*E128</f>
        <v>0</v>
      </c>
      <c r="G128" s="794"/>
      <c r="H128" s="1692"/>
    </row>
    <row r="129" spans="1:8" ht="21" customHeight="1" thickBot="1" x14ac:dyDescent="0.3">
      <c r="A129" s="1923" t="str">
        <f>T!A9</f>
        <v>T2</v>
      </c>
      <c r="B129" s="1691" t="str">
        <f>T!B9</f>
        <v>Salinity (SalinT)</v>
      </c>
      <c r="C129" s="1123" t="str">
        <f>T!C9</f>
        <v>At high tide during most of the year, the daily salinity in most of the inundated part of the AA is:</v>
      </c>
      <c r="D129" s="853"/>
      <c r="E129" s="46"/>
      <c r="F129" s="1374"/>
      <c r="G129" s="854">
        <f>IF((D134=1),"",MAX(F130:F133)/MAX(E130:E133))</f>
        <v>0</v>
      </c>
      <c r="H129" s="1691" t="s">
        <v>381</v>
      </c>
    </row>
    <row r="130" spans="1:8" ht="16.2" customHeight="1" x14ac:dyDescent="0.25">
      <c r="A130" s="1923"/>
      <c r="B130" s="1691"/>
      <c r="C130" s="1356" t="str">
        <f>T!C10</f>
        <v xml:space="preserve">Saline (&gt;25 ppt salinity, undiluted seawater).  </v>
      </c>
      <c r="D130" s="47">
        <f>T!D10</f>
        <v>0</v>
      </c>
      <c r="E130" s="45">
        <v>1</v>
      </c>
      <c r="F130" s="45">
        <f>D130*E130</f>
        <v>0</v>
      </c>
      <c r="G130" s="792"/>
      <c r="H130" s="1691"/>
    </row>
    <row r="131" spans="1:8" ht="16.2" customHeight="1" x14ac:dyDescent="0.25">
      <c r="A131" s="1923"/>
      <c r="B131" s="1691"/>
      <c r="C131" s="1358" t="str">
        <f>T!C11</f>
        <v>Moderately saline (5 to 25 ppt salinity).</v>
      </c>
      <c r="D131" s="47">
        <f>T!D11</f>
        <v>0</v>
      </c>
      <c r="E131" s="45">
        <v>2</v>
      </c>
      <c r="F131" s="45">
        <f>D131*E131</f>
        <v>0</v>
      </c>
      <c r="G131" s="793"/>
      <c r="H131" s="1691"/>
    </row>
    <row r="132" spans="1:8" ht="16.2" customHeight="1" x14ac:dyDescent="0.25">
      <c r="A132" s="1923"/>
      <c r="B132" s="1691"/>
      <c r="C132" s="1358" t="str">
        <f>T!C12</f>
        <v>Brackish (0.5 to &lt;5 ppt salinity, "oligohaline").</v>
      </c>
      <c r="D132" s="47">
        <f>T!D12</f>
        <v>0</v>
      </c>
      <c r="E132" s="45">
        <v>5</v>
      </c>
      <c r="F132" s="45">
        <f>D132*E132</f>
        <v>0</v>
      </c>
      <c r="G132" s="793"/>
      <c r="H132" s="1691"/>
    </row>
    <row r="133" spans="1:8" ht="16.2" customHeight="1" x14ac:dyDescent="0.25">
      <c r="A133" s="1923"/>
      <c r="B133" s="1691"/>
      <c r="C133" s="1358" t="str">
        <f>T!C13</f>
        <v>Fresh (&lt;0.5 ppt salinity).</v>
      </c>
      <c r="D133" s="47">
        <f>T!D13</f>
        <v>0</v>
      </c>
      <c r="E133" s="45">
        <v>3</v>
      </c>
      <c r="F133" s="45">
        <f>D133*E133</f>
        <v>0</v>
      </c>
      <c r="G133" s="793"/>
      <c r="H133" s="1691"/>
    </row>
    <row r="134" spans="1:8" ht="16.2" customHeight="1" thickBot="1" x14ac:dyDescent="0.3">
      <c r="A134" s="1923"/>
      <c r="B134" s="1691"/>
      <c r="C134" s="1360" t="str">
        <f>T!C14</f>
        <v>Unknown.</v>
      </c>
      <c r="D134" s="80">
        <f>T!D14</f>
        <v>0</v>
      </c>
      <c r="E134" s="54"/>
      <c r="F134" s="54"/>
      <c r="G134" s="1168"/>
      <c r="H134" s="1691"/>
    </row>
    <row r="135" spans="1:8" ht="30" customHeight="1" thickBot="1" x14ac:dyDescent="0.3">
      <c r="A135" s="1922" t="str">
        <f>T!A15</f>
        <v>T3</v>
      </c>
      <c r="B135" s="1669" t="str">
        <f>T!B15</f>
        <v>Low Marsh (LowMarshT)</v>
      </c>
      <c r="C135" s="219" t="str">
        <f>T!C15</f>
        <v>The percent of the vegetated part of the AA that is "low marsh" (covered by tidal water for part of almost every day) is:</v>
      </c>
      <c r="D135" s="1372"/>
      <c r="E135" s="192"/>
      <c r="F135" s="1373"/>
      <c r="G135" s="857">
        <f>MAX(F136:F142)/MAX(E136:E142)</f>
        <v>0</v>
      </c>
      <c r="H135" s="1669" t="s">
        <v>383</v>
      </c>
    </row>
    <row r="136" spans="1:8" ht="16.2" customHeight="1" x14ac:dyDescent="0.25">
      <c r="A136" s="1923"/>
      <c r="B136" s="1691"/>
      <c r="C136" s="1356" t="str">
        <f>T!C16</f>
        <v>None, or &lt;1%.</v>
      </c>
      <c r="D136" s="47">
        <f>T!D16</f>
        <v>0</v>
      </c>
      <c r="E136" s="45">
        <v>0</v>
      </c>
      <c r="F136" s="45">
        <f t="shared" ref="F136:F142" si="5">D136*E136</f>
        <v>0</v>
      </c>
      <c r="G136" s="792"/>
      <c r="H136" s="1691"/>
    </row>
    <row r="137" spans="1:8" ht="16.2" customHeight="1" x14ac:dyDescent="0.25">
      <c r="A137" s="1923"/>
      <c r="B137" s="1691"/>
      <c r="C137" s="1358" t="str">
        <f>T!C17</f>
        <v>1 to &lt;10%.</v>
      </c>
      <c r="D137" s="47">
        <f>T!D17</f>
        <v>0</v>
      </c>
      <c r="E137" s="45">
        <v>1</v>
      </c>
      <c r="F137" s="45">
        <f t="shared" si="5"/>
        <v>0</v>
      </c>
      <c r="G137" s="793"/>
      <c r="H137" s="1691"/>
    </row>
    <row r="138" spans="1:8" ht="16.2" customHeight="1" x14ac:dyDescent="0.25">
      <c r="A138" s="1923"/>
      <c r="B138" s="1691"/>
      <c r="C138" s="1358" t="str">
        <f>T!C18</f>
        <v>10 to &lt;25%.</v>
      </c>
      <c r="D138" s="47">
        <f>T!D18</f>
        <v>0</v>
      </c>
      <c r="E138" s="45">
        <v>2</v>
      </c>
      <c r="F138" s="45">
        <f t="shared" si="5"/>
        <v>0</v>
      </c>
      <c r="G138" s="793"/>
      <c r="H138" s="1691"/>
    </row>
    <row r="139" spans="1:8" ht="16.2" customHeight="1" x14ac:dyDescent="0.25">
      <c r="A139" s="1923"/>
      <c r="B139" s="1691"/>
      <c r="C139" s="1358" t="str">
        <f>T!C19</f>
        <v>25 &lt;50%.</v>
      </c>
      <c r="D139" s="47">
        <f>T!D19</f>
        <v>0</v>
      </c>
      <c r="E139" s="45">
        <v>3</v>
      </c>
      <c r="F139" s="45">
        <f t="shared" si="5"/>
        <v>0</v>
      </c>
      <c r="G139" s="793"/>
      <c r="H139" s="1691"/>
    </row>
    <row r="140" spans="1:8" ht="16.2" customHeight="1" x14ac:dyDescent="0.25">
      <c r="A140" s="1923"/>
      <c r="B140" s="1691"/>
      <c r="C140" s="1358" t="str">
        <f>T!C20</f>
        <v>50 to &lt;75%.</v>
      </c>
      <c r="D140" s="47">
        <f>T!D20</f>
        <v>0</v>
      </c>
      <c r="E140" s="45">
        <v>4</v>
      </c>
      <c r="F140" s="45">
        <f t="shared" si="5"/>
        <v>0</v>
      </c>
      <c r="G140" s="793"/>
      <c r="H140" s="1691"/>
    </row>
    <row r="141" spans="1:8" ht="16.2" customHeight="1" x14ac:dyDescent="0.25">
      <c r="A141" s="1923"/>
      <c r="B141" s="1691"/>
      <c r="C141" s="1358" t="str">
        <f>T!C21</f>
        <v>75 to 90%.</v>
      </c>
      <c r="D141" s="47">
        <f>T!D21</f>
        <v>0</v>
      </c>
      <c r="E141" s="45">
        <v>3</v>
      </c>
      <c r="F141" s="45">
        <f t="shared" si="5"/>
        <v>0</v>
      </c>
      <c r="G141" s="793"/>
      <c r="H141" s="1691"/>
    </row>
    <row r="142" spans="1:8" ht="16.2" customHeight="1" thickBot="1" x14ac:dyDescent="0.3">
      <c r="A142" s="1924"/>
      <c r="B142" s="1692"/>
      <c r="C142" s="1367" t="str">
        <f>T!C22</f>
        <v>&gt;90%.</v>
      </c>
      <c r="D142" s="242">
        <f>T!D22</f>
        <v>0</v>
      </c>
      <c r="E142" s="193">
        <v>2</v>
      </c>
      <c r="F142" s="193">
        <f t="shared" si="5"/>
        <v>0</v>
      </c>
      <c r="G142" s="794"/>
      <c r="H142" s="1692"/>
    </row>
    <row r="143" spans="1:8" ht="30" customHeight="1" thickBot="1" x14ac:dyDescent="0.3">
      <c r="A143" s="1922" t="str">
        <f>T!A23</f>
        <v>T4</v>
      </c>
      <c r="B143" s="1669" t="str">
        <f>T!B23</f>
        <v>Width of Vegetated Zone at Daily High Tide (WidthHiT)</v>
      </c>
      <c r="C143" s="219" t="str">
        <f>T!C23</f>
        <v>At average daily HIGH tide condition, the width of the vegetated wetland that separates adjoining uplands (if any) from subtidal water within or adjoining the AA, is predominantly:</v>
      </c>
      <c r="D143" s="1372"/>
      <c r="E143" s="192"/>
      <c r="F143" s="1373"/>
      <c r="G143" s="857">
        <f>MAX(F144:F149)/MAX(E144:E149)</f>
        <v>0</v>
      </c>
      <c r="H143" s="1669" t="s">
        <v>1551</v>
      </c>
    </row>
    <row r="144" spans="1:8" ht="16.2" customHeight="1" x14ac:dyDescent="0.25">
      <c r="A144" s="1923"/>
      <c r="B144" s="1691"/>
      <c r="C144" s="1356" t="str">
        <f>T!C24</f>
        <v>&lt;5 ft, or no vegetation between upland and subtidal water.</v>
      </c>
      <c r="D144" s="47">
        <f>T!D24</f>
        <v>0</v>
      </c>
      <c r="E144" s="45">
        <v>0</v>
      </c>
      <c r="F144" s="45">
        <f t="shared" ref="F144:F149" si="6">D144*E144</f>
        <v>0</v>
      </c>
      <c r="G144" s="792"/>
      <c r="H144" s="1691"/>
    </row>
    <row r="145" spans="1:8" ht="16.2" customHeight="1" x14ac:dyDescent="0.25">
      <c r="A145" s="1923"/>
      <c r="B145" s="1691"/>
      <c r="C145" s="1358" t="str">
        <f>T!C25</f>
        <v>5 to &lt;30 ft.</v>
      </c>
      <c r="D145" s="47">
        <f>T!D25</f>
        <v>0</v>
      </c>
      <c r="E145" s="45">
        <v>3</v>
      </c>
      <c r="F145" s="45">
        <f t="shared" si="6"/>
        <v>0</v>
      </c>
      <c r="G145" s="793"/>
      <c r="H145" s="1691"/>
    </row>
    <row r="146" spans="1:8" ht="16.2" customHeight="1" x14ac:dyDescent="0.25">
      <c r="A146" s="1923"/>
      <c r="B146" s="1691"/>
      <c r="C146" s="1358" t="str">
        <f>T!C26</f>
        <v>30 to &lt;50 ft.</v>
      </c>
      <c r="D146" s="47">
        <f>T!D26</f>
        <v>0</v>
      </c>
      <c r="E146" s="45">
        <v>4</v>
      </c>
      <c r="F146" s="45">
        <f t="shared" si="6"/>
        <v>0</v>
      </c>
      <c r="G146" s="793"/>
      <c r="H146" s="1691"/>
    </row>
    <row r="147" spans="1:8" ht="16.2" customHeight="1" x14ac:dyDescent="0.25">
      <c r="A147" s="1923"/>
      <c r="B147" s="1691"/>
      <c r="C147" s="1358" t="str">
        <f>T!C27</f>
        <v>50 to &lt;100 ft.</v>
      </c>
      <c r="D147" s="47">
        <f>T!D27</f>
        <v>0</v>
      </c>
      <c r="E147" s="45">
        <v>3</v>
      </c>
      <c r="F147" s="45">
        <f t="shared" si="6"/>
        <v>0</v>
      </c>
      <c r="G147" s="793"/>
      <c r="H147" s="1691"/>
    </row>
    <row r="148" spans="1:8" ht="16.2" customHeight="1" x14ac:dyDescent="0.25">
      <c r="A148" s="1923"/>
      <c r="B148" s="1691"/>
      <c r="C148" s="1358" t="str">
        <f>T!C28</f>
        <v>100 to 300 ft.</v>
      </c>
      <c r="D148" s="47">
        <f>T!D28</f>
        <v>0</v>
      </c>
      <c r="E148" s="45">
        <v>2</v>
      </c>
      <c r="F148" s="45">
        <f t="shared" si="6"/>
        <v>0</v>
      </c>
      <c r="G148" s="793"/>
      <c r="H148" s="1691"/>
    </row>
    <row r="149" spans="1:8" ht="16.2" customHeight="1" thickBot="1" x14ac:dyDescent="0.3">
      <c r="A149" s="1924"/>
      <c r="B149" s="1692"/>
      <c r="C149" s="1367" t="str">
        <f>T!C29</f>
        <v>&gt; 300 ft.</v>
      </c>
      <c r="D149" s="242">
        <f>T!D29</f>
        <v>0</v>
      </c>
      <c r="E149" s="193">
        <v>1</v>
      </c>
      <c r="F149" s="193">
        <f t="shared" si="6"/>
        <v>0</v>
      </c>
      <c r="G149" s="909"/>
      <c r="H149" s="1692"/>
    </row>
    <row r="150" spans="1:8" ht="31.2" customHeight="1" thickBot="1" x14ac:dyDescent="0.3">
      <c r="A150" s="1923" t="str">
        <f>T!A30</f>
        <v>T5</v>
      </c>
      <c r="B150" s="1691" t="str">
        <f>T!B30</f>
        <v>Width of Vegetated Zone at Daily Low Tide (WidthLoT)</v>
      </c>
      <c r="C150" s="1123" t="str">
        <f>T!C30</f>
        <v>At average daily LOW tide condition, the width of the vegetated wetland that separates adjoining uplands (if any) from subtidal water within or adjoining the AA, is predominantly:</v>
      </c>
      <c r="D150" s="853"/>
      <c r="E150" s="46"/>
      <c r="F150" s="1374"/>
      <c r="G150" s="854">
        <f>MAX(F151:F156)/MAX(E151:E156)</f>
        <v>0</v>
      </c>
      <c r="H150" s="1691" t="s">
        <v>1550</v>
      </c>
    </row>
    <row r="151" spans="1:8" ht="16.2" customHeight="1" x14ac:dyDescent="0.25">
      <c r="A151" s="1923"/>
      <c r="B151" s="1691"/>
      <c r="C151" s="1356" t="str">
        <f>T!C31</f>
        <v>&lt;5 ft, or no vegetation between upland and subtidal water.</v>
      </c>
      <c r="D151" s="47">
        <f>T!D31</f>
        <v>0</v>
      </c>
      <c r="E151" s="45">
        <v>1</v>
      </c>
      <c r="F151" s="45">
        <f t="shared" ref="F151:F156" si="7">D151*E151</f>
        <v>0</v>
      </c>
      <c r="G151" s="792"/>
      <c r="H151" s="1691"/>
    </row>
    <row r="152" spans="1:8" ht="16.2" customHeight="1" x14ac:dyDescent="0.25">
      <c r="A152" s="1923"/>
      <c r="B152" s="1691"/>
      <c r="C152" s="1358" t="str">
        <f>T!C32</f>
        <v>5 to &lt;30 ft.</v>
      </c>
      <c r="D152" s="47">
        <f>T!D32</f>
        <v>0</v>
      </c>
      <c r="E152" s="45">
        <v>2</v>
      </c>
      <c r="F152" s="45">
        <f t="shared" si="7"/>
        <v>0</v>
      </c>
      <c r="G152" s="793"/>
      <c r="H152" s="1691"/>
    </row>
    <row r="153" spans="1:8" ht="16.2" customHeight="1" x14ac:dyDescent="0.25">
      <c r="A153" s="1923"/>
      <c r="B153" s="1691"/>
      <c r="C153" s="1358" t="str">
        <f>T!C33</f>
        <v>30 to &lt;50 ft.</v>
      </c>
      <c r="D153" s="47">
        <f>T!D33</f>
        <v>0</v>
      </c>
      <c r="E153" s="45">
        <v>3</v>
      </c>
      <c r="F153" s="45">
        <f t="shared" si="7"/>
        <v>0</v>
      </c>
      <c r="G153" s="793"/>
      <c r="H153" s="1691"/>
    </row>
    <row r="154" spans="1:8" ht="16.2" customHeight="1" x14ac:dyDescent="0.25">
      <c r="A154" s="1923"/>
      <c r="B154" s="1691"/>
      <c r="C154" s="1358" t="str">
        <f>T!C34</f>
        <v>50 to &lt;100 ft.</v>
      </c>
      <c r="D154" s="47">
        <f>T!D34</f>
        <v>0</v>
      </c>
      <c r="E154" s="45">
        <v>4</v>
      </c>
      <c r="F154" s="45">
        <f t="shared" si="7"/>
        <v>0</v>
      </c>
      <c r="G154" s="793"/>
      <c r="H154" s="1691"/>
    </row>
    <row r="155" spans="1:8" ht="16.2" customHeight="1" x14ac:dyDescent="0.25">
      <c r="A155" s="1923"/>
      <c r="B155" s="1691"/>
      <c r="C155" s="1358" t="str">
        <f>T!C35</f>
        <v>100 to 300 ft.</v>
      </c>
      <c r="D155" s="47">
        <f>T!D35</f>
        <v>0</v>
      </c>
      <c r="E155" s="45">
        <v>5</v>
      </c>
      <c r="F155" s="45">
        <f t="shared" si="7"/>
        <v>0</v>
      </c>
      <c r="G155" s="793"/>
      <c r="H155" s="1691"/>
    </row>
    <row r="156" spans="1:8" ht="16.2" customHeight="1" thickBot="1" x14ac:dyDescent="0.3">
      <c r="A156" s="1924"/>
      <c r="B156" s="1691"/>
      <c r="C156" s="1360" t="str">
        <f>T!C36</f>
        <v>&gt; 300 ft.</v>
      </c>
      <c r="D156" s="80">
        <f>T!D36</f>
        <v>0</v>
      </c>
      <c r="E156" s="45">
        <v>6</v>
      </c>
      <c r="F156" s="54">
        <f t="shared" si="7"/>
        <v>0</v>
      </c>
      <c r="G156" s="800"/>
      <c r="H156" s="1691"/>
    </row>
    <row r="157" spans="1:8" ht="32.25" customHeight="1" thickBot="1" x14ac:dyDescent="0.3">
      <c r="A157" s="1922" t="str">
        <f>T!A37</f>
        <v>T6</v>
      </c>
      <c r="B157" s="1669" t="str">
        <f>T!B37</f>
        <v>Internal Gradient (GradientT)</v>
      </c>
      <c r="C157" s="219" t="str">
        <f>T!C37</f>
        <v>Within the AA, the gradient from the upland boundary (or part closest to it) and the lowest point in the AA is:</v>
      </c>
      <c r="D157" s="1372"/>
      <c r="E157" s="192"/>
      <c r="F157" s="1373"/>
      <c r="G157" s="857">
        <f>MAX(F158:F161)/MAX(E158:E161)</f>
        <v>0</v>
      </c>
      <c r="H157" s="1669"/>
    </row>
    <row r="158" spans="1:8" ht="16.2" customHeight="1" x14ac:dyDescent="0.25">
      <c r="A158" s="1923"/>
      <c r="B158" s="1691"/>
      <c r="C158" s="1356" t="str">
        <f>T!C38</f>
        <v>&lt;2% (internal flow is absent or barely detectable; basically flat).</v>
      </c>
      <c r="D158" s="47">
        <f>T!D38</f>
        <v>0</v>
      </c>
      <c r="E158" s="45">
        <v>1</v>
      </c>
      <c r="F158" s="45">
        <f>D158*E158</f>
        <v>0</v>
      </c>
      <c r="G158" s="792"/>
      <c r="H158" s="1691"/>
    </row>
    <row r="159" spans="1:8" ht="16.2" customHeight="1" x14ac:dyDescent="0.25">
      <c r="A159" s="1923"/>
      <c r="B159" s="1691"/>
      <c r="C159" s="1358" t="str">
        <f>T!C39</f>
        <v>2 to &lt;5%.</v>
      </c>
      <c r="D159" s="47">
        <f>T!D39</f>
        <v>0</v>
      </c>
      <c r="E159" s="45">
        <v>3</v>
      </c>
      <c r="F159" s="45">
        <f>D159*E159</f>
        <v>0</v>
      </c>
      <c r="G159" s="793"/>
      <c r="H159" s="1691"/>
    </row>
    <row r="160" spans="1:8" ht="16.2" customHeight="1" x14ac:dyDescent="0.25">
      <c r="A160" s="1923"/>
      <c r="B160" s="1691"/>
      <c r="C160" s="1358" t="str">
        <f>T!C40</f>
        <v>5 to 10%.</v>
      </c>
      <c r="D160" s="47">
        <f>T!D40</f>
        <v>0</v>
      </c>
      <c r="E160" s="45">
        <v>4</v>
      </c>
      <c r="F160" s="45">
        <f>D160*E160</f>
        <v>0</v>
      </c>
      <c r="G160" s="793"/>
      <c r="H160" s="1691"/>
    </row>
    <row r="161" spans="1:8" ht="16.2" customHeight="1" thickBot="1" x14ac:dyDescent="0.3">
      <c r="A161" s="1924"/>
      <c r="B161" s="1692"/>
      <c r="C161" s="1367" t="str">
        <f>T!C41</f>
        <v>&gt;10%.</v>
      </c>
      <c r="D161" s="242">
        <f>T!D41</f>
        <v>0</v>
      </c>
      <c r="E161" s="193">
        <v>6</v>
      </c>
      <c r="F161" s="193">
        <f>D161*E161</f>
        <v>0</v>
      </c>
      <c r="G161" s="909"/>
      <c r="H161" s="1692"/>
    </row>
    <row r="162" spans="1:8" ht="30" customHeight="1" thickBot="1" x14ac:dyDescent="0.3">
      <c r="A162" s="1922" t="str">
        <f>T!A42</f>
        <v>T7</v>
      </c>
      <c r="B162" s="1691" t="str">
        <f>T!B42</f>
        <v>Outflow Duration (OutDuraT)</v>
      </c>
      <c r="C162" s="219" t="str">
        <f>T!C42</f>
        <v>The most durable surface water connection (outlet channel, ditch, tidegate, pipe, overbank water exchange) between the AA and marine waters, which allows fish passage, is:</v>
      </c>
      <c r="D162" s="853"/>
      <c r="E162" s="45"/>
      <c r="F162" s="1374"/>
      <c r="G162" s="857">
        <f>MAX(F163:F166)/MAX(E163:E166)</f>
        <v>0</v>
      </c>
      <c r="H162" s="1896" t="s">
        <v>385</v>
      </c>
    </row>
    <row r="163" spans="1:8" ht="16.2" customHeight="1" x14ac:dyDescent="0.25">
      <c r="A163" s="1923"/>
      <c r="B163" s="1691"/>
      <c r="C163" s="1356" t="str">
        <f>T!C43</f>
        <v>Regular (nearly all of the daily high tides, &gt;9 months/year).</v>
      </c>
      <c r="D163" s="47">
        <f>T!D43</f>
        <v>0</v>
      </c>
      <c r="E163" s="45">
        <v>5</v>
      </c>
      <c r="F163" s="45">
        <f>D163*E163</f>
        <v>0</v>
      </c>
      <c r="G163" s="792"/>
      <c r="H163" s="1623"/>
    </row>
    <row r="164" spans="1:8" ht="16.2" customHeight="1" x14ac:dyDescent="0.25">
      <c r="A164" s="1923"/>
      <c r="B164" s="1691"/>
      <c r="C164" s="1358" t="str">
        <f>T!C44</f>
        <v>Seasonal (14 days to 9 months/year, not necessarily consecutive, at least monthly).</v>
      </c>
      <c r="D164" s="47">
        <f>T!D44</f>
        <v>0</v>
      </c>
      <c r="E164" s="45">
        <v>4</v>
      </c>
      <c r="F164" s="45">
        <f>D164*E164</f>
        <v>0</v>
      </c>
      <c r="G164" s="793"/>
      <c r="H164" s="1623"/>
    </row>
    <row r="165" spans="1:8" ht="27" customHeight="1" x14ac:dyDescent="0.25">
      <c r="A165" s="1923"/>
      <c r="B165" s="1691"/>
      <c r="C165" s="1358" t="str">
        <f>T!C45</f>
        <v>Temporary (mainly during "king tide", "spring tide", or peak discharge flow in an associated river; &lt;14 days per year, not necessarily consecutive).</v>
      </c>
      <c r="D165" s="47">
        <f>T!D45</f>
        <v>0</v>
      </c>
      <c r="E165" s="45">
        <v>3</v>
      </c>
      <c r="F165" s="45">
        <f>D165*E165</f>
        <v>0</v>
      </c>
      <c r="G165" s="793"/>
      <c r="H165" s="1623"/>
    </row>
    <row r="166" spans="1:8" ht="16.2" customHeight="1" thickBot="1" x14ac:dyDescent="0.3">
      <c r="A166" s="1923"/>
      <c r="B166" s="1691"/>
      <c r="C166" s="1360" t="str">
        <f>T!C46</f>
        <v>No tidal connection allows fish passage between marine waters and the AA.</v>
      </c>
      <c r="D166" s="80">
        <f>T!D46</f>
        <v>0</v>
      </c>
      <c r="E166" s="54">
        <v>1</v>
      </c>
      <c r="F166" s="54">
        <f>D166*E166</f>
        <v>0</v>
      </c>
      <c r="G166" s="800"/>
      <c r="H166" s="1897"/>
    </row>
    <row r="167" spans="1:8" ht="21" customHeight="1" thickBot="1" x14ac:dyDescent="0.3">
      <c r="A167" s="1922" t="str">
        <f>T!A47</f>
        <v>T8</v>
      </c>
      <c r="B167" s="1669" t="str">
        <f>T!B47</f>
        <v>Outflow Confinement (ConstricT)</v>
      </c>
      <c r="C167" s="219" t="str">
        <f>T!C47</f>
        <v>In the places where tidal water exits the AA after an average daily high tide, it is:</v>
      </c>
      <c r="D167" s="1372"/>
      <c r="E167" s="192"/>
      <c r="F167" s="1373"/>
      <c r="G167" s="857">
        <f>IF((D166=1),"",MAX(F168:F170)/MAX(E168:E170))</f>
        <v>0</v>
      </c>
      <c r="H167" s="1622" t="s">
        <v>386</v>
      </c>
    </row>
    <row r="168" spans="1:8" ht="27" customHeight="1" x14ac:dyDescent="0.25">
      <c r="A168" s="1923"/>
      <c r="B168" s="1691"/>
      <c r="C168" s="1356" t="str">
        <f>T!C48</f>
        <v>Impeded partially by a pipe, culvert, narrowly breached dike, berm, beaver dam, or other obstruction (other than natural topography).</v>
      </c>
      <c r="D168" s="47">
        <f>T!D48</f>
        <v>0</v>
      </c>
      <c r="E168" s="45">
        <v>0</v>
      </c>
      <c r="F168" s="45">
        <f>D168*E168</f>
        <v>0</v>
      </c>
      <c r="G168" s="792"/>
      <c r="H168" s="1623"/>
    </row>
    <row r="169" spans="1:8" ht="16.2" customHeight="1" x14ac:dyDescent="0.25">
      <c r="A169" s="1923"/>
      <c r="B169" s="1691"/>
      <c r="C169" s="1358" t="str">
        <f>T!C49</f>
        <v>Not impeded by anything other than (possibly) natural topography.</v>
      </c>
      <c r="D169" s="47">
        <f>T!D49</f>
        <v>0</v>
      </c>
      <c r="E169" s="45">
        <v>1</v>
      </c>
      <c r="F169" s="45">
        <f>D169*E169</f>
        <v>0</v>
      </c>
      <c r="G169" s="793"/>
      <c r="H169" s="1623"/>
    </row>
    <row r="170" spans="1:8" ht="21.75" customHeight="1" thickBot="1" x14ac:dyDescent="0.3">
      <c r="A170" s="1924"/>
      <c r="B170" s="1692"/>
      <c r="C170" s="1367" t="str">
        <f>T!C50</f>
        <v>Exported more quickly than usual due to ditches or pipes within the AA or connected to its outlet.</v>
      </c>
      <c r="D170" s="242">
        <f>T!D50</f>
        <v>0</v>
      </c>
      <c r="E170" s="193">
        <v>2</v>
      </c>
      <c r="F170" s="193">
        <f>D170*E170</f>
        <v>0</v>
      </c>
      <c r="G170" s="909"/>
      <c r="H170" s="1624"/>
    </row>
    <row r="171" spans="1:8" ht="30" customHeight="1" thickBot="1" x14ac:dyDescent="0.3">
      <c r="A171" s="1923" t="str">
        <f>T!A51</f>
        <v>T9</v>
      </c>
      <c r="B171" s="1691" t="str">
        <f>T!B51</f>
        <v>Blind Channels - total length and branching (BlindChT)</v>
      </c>
      <c r="C171" s="1123" t="str">
        <f>T!C51</f>
        <v>Within the intertidal part of the AA, the approximate density of tidal channels that remain wetted during low tide on most days of the year (i.e., MLLW) is:</v>
      </c>
      <c r="D171" s="853"/>
      <c r="E171" s="46"/>
      <c r="F171" s="1374"/>
      <c r="G171" s="854">
        <f>MAX(F172:F176)/MAX(E172:E176)</f>
        <v>0</v>
      </c>
      <c r="H171" s="1691" t="s">
        <v>387</v>
      </c>
    </row>
    <row r="172" spans="1:8" ht="16.2" customHeight="1" x14ac:dyDescent="0.25">
      <c r="A172" s="1923"/>
      <c r="B172" s="1691"/>
      <c r="C172" s="1356" t="str">
        <f>T!C52</f>
        <v>&lt;100 linear ft per acre, or none, or all have been artificially straightened.</v>
      </c>
      <c r="D172" s="47">
        <f>T!D52</f>
        <v>0</v>
      </c>
      <c r="E172" s="45">
        <v>0</v>
      </c>
      <c r="F172" s="45">
        <f>D172*E172</f>
        <v>0</v>
      </c>
      <c r="G172" s="792"/>
      <c r="H172" s="1691"/>
    </row>
    <row r="173" spans="1:8" ht="16.2" customHeight="1" x14ac:dyDescent="0.25">
      <c r="A173" s="1923"/>
      <c r="B173" s="1691"/>
      <c r="C173" s="1358" t="str">
        <f>T!C53</f>
        <v>100-1000 linear ft per acre, and most tidal channels are unbranched.</v>
      </c>
      <c r="D173" s="47">
        <f>T!D53</f>
        <v>0</v>
      </c>
      <c r="E173" s="45">
        <v>1</v>
      </c>
      <c r="F173" s="45">
        <f>D173*E173</f>
        <v>0</v>
      </c>
      <c r="G173" s="793"/>
      <c r="H173" s="1691"/>
    </row>
    <row r="174" spans="1:8" ht="16.2" customHeight="1" x14ac:dyDescent="0.25">
      <c r="A174" s="1923"/>
      <c r="B174" s="1691"/>
      <c r="C174" s="1358" t="str">
        <f>T!C54</f>
        <v>100-1000 linear ft per acre, and most tidal channels are branched.</v>
      </c>
      <c r="D174" s="47">
        <f>T!D54</f>
        <v>0</v>
      </c>
      <c r="E174" s="45">
        <v>2</v>
      </c>
      <c r="F174" s="45">
        <f>D174*E174</f>
        <v>0</v>
      </c>
      <c r="G174" s="793"/>
      <c r="H174" s="1691"/>
    </row>
    <row r="175" spans="1:8" ht="16.2" customHeight="1" x14ac:dyDescent="0.25">
      <c r="A175" s="1923"/>
      <c r="B175" s="1691"/>
      <c r="C175" s="1358" t="str">
        <f>T!C55</f>
        <v>&gt;1000 linear ft per acre and most tidal channels are unbranched.</v>
      </c>
      <c r="D175" s="47">
        <f>T!D55</f>
        <v>0</v>
      </c>
      <c r="E175" s="45">
        <v>3</v>
      </c>
      <c r="F175" s="45">
        <f>D175*E175</f>
        <v>0</v>
      </c>
      <c r="G175" s="793"/>
      <c r="H175" s="1691"/>
    </row>
    <row r="176" spans="1:8" ht="16.2" customHeight="1" thickBot="1" x14ac:dyDescent="0.3">
      <c r="A176" s="1923"/>
      <c r="B176" s="1691"/>
      <c r="C176" s="1360" t="str">
        <f>T!C56</f>
        <v>&gt;1000 linear ft per acre and most tidal channels are branched.</v>
      </c>
      <c r="D176" s="80">
        <f>T!D56</f>
        <v>0</v>
      </c>
      <c r="E176" s="54">
        <v>4</v>
      </c>
      <c r="F176" s="54">
        <f>D176*E176</f>
        <v>0</v>
      </c>
      <c r="G176" s="800"/>
      <c r="H176" s="1691"/>
    </row>
    <row r="177" spans="1:8" ht="21" customHeight="1" thickBot="1" x14ac:dyDescent="0.3">
      <c r="A177" s="1922" t="str">
        <f>T!A57</f>
        <v>T10</v>
      </c>
      <c r="B177" s="1669" t="str">
        <f>T!B57</f>
        <v>Tidal-Nontidal Hydro- connectivity (TnonT)</v>
      </c>
      <c r="C177" s="219" t="str">
        <f>T!C57</f>
        <v>This tidal wetland is : Select first one that applies.</v>
      </c>
      <c r="D177" s="1372"/>
      <c r="E177" s="192"/>
      <c r="F177" s="1373"/>
      <c r="G177" s="857">
        <f>MAX(F178:F183)/MAX(E178:E183)</f>
        <v>0</v>
      </c>
      <c r="H177" s="1669" t="s">
        <v>388</v>
      </c>
    </row>
    <row r="178" spans="1:8" ht="41.25" customHeight="1" x14ac:dyDescent="0.25">
      <c r="A178" s="1923"/>
      <c r="B178" s="1691"/>
      <c r="C178" s="1356" t="str">
        <f>T!C58</f>
        <v xml:space="preserve">Adjacent to a nontidal palustrine wetland that contains surface water at least seasonally. Anadromous fish can access both wetlands during spring. Mostly not separated by a dike or other barrier.  </v>
      </c>
      <c r="D178" s="47">
        <f>T!D58</f>
        <v>0</v>
      </c>
      <c r="E178" s="45">
        <v>3</v>
      </c>
      <c r="F178" s="45">
        <f t="shared" ref="F178:F183" si="8">D178*E178</f>
        <v>0</v>
      </c>
      <c r="G178" s="792"/>
      <c r="H178" s="1691"/>
    </row>
    <row r="179" spans="1:8" ht="36.75" customHeight="1" x14ac:dyDescent="0.25">
      <c r="A179" s="1923"/>
      <c r="B179" s="1691"/>
      <c r="C179" s="1358" t="str">
        <f>T!C59</f>
        <v>Adjacent to a nontidal palustrine wetland that contains surface water at least seasonally. Anadromous fish can access both wetlands during spring.  Mostly separated by a dike, road, or other partial barrier.</v>
      </c>
      <c r="D179" s="47">
        <f>T!D59</f>
        <v>0</v>
      </c>
      <c r="E179" s="45">
        <v>2</v>
      </c>
      <c r="F179" s="45">
        <f t="shared" si="8"/>
        <v>0</v>
      </c>
      <c r="G179" s="793"/>
      <c r="H179" s="1691"/>
    </row>
    <row r="180" spans="1:8" ht="27" customHeight="1" x14ac:dyDescent="0.25">
      <c r="A180" s="1923"/>
      <c r="B180" s="1691"/>
      <c r="C180" s="1358" t="str">
        <f>T!C60</f>
        <v xml:space="preserve">Adjacent to a nontidal palustrine wetland that contains surface water at least seasonally. Anadromous fish cannot access both wetlands during spring.  </v>
      </c>
      <c r="D180" s="1359">
        <f>T!D60</f>
        <v>0</v>
      </c>
      <c r="E180" s="45">
        <v>1</v>
      </c>
      <c r="F180" s="45">
        <f t="shared" si="8"/>
        <v>0</v>
      </c>
      <c r="G180" s="793"/>
      <c r="H180" s="1691"/>
    </row>
    <row r="181" spans="1:8" ht="27" customHeight="1" x14ac:dyDescent="0.25">
      <c r="A181" s="1923"/>
      <c r="B181" s="1691"/>
      <c r="C181" s="1358" t="str">
        <f>T!C61</f>
        <v>Not adjacent to a nontidal palustrine wetland that contains surface water.  Has a freshwater tributary that allows fish passage during the springtime to a nontidal wetland &lt; 1 mile upstream.</v>
      </c>
      <c r="D181" s="47">
        <f>T!D61</f>
        <v>0</v>
      </c>
      <c r="E181" s="45">
        <v>1</v>
      </c>
      <c r="F181" s="45">
        <f t="shared" si="8"/>
        <v>0</v>
      </c>
      <c r="G181" s="793"/>
      <c r="H181" s="1691"/>
    </row>
    <row r="182" spans="1:8" ht="30.75" customHeight="1" x14ac:dyDescent="0.25">
      <c r="A182" s="1923"/>
      <c r="B182" s="1691"/>
      <c r="C182" s="1358" t="str">
        <f>T!C62</f>
        <v>Not adjacent to a nontidal palustrine wetland that contains surface water.  Has a freshwater tributary that allows fish passage during the springtime to a nontidal wetland &gt; 1 mile upstream.</v>
      </c>
      <c r="D182" s="47">
        <f>T!D62</f>
        <v>0</v>
      </c>
      <c r="E182" s="45">
        <v>1</v>
      </c>
      <c r="F182" s="45">
        <f t="shared" si="8"/>
        <v>0</v>
      </c>
      <c r="G182" s="793"/>
      <c r="H182" s="1691"/>
    </row>
    <row r="183" spans="1:8" ht="40.5" customHeight="1" thickBot="1" x14ac:dyDescent="0.3">
      <c r="A183" s="1924"/>
      <c r="B183" s="1692"/>
      <c r="C183" s="1367" t="str">
        <f>T!C63</f>
        <v>Not adjacent to a nontidal palustrine wetland that contains surface water.  Lacks a freshwater tributary that provides fish access to an upstream wetland  that contains surface water at least seasonally.</v>
      </c>
      <c r="D183" s="242">
        <f>T!D63</f>
        <v>0</v>
      </c>
      <c r="E183" s="193">
        <v>0</v>
      </c>
      <c r="F183" s="193">
        <f t="shared" si="8"/>
        <v>0</v>
      </c>
      <c r="G183" s="909"/>
      <c r="H183" s="1692"/>
    </row>
    <row r="184" spans="1:8" ht="30" customHeight="1" thickBot="1" x14ac:dyDescent="0.3">
      <c r="A184" s="1923" t="str">
        <f>T!A64</f>
        <v>T11</v>
      </c>
      <c r="B184" s="1691" t="str">
        <f>T!B64</f>
        <v>Gradient of nontidal Input Channel (SlopeInChanT)</v>
      </c>
      <c r="C184" s="1123" t="str">
        <f>T!C64</f>
        <v>The gradient of the largest nontidal freshwater input tributary or ditch, averaged 150 f. from where it enters the AA, is:</v>
      </c>
      <c r="D184" s="853"/>
      <c r="E184" s="46"/>
      <c r="F184" s="1374"/>
      <c r="G184" s="854">
        <f>MAX(F185:F188)/MAX(E185:E188)</f>
        <v>0</v>
      </c>
      <c r="H184" s="1691" t="s">
        <v>389</v>
      </c>
    </row>
    <row r="185" spans="1:8" ht="16.2" customHeight="1" x14ac:dyDescent="0.25">
      <c r="A185" s="1923"/>
      <c r="B185" s="1691"/>
      <c r="C185" s="1356" t="str">
        <f>T!C65</f>
        <v>&lt;1%.</v>
      </c>
      <c r="D185" s="47">
        <f>T!D65</f>
        <v>0</v>
      </c>
      <c r="E185" s="45">
        <v>0</v>
      </c>
      <c r="F185" s="45">
        <f>D185*E185</f>
        <v>0</v>
      </c>
      <c r="G185" s="792"/>
      <c r="H185" s="1691"/>
    </row>
    <row r="186" spans="1:8" ht="16.2" customHeight="1" x14ac:dyDescent="0.25">
      <c r="A186" s="1923"/>
      <c r="B186" s="1691"/>
      <c r="C186" s="1358" t="str">
        <f>T!C66</f>
        <v>1 to &lt;3%</v>
      </c>
      <c r="D186" s="47">
        <f>T!D66</f>
        <v>0</v>
      </c>
      <c r="E186" s="45">
        <v>1</v>
      </c>
      <c r="F186" s="45">
        <f>D186*E186</f>
        <v>0</v>
      </c>
      <c r="G186" s="793"/>
      <c r="H186" s="1691"/>
    </row>
    <row r="187" spans="1:8" ht="16.2" customHeight="1" x14ac:dyDescent="0.25">
      <c r="A187" s="1923"/>
      <c r="B187" s="1691"/>
      <c r="C187" s="1358" t="str">
        <f>T!C67</f>
        <v>3 to 6%</v>
      </c>
      <c r="D187" s="47">
        <f>T!D67</f>
        <v>0</v>
      </c>
      <c r="E187" s="45">
        <v>2</v>
      </c>
      <c r="F187" s="45">
        <f>D187*E187</f>
        <v>0</v>
      </c>
      <c r="G187" s="793"/>
      <c r="H187" s="1691"/>
    </row>
    <row r="188" spans="1:8" ht="16.2" customHeight="1" thickBot="1" x14ac:dyDescent="0.3">
      <c r="A188" s="1923"/>
      <c r="B188" s="1691"/>
      <c r="C188" s="1360" t="str">
        <f>T!C68</f>
        <v>&gt;6%</v>
      </c>
      <c r="D188" s="80">
        <f>T!D68</f>
        <v>0</v>
      </c>
      <c r="E188" s="54">
        <v>3</v>
      </c>
      <c r="F188" s="54">
        <f>D188*E188</f>
        <v>0</v>
      </c>
      <c r="G188" s="800"/>
      <c r="H188" s="1691"/>
    </row>
    <row r="189" spans="1:8" ht="21" customHeight="1" thickBot="1" x14ac:dyDescent="0.3">
      <c r="A189" s="1922" t="str">
        <f>T!A69</f>
        <v>T12</v>
      </c>
      <c r="B189" s="1669" t="str">
        <f>T!B69</f>
        <v>Waves (WavesT)</v>
      </c>
      <c r="C189" s="219" t="str">
        <f>T!C69</f>
        <v>Which of the following is MOST true:</v>
      </c>
      <c r="D189" s="1372"/>
      <c r="E189" s="192"/>
      <c r="F189" s="1373"/>
      <c r="G189" s="857">
        <f>IF((D192=1),"",MAX(F190:F192)/MAX(E190:E192))</f>
        <v>0</v>
      </c>
      <c r="H189" s="1669" t="s">
        <v>390</v>
      </c>
    </row>
    <row r="190" spans="1:8" ht="27" customHeight="1" x14ac:dyDescent="0.25">
      <c r="A190" s="1923"/>
      <c r="B190" s="1691"/>
      <c r="C190" s="1356" t="str">
        <f>T!C70</f>
        <v>Wind or boats frequently generate waves of &gt;1 ft. near the AA, those waves are intercepted by the wetland, and structures behind the AA are protected from wave erosion.</v>
      </c>
      <c r="D190" s="47">
        <f>T!D70</f>
        <v>0</v>
      </c>
      <c r="E190" s="45">
        <v>1</v>
      </c>
      <c r="F190" s="45">
        <f>D190*E190</f>
        <v>0</v>
      </c>
      <c r="G190" s="792"/>
      <c r="H190" s="1691"/>
    </row>
    <row r="191" spans="1:8" ht="27" customHeight="1" x14ac:dyDescent="0.25">
      <c r="A191" s="1923"/>
      <c r="B191" s="1691"/>
      <c r="C191" s="1358" t="str">
        <f>T!C71</f>
        <v>Wind or boats frequently generate waves of &gt;1 ft. near the AA, those waves are intercepted by the wetland, but there are no structures behind the wetland.</v>
      </c>
      <c r="D191" s="47">
        <f>T!D71</f>
        <v>0</v>
      </c>
      <c r="E191" s="45">
        <v>1</v>
      </c>
      <c r="F191" s="45">
        <f>D191*E191</f>
        <v>0</v>
      </c>
      <c r="G191" s="793"/>
      <c r="H191" s="1691"/>
    </row>
    <row r="192" spans="1:8" ht="16.2" customHeight="1" thickBot="1" x14ac:dyDescent="0.3">
      <c r="A192" s="1924"/>
      <c r="B192" s="1692"/>
      <c r="C192" s="1367" t="str">
        <f>T!C72</f>
        <v>Neither wind nor boats frequently generate waves of &gt;1 f.t near the AA.</v>
      </c>
      <c r="D192" s="242">
        <f>T!D72</f>
        <v>0</v>
      </c>
      <c r="E192" s="193">
        <v>0</v>
      </c>
      <c r="F192" s="193">
        <f>D192*E192</f>
        <v>0</v>
      </c>
      <c r="G192" s="909"/>
      <c r="H192" s="1692"/>
    </row>
    <row r="193" spans="1:8" ht="30" customHeight="1" thickBot="1" x14ac:dyDescent="0.3">
      <c r="A193" s="1923" t="str">
        <f>T!A84</f>
        <v>T15</v>
      </c>
      <c r="B193" s="1691" t="str">
        <f>T!B84</f>
        <v>Overhanging Vegetation at High Tide (ShadeHiT)</v>
      </c>
      <c r="C193" s="714" t="str">
        <f>T!C84</f>
        <v>At average daily high tide, the percentage of the AA's water surface that is overhung by vegetation within the AA is:</v>
      </c>
      <c r="D193" s="853"/>
      <c r="E193" s="46"/>
      <c r="F193" s="1374"/>
      <c r="G193" s="854">
        <f>MAX(F194:F198)/MAX(E194:E198)</f>
        <v>0</v>
      </c>
      <c r="H193" s="1691" t="s">
        <v>391</v>
      </c>
    </row>
    <row r="194" spans="1:8" ht="16.2" customHeight="1" x14ac:dyDescent="0.25">
      <c r="A194" s="1923"/>
      <c r="B194" s="1691"/>
      <c r="C194" s="1356" t="str">
        <f>T!C85</f>
        <v>&lt;5%, or no water is present in the AA at average daily high tide.</v>
      </c>
      <c r="D194" s="47">
        <f>T!D85</f>
        <v>0</v>
      </c>
      <c r="E194" s="45">
        <v>0</v>
      </c>
      <c r="F194" s="45">
        <f>D194*E194</f>
        <v>0</v>
      </c>
      <c r="G194" s="925"/>
      <c r="H194" s="1691"/>
    </row>
    <row r="195" spans="1:8" ht="16.2" customHeight="1" x14ac:dyDescent="0.25">
      <c r="A195" s="1923"/>
      <c r="B195" s="1691"/>
      <c r="C195" s="1358" t="str">
        <f>T!C86</f>
        <v>5 to &lt;25%.</v>
      </c>
      <c r="D195" s="47">
        <f>T!D86</f>
        <v>0</v>
      </c>
      <c r="E195" s="45">
        <v>1</v>
      </c>
      <c r="F195" s="45">
        <f>D195*E195</f>
        <v>0</v>
      </c>
      <c r="G195" s="793"/>
      <c r="H195" s="1691"/>
    </row>
    <row r="196" spans="1:8" ht="16.2" customHeight="1" x14ac:dyDescent="0.25">
      <c r="A196" s="1923"/>
      <c r="B196" s="1691"/>
      <c r="C196" s="1358" t="str">
        <f>T!C87</f>
        <v>25 to &lt;50%.</v>
      </c>
      <c r="D196" s="47">
        <f>T!D87</f>
        <v>0</v>
      </c>
      <c r="E196" s="45">
        <v>2</v>
      </c>
      <c r="F196" s="45">
        <f>D196*E196</f>
        <v>0</v>
      </c>
      <c r="G196" s="926"/>
      <c r="H196" s="1691"/>
    </row>
    <row r="197" spans="1:8" ht="16.2" customHeight="1" x14ac:dyDescent="0.25">
      <c r="A197" s="1923"/>
      <c r="B197" s="1691"/>
      <c r="C197" s="1358" t="str">
        <f>T!C88</f>
        <v>50 to 95%.</v>
      </c>
      <c r="D197" s="47">
        <f>T!D88</f>
        <v>0</v>
      </c>
      <c r="E197" s="45">
        <v>3</v>
      </c>
      <c r="F197" s="45">
        <f>D197*E197</f>
        <v>0</v>
      </c>
      <c r="G197" s="926"/>
      <c r="H197" s="1691"/>
    </row>
    <row r="198" spans="1:8" ht="16.2" customHeight="1" thickBot="1" x14ac:dyDescent="0.3">
      <c r="A198" s="1923"/>
      <c r="B198" s="1691"/>
      <c r="C198" s="1360" t="str">
        <f>T!C89</f>
        <v>&gt;95%.</v>
      </c>
      <c r="D198" s="80">
        <f>T!D89</f>
        <v>0</v>
      </c>
      <c r="E198" s="54">
        <v>4</v>
      </c>
      <c r="F198" s="54">
        <f>D198*E198</f>
        <v>0</v>
      </c>
      <c r="G198" s="800"/>
      <c r="H198" s="1691"/>
    </row>
    <row r="199" spans="1:8" ht="30" customHeight="1" thickBot="1" x14ac:dyDescent="0.3">
      <c r="A199" s="1922" t="str">
        <f>T!A90</f>
        <v>T16</v>
      </c>
      <c r="B199" s="1669" t="str">
        <f>T!B90</f>
        <v>Overhanging Vegetation at Low Tide (ShadeLoT)</v>
      </c>
      <c r="C199" s="219" t="str">
        <f>T!C90</f>
        <v>At average daily low tide, the percentage of the AA's water surface that is overhung by vegetation within the AA is:</v>
      </c>
      <c r="D199" s="1372"/>
      <c r="E199" s="192"/>
      <c r="F199" s="1373"/>
      <c r="G199" s="857">
        <f>MAX(F200:F204)/MAX(E200:E204)</f>
        <v>0</v>
      </c>
      <c r="H199" s="1669" t="s">
        <v>124</v>
      </c>
    </row>
    <row r="200" spans="1:8" ht="16.2" customHeight="1" x14ac:dyDescent="0.25">
      <c r="A200" s="1923"/>
      <c r="B200" s="1691"/>
      <c r="C200" s="1356" t="str">
        <f>T!C91</f>
        <v>&lt;5%, or no water remains in the AA at low tide.</v>
      </c>
      <c r="D200" s="47">
        <f>T!D91</f>
        <v>0</v>
      </c>
      <c r="E200" s="45">
        <v>0</v>
      </c>
      <c r="F200" s="45">
        <f>D200*E200</f>
        <v>0</v>
      </c>
      <c r="G200" s="792"/>
      <c r="H200" s="1691"/>
    </row>
    <row r="201" spans="1:8" ht="16.2" customHeight="1" x14ac:dyDescent="0.25">
      <c r="A201" s="1923"/>
      <c r="B201" s="1691"/>
      <c r="C201" s="1358" t="str">
        <f>T!C92</f>
        <v>5 to &lt;25%.</v>
      </c>
      <c r="D201" s="47">
        <f>T!D92</f>
        <v>0</v>
      </c>
      <c r="E201" s="45">
        <v>1</v>
      </c>
      <c r="F201" s="45">
        <f>D201*E201</f>
        <v>0</v>
      </c>
      <c r="G201" s="793"/>
      <c r="H201" s="1691"/>
    </row>
    <row r="202" spans="1:8" ht="16.2" customHeight="1" x14ac:dyDescent="0.25">
      <c r="A202" s="1923"/>
      <c r="B202" s="1691"/>
      <c r="C202" s="1358" t="str">
        <f>T!C93</f>
        <v>25 to &lt;50%.</v>
      </c>
      <c r="D202" s="47">
        <f>T!D93</f>
        <v>0</v>
      </c>
      <c r="E202" s="45">
        <v>2</v>
      </c>
      <c r="F202" s="45">
        <f>D202*E202</f>
        <v>0</v>
      </c>
      <c r="G202" s="793"/>
      <c r="H202" s="1691"/>
    </row>
    <row r="203" spans="1:8" ht="16.2" customHeight="1" x14ac:dyDescent="0.25">
      <c r="A203" s="1923"/>
      <c r="B203" s="1691"/>
      <c r="C203" s="1358" t="str">
        <f>T!C94</f>
        <v>50 to 95%.</v>
      </c>
      <c r="D203" s="47">
        <f>T!D94</f>
        <v>0</v>
      </c>
      <c r="E203" s="45">
        <v>3</v>
      </c>
      <c r="F203" s="45">
        <f>D203*E203</f>
        <v>0</v>
      </c>
      <c r="G203" s="793"/>
      <c r="H203" s="1691"/>
    </row>
    <row r="204" spans="1:8" ht="16.2" customHeight="1" thickBot="1" x14ac:dyDescent="0.3">
      <c r="A204" s="1924"/>
      <c r="B204" s="1692"/>
      <c r="C204" s="1367" t="str">
        <f>T!C95</f>
        <v>&gt;95%.</v>
      </c>
      <c r="D204" s="242">
        <f>T!D95</f>
        <v>0</v>
      </c>
      <c r="E204" s="193">
        <v>4</v>
      </c>
      <c r="F204" s="193">
        <f>D204*E204</f>
        <v>0</v>
      </c>
      <c r="G204" s="909"/>
      <c r="H204" s="1692"/>
    </row>
    <row r="205" spans="1:8" ht="30" customHeight="1" thickBot="1" x14ac:dyDescent="0.3">
      <c r="A205" s="1923" t="str">
        <f>T!A96</f>
        <v>T17</v>
      </c>
      <c r="B205" s="1691" t="str">
        <f>T!B96</f>
        <v>Vegetation Forms Significantly Present (VegformsT)</v>
      </c>
      <c r="C205" s="1123" t="str">
        <f>T!C96</f>
        <v>The living vegetation forms that comprise &gt;5% of the AA's vegetative cover in late summer is: Select all that appy.</v>
      </c>
      <c r="D205" s="853"/>
      <c r="E205" s="46"/>
      <c r="F205" s="1374"/>
      <c r="G205" s="854">
        <f>MAX(F206:F210)/MAX(E206:E210)</f>
        <v>0</v>
      </c>
      <c r="H205" s="1691" t="s">
        <v>392</v>
      </c>
    </row>
    <row r="206" spans="1:8" ht="16.2" customHeight="1" x14ac:dyDescent="0.25">
      <c r="A206" s="1923"/>
      <c r="B206" s="1691"/>
      <c r="C206" s="1356" t="str">
        <f>T!C97</f>
        <v>Macroalgae (seaweed).</v>
      </c>
      <c r="D206" s="47">
        <f>T!D97</f>
        <v>0</v>
      </c>
      <c r="E206" s="45">
        <v>1</v>
      </c>
      <c r="F206" s="45">
        <f>D206*E206</f>
        <v>0</v>
      </c>
      <c r="G206" s="792"/>
      <c r="H206" s="1691"/>
    </row>
    <row r="207" spans="1:8" ht="16.2" customHeight="1" x14ac:dyDescent="0.25">
      <c r="A207" s="1923"/>
      <c r="B207" s="1691"/>
      <c r="C207" s="1358" t="str">
        <f>T!C98</f>
        <v>Eelgrass.</v>
      </c>
      <c r="D207" s="47">
        <f>T!D98</f>
        <v>0</v>
      </c>
      <c r="E207" s="45">
        <v>1</v>
      </c>
      <c r="F207" s="45">
        <f>D207*E207</f>
        <v>0</v>
      </c>
      <c r="G207" s="793"/>
      <c r="H207" s="1691"/>
    </row>
    <row r="208" spans="1:8" ht="16.2" customHeight="1" x14ac:dyDescent="0.25">
      <c r="A208" s="1923"/>
      <c r="B208" s="1691"/>
      <c r="C208" s="1358" t="str">
        <f>T!C99</f>
        <v>Graminoids (other than eelgrass).</v>
      </c>
      <c r="D208" s="47">
        <f>T!D99</f>
        <v>0</v>
      </c>
      <c r="E208" s="45">
        <v>3</v>
      </c>
      <c r="F208" s="45">
        <f>D208*E208</f>
        <v>0</v>
      </c>
      <c r="G208" s="793"/>
      <c r="H208" s="1691"/>
    </row>
    <row r="209" spans="1:8" ht="16.2" customHeight="1" x14ac:dyDescent="0.25">
      <c r="A209" s="1923"/>
      <c r="B209" s="1691"/>
      <c r="C209" s="1358" t="str">
        <f>T!C100</f>
        <v>Forbs.</v>
      </c>
      <c r="D209" s="47">
        <f>T!D100</f>
        <v>0</v>
      </c>
      <c r="E209" s="45">
        <v>3</v>
      </c>
      <c r="F209" s="45">
        <f>D209*E209</f>
        <v>0</v>
      </c>
      <c r="G209" s="793"/>
      <c r="H209" s="1691"/>
    </row>
    <row r="210" spans="1:8" ht="16.2" customHeight="1" thickBot="1" x14ac:dyDescent="0.3">
      <c r="A210" s="1923"/>
      <c r="B210" s="1691"/>
      <c r="C210" s="1360" t="str">
        <f>T!C101</f>
        <v>Shrubs and/or trees.</v>
      </c>
      <c r="D210" s="80">
        <f>T!D101</f>
        <v>0</v>
      </c>
      <c r="E210" s="54">
        <v>2</v>
      </c>
      <c r="F210" s="54">
        <f>D210*E210</f>
        <v>0</v>
      </c>
      <c r="G210" s="800"/>
      <c r="H210" s="1691"/>
    </row>
    <row r="211" spans="1:8" ht="27" customHeight="1" thickBot="1" x14ac:dyDescent="0.3">
      <c r="A211" s="1922" t="str">
        <f>T!A102</f>
        <v>T18</v>
      </c>
      <c r="B211" s="1669" t="str">
        <f>T!B102</f>
        <v>Vegetation Form- Predominant (VegFormDomT)</v>
      </c>
      <c r="C211" s="219" t="str">
        <f>T!C102</f>
        <v>The living vegetation form that occupies the largest part of the AA's vegetative cover in late summer is:</v>
      </c>
      <c r="D211" s="1372"/>
      <c r="E211" s="192"/>
      <c r="F211" s="1373"/>
      <c r="G211" s="857">
        <f>MAX(F212:F216)/MAX(E212:E216)</f>
        <v>0</v>
      </c>
      <c r="H211" s="1669" t="s">
        <v>124</v>
      </c>
    </row>
    <row r="212" spans="1:8" ht="16.2" customHeight="1" x14ac:dyDescent="0.25">
      <c r="A212" s="1923"/>
      <c r="B212" s="1691"/>
      <c r="C212" s="1356" t="str">
        <f>T!C103</f>
        <v>Macroalgae (seaweed).</v>
      </c>
      <c r="D212" s="47">
        <f>T!D103</f>
        <v>0</v>
      </c>
      <c r="E212" s="45">
        <v>1</v>
      </c>
      <c r="F212" s="45">
        <f>D212*E212</f>
        <v>0</v>
      </c>
      <c r="G212" s="792"/>
      <c r="H212" s="1691"/>
    </row>
    <row r="213" spans="1:8" ht="16.2" customHeight="1" x14ac:dyDescent="0.25">
      <c r="A213" s="1923"/>
      <c r="B213" s="1691"/>
      <c r="C213" s="1358" t="str">
        <f>T!C104</f>
        <v>Eelgrass.</v>
      </c>
      <c r="D213" s="47">
        <f>T!D104</f>
        <v>0</v>
      </c>
      <c r="E213" s="45">
        <v>1</v>
      </c>
      <c r="F213" s="45">
        <f>D213*E213</f>
        <v>0</v>
      </c>
      <c r="G213" s="793"/>
      <c r="H213" s="1691"/>
    </row>
    <row r="214" spans="1:8" ht="16.2" customHeight="1" x14ac:dyDescent="0.25">
      <c r="A214" s="1923"/>
      <c r="B214" s="1691"/>
      <c r="C214" s="1358" t="str">
        <f>T!C105</f>
        <v>Graminoids (other than eelgrass).</v>
      </c>
      <c r="D214" s="47">
        <f>T!D105</f>
        <v>0</v>
      </c>
      <c r="E214" s="45">
        <v>4</v>
      </c>
      <c r="F214" s="45">
        <f>D214*E214</f>
        <v>0</v>
      </c>
      <c r="G214" s="793"/>
      <c r="H214" s="1691"/>
    </row>
    <row r="215" spans="1:8" ht="16.2" customHeight="1" x14ac:dyDescent="0.25">
      <c r="A215" s="1923"/>
      <c r="B215" s="1691"/>
      <c r="C215" s="1358" t="str">
        <f>T!C106</f>
        <v>Forbs.</v>
      </c>
      <c r="D215" s="47">
        <f>T!D106</f>
        <v>0</v>
      </c>
      <c r="E215" s="45">
        <v>4</v>
      </c>
      <c r="F215" s="45">
        <f>D215*E215</f>
        <v>0</v>
      </c>
      <c r="G215" s="793"/>
      <c r="H215" s="1691"/>
    </row>
    <row r="216" spans="1:8" ht="16.2" customHeight="1" thickBot="1" x14ac:dyDescent="0.3">
      <c r="A216" s="1924"/>
      <c r="B216" s="1692"/>
      <c r="C216" s="1367" t="str">
        <f>T!C107</f>
        <v>Shrubs and/or trees.</v>
      </c>
      <c r="D216" s="242">
        <f>T!D107</f>
        <v>0</v>
      </c>
      <c r="E216" s="193">
        <v>3</v>
      </c>
      <c r="F216" s="193">
        <f>D216*E216</f>
        <v>0</v>
      </c>
      <c r="G216" s="909"/>
      <c r="H216" s="1692"/>
    </row>
    <row r="217" spans="1:8" ht="21" customHeight="1" thickBot="1" x14ac:dyDescent="0.3">
      <c r="A217" s="1922" t="str">
        <f>T!A180</f>
        <v>T32</v>
      </c>
      <c r="B217" s="1669" t="str">
        <f>T!B180</f>
        <v>Bare Ground &amp; Accumulated Plant Litter (GcoverT)</v>
      </c>
      <c r="C217" s="219" t="str">
        <f>T!C180</f>
        <v>Viewed from 6 inches above the soil surface, the condition in most of the tidal wetland is:</v>
      </c>
      <c r="D217" s="1372"/>
      <c r="E217" s="192"/>
      <c r="F217" s="1373"/>
      <c r="G217" s="857">
        <f>IF((D222=1),"",MAX(F218:F221)/MAX(E218:E221))</f>
        <v>0</v>
      </c>
      <c r="H217" s="1669" t="s">
        <v>142</v>
      </c>
    </row>
    <row r="218" spans="1:8" ht="53.25" customHeight="1" x14ac:dyDescent="0.25">
      <c r="A218" s="1923"/>
      <c r="B218" s="1691"/>
      <c r="C218" s="1356"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218" s="47">
        <f>T!D181</f>
        <v>0</v>
      </c>
      <c r="E218" s="45">
        <v>4</v>
      </c>
      <c r="F218" s="45">
        <f>D218*E218</f>
        <v>0</v>
      </c>
      <c r="G218" s="792"/>
      <c r="H218" s="1691"/>
    </row>
    <row r="219" spans="1:8" ht="27" customHeight="1" x14ac:dyDescent="0.25">
      <c r="A219" s="1923"/>
      <c r="B219" s="1691"/>
      <c r="C219" s="1358" t="str">
        <f>T!C182</f>
        <v>Some (5-20%) bare ground or remaining thatch is visible.  Herbaceous plants have moderate stem densities and do not closely hug the ground.</v>
      </c>
      <c r="D219" s="47">
        <f>T!D182</f>
        <v>0</v>
      </c>
      <c r="E219" s="45">
        <v>3</v>
      </c>
      <c r="F219" s="45">
        <f>D219*E219</f>
        <v>0</v>
      </c>
      <c r="G219" s="793"/>
      <c r="H219" s="1691"/>
    </row>
    <row r="220" spans="1:8" ht="27" customHeight="1" x14ac:dyDescent="0.25">
      <c r="A220" s="1923"/>
      <c r="B220" s="1691"/>
      <c r="C220" s="1358" t="str">
        <f>T!C183</f>
        <v>Much (20-50%) bare ground or thatch is visible.  Low stem density and/or tall plants with little living ground cover during early growing season.</v>
      </c>
      <c r="D220" s="47">
        <f>T!D183</f>
        <v>0</v>
      </c>
      <c r="E220" s="45">
        <v>2</v>
      </c>
      <c r="F220" s="45">
        <f>D220*E220</f>
        <v>0</v>
      </c>
      <c r="G220" s="793"/>
      <c r="H220" s="1691"/>
    </row>
    <row r="221" spans="1:8" ht="16.2" customHeight="1" x14ac:dyDescent="0.25">
      <c r="A221" s="1923"/>
      <c r="B221" s="1691"/>
      <c r="C221" s="1358" t="str">
        <f>T!C184</f>
        <v>Mostly (&gt;50%) bare ground or thatch.</v>
      </c>
      <c r="D221" s="47">
        <f>T!D184</f>
        <v>0</v>
      </c>
      <c r="E221" s="45">
        <v>1</v>
      </c>
      <c r="F221" s="45">
        <f>D221*E221</f>
        <v>0</v>
      </c>
      <c r="G221" s="793"/>
      <c r="H221" s="1691"/>
    </row>
    <row r="222" spans="1:8" ht="16.2" customHeight="1" thickBot="1" x14ac:dyDescent="0.3">
      <c r="A222" s="1924"/>
      <c r="B222" s="1692"/>
      <c r="C222" s="1367" t="str">
        <f>T!C185</f>
        <v>Not applicable.  Nearly all of the AA remains inundated even at daily low tide.</v>
      </c>
      <c r="D222" s="242">
        <f>T!D185</f>
        <v>0</v>
      </c>
      <c r="E222" s="193"/>
      <c r="F222" s="193"/>
      <c r="G222" s="909"/>
      <c r="H222" s="1692"/>
    </row>
    <row r="223" spans="1:8" ht="21" customHeight="1" thickBot="1" x14ac:dyDescent="0.3">
      <c r="A223" s="11"/>
      <c r="G223" s="15"/>
    </row>
    <row r="224" spans="1:8" ht="21" customHeight="1" x14ac:dyDescent="0.25">
      <c r="A224" s="1120"/>
      <c r="B224" s="1120"/>
      <c r="C224" s="1834" t="s">
        <v>610</v>
      </c>
      <c r="D224" s="2135" t="s">
        <v>240</v>
      </c>
      <c r="E224" s="2136"/>
      <c r="F224" s="2137"/>
      <c r="G224" s="897">
        <f>AVERAGE(SoilTex7, Moss7)</f>
        <v>0.5</v>
      </c>
      <c r="H224" s="1375" t="s">
        <v>664</v>
      </c>
    </row>
    <row r="225" spans="1:9" ht="21" customHeight="1" x14ac:dyDescent="0.25">
      <c r="A225" s="1120"/>
      <c r="B225" s="1120"/>
      <c r="C225" s="1962"/>
      <c r="D225" s="2129" t="s">
        <v>1978</v>
      </c>
      <c r="E225" s="2130"/>
      <c r="F225" s="2131"/>
      <c r="G225" s="898">
        <f>AVERAGE(FrozDur7,PlantCov7,NutrAvail7)</f>
        <v>0</v>
      </c>
      <c r="H225" s="934" t="s">
        <v>665</v>
      </c>
    </row>
    <row r="226" spans="1:9" ht="21" customHeight="1" x14ac:dyDescent="0.25">
      <c r="A226" s="1120"/>
      <c r="B226" s="1120"/>
      <c r="C226" s="1962"/>
      <c r="D226" s="2129" t="s">
        <v>243</v>
      </c>
      <c r="E226" s="2130"/>
      <c r="F226" s="2131"/>
      <c r="G226" s="898">
        <f>AVERAGE(_GDD7,Groundw7)</f>
        <v>0</v>
      </c>
      <c r="H226" s="934" t="s">
        <v>662</v>
      </c>
    </row>
    <row r="227" spans="1:9" ht="21" customHeight="1" x14ac:dyDescent="0.25">
      <c r="A227" s="1120"/>
      <c r="B227" s="1120"/>
      <c r="C227" s="1962"/>
      <c r="D227" s="2129" t="s">
        <v>244</v>
      </c>
      <c r="E227" s="2130"/>
      <c r="F227" s="2131"/>
      <c r="G227" s="898">
        <f>AVERAGE(EmArea7,AVERAGE(Gcover7,EmPct7,DepthDom7))</f>
        <v>0</v>
      </c>
      <c r="H227" s="190" t="s">
        <v>1526</v>
      </c>
    </row>
    <row r="228" spans="1:9" ht="21" customHeight="1" x14ac:dyDescent="0.25">
      <c r="A228" s="1120"/>
      <c r="B228" s="1120"/>
      <c r="C228" s="1962"/>
      <c r="D228" s="2129" t="s">
        <v>1477</v>
      </c>
      <c r="E228" s="2130"/>
      <c r="F228" s="2131"/>
      <c r="G228" s="898">
        <f>AVERAGE(SeasPct7,Fluctu7,PondWpctWet7,Nfix7,NewWet7)</f>
        <v>0</v>
      </c>
      <c r="H228" s="190" t="s">
        <v>1516</v>
      </c>
    </row>
    <row r="229" spans="1:9" ht="30" customHeight="1" thickBot="1" x14ac:dyDescent="0.3">
      <c r="A229" s="1120"/>
      <c r="B229" s="1120"/>
      <c r="C229" s="1962"/>
      <c r="D229" s="2132" t="s">
        <v>241</v>
      </c>
      <c r="E229" s="2133"/>
      <c r="F229" s="2134"/>
      <c r="G229" s="1243">
        <f>IF((NoOutlet=1),0, AVERAGE(OutDura7, Gradient7,Arid7, AVERAGE(Constric7, ThruFlo7, PondWpctWet7, WidthWet7, Elev7,_SAV7)))</f>
        <v>0</v>
      </c>
      <c r="H229" s="1285" t="s">
        <v>1168</v>
      </c>
    </row>
    <row r="230" spans="1:9" ht="54" customHeight="1" thickBot="1" x14ac:dyDescent="0.3">
      <c r="A230" s="11"/>
      <c r="C230" s="2037"/>
      <c r="D230" s="2124" t="s">
        <v>614</v>
      </c>
      <c r="E230" s="2125"/>
      <c r="F230" s="2126"/>
      <c r="G230" s="1341">
        <f>(3*AVERAGE(LowMarshT7,OutDuraT7,BlindChT7) + AVERAGE(GradientT7,SlopeInChanT7,ConstricT7,WavesT7,WidthHiT7,WidthLoT7) + MAX(EstPosT7,SalinT7) + AVERAGE(ShadeHiT7,ShadeLoT7,GcoverT7, VegformsT7, VegFormDomT7,TnonT7)) /6</f>
        <v>0</v>
      </c>
      <c r="H230" s="1286" t="s">
        <v>1527</v>
      </c>
      <c r="I230" s="5"/>
    </row>
    <row r="231" spans="1:9" ht="33" customHeight="1" thickBot="1" x14ac:dyDescent="0.3">
      <c r="A231" s="11"/>
      <c r="C231" s="1807" t="s">
        <v>1562</v>
      </c>
      <c r="D231" s="1808"/>
      <c r="E231" s="1809"/>
      <c r="F231" s="250" t="s">
        <v>6</v>
      </c>
      <c r="G231" s="1378">
        <f>10*(IF((Tidal=1),Tidal_OE, IF((NoOutlet=1),0, (3*ExportPot7 + 2*Productiv7 + HistAccum7)/6)))</f>
        <v>0.83333333333333326</v>
      </c>
      <c r="H231" s="251" t="s">
        <v>769</v>
      </c>
      <c r="I231" s="5"/>
    </row>
    <row r="232" spans="1:9" ht="33" customHeight="1" thickBot="1" x14ac:dyDescent="0.3">
      <c r="A232" s="11"/>
      <c r="C232" s="2141" t="s">
        <v>1563</v>
      </c>
      <c r="D232" s="2142"/>
      <c r="E232" s="2143"/>
      <c r="F232" s="1376" t="s">
        <v>7</v>
      </c>
      <c r="G232" s="1379"/>
      <c r="H232" s="1377" t="s">
        <v>601</v>
      </c>
    </row>
    <row r="233" spans="1:9" ht="21" customHeight="1" thickBot="1" x14ac:dyDescent="0.3"/>
    <row r="234" spans="1:9" ht="21" customHeight="1" thickBot="1" x14ac:dyDescent="0.3">
      <c r="H234" s="257" t="s">
        <v>859</v>
      </c>
    </row>
    <row r="235" spans="1:9" ht="27" customHeight="1" x14ac:dyDescent="0.25">
      <c r="H235" s="715" t="s">
        <v>1012</v>
      </c>
    </row>
    <row r="236" spans="1:9" ht="27" customHeight="1" x14ac:dyDescent="0.25">
      <c r="H236" s="716" t="s">
        <v>1013</v>
      </c>
    </row>
    <row r="237" spans="1:9" ht="27" customHeight="1" x14ac:dyDescent="0.25">
      <c r="H237" s="716" t="s">
        <v>1014</v>
      </c>
    </row>
    <row r="238" spans="1:9" ht="42" customHeight="1" thickBot="1" x14ac:dyDescent="0.3">
      <c r="H238" s="717" t="s">
        <v>1015</v>
      </c>
    </row>
  </sheetData>
  <sheetProtection password="C74A" sheet="1" objects="1" scenarios="1" formatCells="0" formatColumns="0" formatRows="0"/>
  <customSheetViews>
    <customSheetView guid="{B8E02330-2419-4DE6-AD01-7ACC7A5D18DD}" scale="75">
      <selection activeCell="H127" sqref="A2:H127"/>
      <pageMargins left="0.75" right="0.75" top="1" bottom="1" header="0.5" footer="0.5"/>
      <pageSetup orientation="portrait" r:id="rId1"/>
      <headerFooter alignWithMargins="0"/>
    </customSheetView>
  </customSheetViews>
  <mergeCells count="123">
    <mergeCell ref="C231:E231"/>
    <mergeCell ref="C232:E232"/>
    <mergeCell ref="E1:H1"/>
    <mergeCell ref="A68:A73"/>
    <mergeCell ref="A83:A88"/>
    <mergeCell ref="B83:B88"/>
    <mergeCell ref="H83:H88"/>
    <mergeCell ref="A89:A93"/>
    <mergeCell ref="B89:B93"/>
    <mergeCell ref="H89:H93"/>
    <mergeCell ref="A157:A161"/>
    <mergeCell ref="A1:B1"/>
    <mergeCell ref="B10:B13"/>
    <mergeCell ref="H55:H61"/>
    <mergeCell ref="A150:A156"/>
    <mergeCell ref="H125:H128"/>
    <mergeCell ref="A74:A78"/>
    <mergeCell ref="A79:A82"/>
    <mergeCell ref="H94:H98"/>
    <mergeCell ref="H106:H111"/>
    <mergeCell ref="A62:A67"/>
    <mergeCell ref="H79:H82"/>
    <mergeCell ref="B74:B78"/>
    <mergeCell ref="B79:B82"/>
    <mergeCell ref="H35:H40"/>
    <mergeCell ref="A35:A40"/>
    <mergeCell ref="A10:A13"/>
    <mergeCell ref="H74:H78"/>
    <mergeCell ref="A14:A21"/>
    <mergeCell ref="A48:A54"/>
    <mergeCell ref="H22:H27"/>
    <mergeCell ref="H48:H54"/>
    <mergeCell ref="A22:A27"/>
    <mergeCell ref="B22:B27"/>
    <mergeCell ref="B35:B40"/>
    <mergeCell ref="B28:B34"/>
    <mergeCell ref="H28:H34"/>
    <mergeCell ref="H14:H21"/>
    <mergeCell ref="B14:B21"/>
    <mergeCell ref="A28:A34"/>
    <mergeCell ref="H150:H156"/>
    <mergeCell ref="H129:H134"/>
    <mergeCell ref="B41:B47"/>
    <mergeCell ref="B48:B54"/>
    <mergeCell ref="A94:A98"/>
    <mergeCell ref="B55:B61"/>
    <mergeCell ref="B62:B67"/>
    <mergeCell ref="A112:A116"/>
    <mergeCell ref="H41:H47"/>
    <mergeCell ref="H117:H123"/>
    <mergeCell ref="H135:H142"/>
    <mergeCell ref="H100:H105"/>
    <mergeCell ref="H112:H116"/>
    <mergeCell ref="A41:A47"/>
    <mergeCell ref="A106:A111"/>
    <mergeCell ref="A100:A105"/>
    <mergeCell ref="H68:H73"/>
    <mergeCell ref="D230:F230"/>
    <mergeCell ref="C224:C230"/>
    <mergeCell ref="A117:A123"/>
    <mergeCell ref="D227:F227"/>
    <mergeCell ref="D228:F228"/>
    <mergeCell ref="D229:F229"/>
    <mergeCell ref="D224:F224"/>
    <mergeCell ref="D225:F225"/>
    <mergeCell ref="D226:F226"/>
    <mergeCell ref="A193:A198"/>
    <mergeCell ref="A184:A188"/>
    <mergeCell ref="A189:A192"/>
    <mergeCell ref="A199:A204"/>
    <mergeCell ref="A143:A149"/>
    <mergeCell ref="A167:A170"/>
    <mergeCell ref="A171:A176"/>
    <mergeCell ref="A177:A183"/>
    <mergeCell ref="B129:B134"/>
    <mergeCell ref="H217:H222"/>
    <mergeCell ref="A125:A128"/>
    <mergeCell ref="A129:A134"/>
    <mergeCell ref="A135:A142"/>
    <mergeCell ref="A162:A166"/>
    <mergeCell ref="H171:H176"/>
    <mergeCell ref="H177:H183"/>
    <mergeCell ref="A205:A210"/>
    <mergeCell ref="A211:A216"/>
    <mergeCell ref="H167:H170"/>
    <mergeCell ref="H189:H192"/>
    <mergeCell ref="H143:H149"/>
    <mergeCell ref="H157:H161"/>
    <mergeCell ref="H162:H166"/>
    <mergeCell ref="A217:A222"/>
    <mergeCell ref="B217:B222"/>
    <mergeCell ref="B184:B188"/>
    <mergeCell ref="B189:B192"/>
    <mergeCell ref="B193:B198"/>
    <mergeCell ref="B199:B204"/>
    <mergeCell ref="B205:B210"/>
    <mergeCell ref="B211:B216"/>
    <mergeCell ref="H193:H198"/>
    <mergeCell ref="H199:H204"/>
    <mergeCell ref="H184:H188"/>
    <mergeCell ref="H205:H210"/>
    <mergeCell ref="H211:H216"/>
    <mergeCell ref="B3:B9"/>
    <mergeCell ref="A3:A9"/>
    <mergeCell ref="H3:H9"/>
    <mergeCell ref="B171:B176"/>
    <mergeCell ref="B177:B183"/>
    <mergeCell ref="B135:B142"/>
    <mergeCell ref="B143:B149"/>
    <mergeCell ref="B150:B156"/>
    <mergeCell ref="B157:B161"/>
    <mergeCell ref="B162:B166"/>
    <mergeCell ref="B167:B170"/>
    <mergeCell ref="B94:B98"/>
    <mergeCell ref="B100:B105"/>
    <mergeCell ref="B106:B111"/>
    <mergeCell ref="B112:B116"/>
    <mergeCell ref="B117:B123"/>
    <mergeCell ref="B125:B128"/>
    <mergeCell ref="A55:A61"/>
    <mergeCell ref="B68:B73"/>
    <mergeCell ref="H62:H67"/>
    <mergeCell ref="H10:H13"/>
  </mergeCells>
  <phoneticPr fontId="3" type="noConversion"/>
  <pageMargins left="0.75" right="0.75" top="1" bottom="1" header="0.5" footer="0.5"/>
  <pageSetup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dimension ref="A1:J243"/>
  <sheetViews>
    <sheetView zoomScaleNormal="100" workbookViewId="0">
      <selection activeCell="G179" sqref="G179:G186"/>
    </sheetView>
  </sheetViews>
  <sheetFormatPr defaultColWidth="9.33203125" defaultRowHeight="13.8" x14ac:dyDescent="0.25"/>
  <cols>
    <col min="1" max="1" width="5.77734375" style="2" customWidth="1"/>
    <col min="2" max="2" width="18.77734375" style="2" customWidth="1"/>
    <col min="3" max="3" width="75.77734375" style="2" customWidth="1"/>
    <col min="4" max="4" width="6.77734375" style="14" customWidth="1"/>
    <col min="5" max="5" width="8.33203125" style="14" customWidth="1"/>
    <col min="6" max="6" width="8.77734375" style="14" customWidth="1"/>
    <col min="7" max="7" width="12.6640625" style="5" customWidth="1"/>
    <col min="8" max="8" width="75.77734375" style="11" customWidth="1"/>
    <col min="9" max="9" width="15.6640625" style="2" customWidth="1"/>
    <col min="10" max="16384" width="9.33203125" style="2"/>
  </cols>
  <sheetData>
    <row r="1" spans="1:8" ht="96" customHeight="1" thickBot="1" x14ac:dyDescent="0.3">
      <c r="A1" s="1826" t="s">
        <v>579</v>
      </c>
      <c r="B1" s="1827"/>
      <c r="C1" s="151" t="s">
        <v>578</v>
      </c>
      <c r="D1" s="1165" t="s">
        <v>1176</v>
      </c>
      <c r="E1" s="1944"/>
      <c r="F1" s="1910"/>
      <c r="G1" s="1910"/>
      <c r="H1" s="1910"/>
    </row>
    <row r="2" spans="1:8" s="361" customFormat="1" ht="50.25" customHeight="1" thickBot="1" x14ac:dyDescent="0.3">
      <c r="A2" s="946" t="s">
        <v>126</v>
      </c>
      <c r="B2" s="786" t="s">
        <v>1458</v>
      </c>
      <c r="C2" s="831" t="s">
        <v>1271</v>
      </c>
      <c r="D2" s="789" t="s">
        <v>115</v>
      </c>
      <c r="E2" s="789" t="s">
        <v>771</v>
      </c>
      <c r="F2" s="789" t="s">
        <v>1470</v>
      </c>
      <c r="G2" s="790" t="s">
        <v>1273</v>
      </c>
      <c r="H2" s="787" t="s">
        <v>772</v>
      </c>
    </row>
    <row r="3" spans="1:8" ht="30" customHeight="1" thickBot="1" x14ac:dyDescent="0.3">
      <c r="A3" s="1990" t="str">
        <f>OF!A225</f>
        <v>OF43</v>
      </c>
      <c r="B3" s="1582" t="str">
        <f>OF!B225</f>
        <v>Growing Degree Days (GDD)</v>
      </c>
      <c r="C3" s="942" t="str">
        <f>OF!C225</f>
        <v xml:space="preserve">According to ORWAP Map Viewer's Growing Degree Days layer,  the long term normal Growing Degree Days category at the approximate location of the AA is: </v>
      </c>
      <c r="D3" s="65"/>
      <c r="E3" s="46"/>
      <c r="F3" s="1380"/>
      <c r="G3" s="814">
        <f>MAX(F4:F10)/MAX(E4:E10)</f>
        <v>0</v>
      </c>
      <c r="H3" s="1521" t="s">
        <v>1161</v>
      </c>
    </row>
    <row r="4" spans="1:8" ht="16.2" customHeight="1" x14ac:dyDescent="0.25">
      <c r="A4" s="1990"/>
      <c r="B4" s="1582"/>
      <c r="C4" s="1305" t="str">
        <f>OF!C226</f>
        <v>&lt;256.</v>
      </c>
      <c r="D4" s="1306">
        <f>OF!D226</f>
        <v>0</v>
      </c>
      <c r="E4" s="46">
        <v>7</v>
      </c>
      <c r="F4" s="45">
        <f t="shared" ref="F4:F10" si="0">D4*E4</f>
        <v>0</v>
      </c>
      <c r="G4" s="867"/>
      <c r="H4" s="1521"/>
    </row>
    <row r="5" spans="1:8" ht="16.2" customHeight="1" x14ac:dyDescent="0.25">
      <c r="A5" s="1990"/>
      <c r="B5" s="1582"/>
      <c r="C5" s="1307" t="str">
        <f>OF!C227</f>
        <v>256 - 1020.</v>
      </c>
      <c r="D5" s="1276">
        <f>OF!D227</f>
        <v>0</v>
      </c>
      <c r="E5" s="46">
        <v>6</v>
      </c>
      <c r="F5" s="45">
        <f t="shared" si="0"/>
        <v>0</v>
      </c>
      <c r="G5" s="867"/>
      <c r="H5" s="1521"/>
    </row>
    <row r="6" spans="1:8" ht="16.2" customHeight="1" x14ac:dyDescent="0.25">
      <c r="A6" s="1990"/>
      <c r="B6" s="1582"/>
      <c r="C6" s="1307" t="str">
        <f>OF!C228</f>
        <v>1021-1785.</v>
      </c>
      <c r="D6" s="1276">
        <f>OF!D228</f>
        <v>0</v>
      </c>
      <c r="E6" s="46">
        <v>5</v>
      </c>
      <c r="F6" s="45">
        <f t="shared" si="0"/>
        <v>0</v>
      </c>
      <c r="G6" s="867"/>
      <c r="H6" s="1521"/>
    </row>
    <row r="7" spans="1:8" ht="16.2" customHeight="1" x14ac:dyDescent="0.25">
      <c r="A7" s="1990"/>
      <c r="B7" s="1582"/>
      <c r="C7" s="1307" t="str">
        <f>OF!C229</f>
        <v>1786 - 2550.</v>
      </c>
      <c r="D7" s="1276">
        <f>OF!D229</f>
        <v>0</v>
      </c>
      <c r="E7" s="46">
        <v>4</v>
      </c>
      <c r="F7" s="45">
        <f t="shared" si="0"/>
        <v>0</v>
      </c>
      <c r="G7" s="867"/>
      <c r="H7" s="1521"/>
    </row>
    <row r="8" spans="1:8" ht="16.2" customHeight="1" x14ac:dyDescent="0.25">
      <c r="A8" s="1990"/>
      <c r="B8" s="1582"/>
      <c r="C8" s="1307" t="str">
        <f>OF!C230</f>
        <v>2551 - 3315.</v>
      </c>
      <c r="D8" s="1276">
        <f>OF!D230</f>
        <v>0</v>
      </c>
      <c r="E8" s="46">
        <v>3</v>
      </c>
      <c r="F8" s="45">
        <f t="shared" si="0"/>
        <v>0</v>
      </c>
      <c r="G8" s="867"/>
      <c r="H8" s="1521"/>
    </row>
    <row r="9" spans="1:8" ht="16.2" customHeight="1" x14ac:dyDescent="0.25">
      <c r="A9" s="1990"/>
      <c r="B9" s="1582"/>
      <c r="C9" s="1307" t="str">
        <f>OF!C231</f>
        <v>3316 - 4079.</v>
      </c>
      <c r="D9" s="1276">
        <f>OF!D231</f>
        <v>0</v>
      </c>
      <c r="E9" s="46">
        <v>2</v>
      </c>
      <c r="F9" s="45">
        <f t="shared" si="0"/>
        <v>0</v>
      </c>
      <c r="G9" s="867"/>
      <c r="H9" s="1521"/>
    </row>
    <row r="10" spans="1:8" ht="16.2" customHeight="1" thickBot="1" x14ac:dyDescent="0.3">
      <c r="A10" s="1990"/>
      <c r="B10" s="1582"/>
      <c r="C10" s="1307" t="str">
        <f>OF!C232</f>
        <v>&gt; 4079.</v>
      </c>
      <c r="D10" s="1276">
        <f>OF!D232</f>
        <v>0</v>
      </c>
      <c r="E10" s="877">
        <v>1</v>
      </c>
      <c r="F10" s="54">
        <f t="shared" si="0"/>
        <v>0</v>
      </c>
      <c r="G10" s="1258"/>
      <c r="H10" s="1521"/>
    </row>
    <row r="11" spans="1:8" ht="45" customHeight="1" thickBot="1" x14ac:dyDescent="0.3">
      <c r="A11" s="1864" t="str">
        <f>F!A13</f>
        <v>F4</v>
      </c>
      <c r="B11" s="1599" t="str">
        <f>F!B13</f>
        <v>Flooded Persistently - % of AA (PermW)</v>
      </c>
      <c r="C11" s="186" t="str">
        <f>F!C13</f>
        <v xml:space="preserve">Identify the parts of the AA that still contain surface water even during the driest times of a normal year . At that time, the percentage of the AA that still contains surface water is: </v>
      </c>
      <c r="D11" s="192"/>
      <c r="E11" s="192"/>
      <c r="F11" s="241"/>
      <c r="G11" s="804" t="str">
        <f>IF((NeverWater+TempWet&gt;0),"",IF((PermType=0),"",MAX(F12:F15)/MAX(E12:E15)))</f>
        <v/>
      </c>
      <c r="H11" s="1522" t="s">
        <v>1667</v>
      </c>
    </row>
    <row r="12" spans="1:8" ht="24" customHeight="1" x14ac:dyDescent="0.25">
      <c r="A12" s="1865"/>
      <c r="B12" s="1582"/>
      <c r="C12" s="393" t="str">
        <f>F!C14</f>
        <v>1 to &lt;25% of the AA.</v>
      </c>
      <c r="D12" s="1306">
        <f>F!D14</f>
        <v>0</v>
      </c>
      <c r="E12" s="45">
        <v>4</v>
      </c>
      <c r="F12" s="45">
        <f>D12*E12</f>
        <v>0</v>
      </c>
      <c r="G12" s="792"/>
      <c r="H12" s="1521"/>
    </row>
    <row r="13" spans="1:8" ht="24" customHeight="1" x14ac:dyDescent="0.25">
      <c r="A13" s="1865"/>
      <c r="B13" s="1582"/>
      <c r="C13" s="1275" t="str">
        <f>F!C15</f>
        <v>25 to &lt;50% of the AA.</v>
      </c>
      <c r="D13" s="1276">
        <f>F!D15</f>
        <v>0</v>
      </c>
      <c r="E13" s="45">
        <v>3</v>
      </c>
      <c r="F13" s="45">
        <f>D13*E13</f>
        <v>0</v>
      </c>
      <c r="G13" s="793"/>
      <c r="H13" s="1521"/>
    </row>
    <row r="14" spans="1:8" ht="24" customHeight="1" x14ac:dyDescent="0.25">
      <c r="A14" s="1865"/>
      <c r="B14" s="1582"/>
      <c r="C14" s="1275" t="str">
        <f>F!C16</f>
        <v>50 to 95% of the AA.</v>
      </c>
      <c r="D14" s="1276">
        <f>F!D16</f>
        <v>0</v>
      </c>
      <c r="E14" s="45">
        <v>2</v>
      </c>
      <c r="F14" s="45">
        <f>D14*E14</f>
        <v>0</v>
      </c>
      <c r="G14" s="793"/>
      <c r="H14" s="1521"/>
    </row>
    <row r="15" spans="1:8" ht="24" customHeight="1" thickBot="1" x14ac:dyDescent="0.3">
      <c r="A15" s="1866"/>
      <c r="B15" s="1600"/>
      <c r="C15" s="212" t="str">
        <f>F!C17</f>
        <v>&gt;95% of the AA.</v>
      </c>
      <c r="D15" s="213">
        <f>F!D17</f>
        <v>0</v>
      </c>
      <c r="E15" s="193">
        <v>1</v>
      </c>
      <c r="F15" s="193">
        <f>D15*E15</f>
        <v>0</v>
      </c>
      <c r="G15" s="909"/>
      <c r="H15" s="1523"/>
    </row>
    <row r="16" spans="1:8" ht="30" customHeight="1" thickBot="1" x14ac:dyDescent="0.3">
      <c r="A16" s="1865" t="str">
        <f>F!A18</f>
        <v>F5</v>
      </c>
      <c r="B16" s="1582" t="str">
        <f>F!B18</f>
        <v>Depth Class (Predominant)  (DepthDom)</v>
      </c>
      <c r="C16" s="940" t="str">
        <f>F!C18</f>
        <v>When water is present in the AA, the depth most of the time in most of inundated area is: 
[Note: NOT necessarily the maximum spatial or annual depth]</v>
      </c>
      <c r="D16" s="192"/>
      <c r="E16" s="46"/>
      <c r="F16" s="60"/>
      <c r="G16" s="799">
        <f>IF((NeverWater+TempWet&gt;0),"", IF((TempWet=1),"",MAX(F17:F21)/MAX(E17:E21)))</f>
        <v>0</v>
      </c>
      <c r="H16" s="1521" t="s">
        <v>1668</v>
      </c>
    </row>
    <row r="17" spans="1:8" ht="16.2" customHeight="1" x14ac:dyDescent="0.25">
      <c r="A17" s="1865"/>
      <c r="B17" s="1582"/>
      <c r="C17" s="236" t="str">
        <f>F!C19</f>
        <v>&gt;0 to &lt;0.5 ft.</v>
      </c>
      <c r="D17" s="1304">
        <f>F!D19</f>
        <v>0</v>
      </c>
      <c r="E17" s="45">
        <v>5</v>
      </c>
      <c r="F17" s="45">
        <f>D17*E17</f>
        <v>0</v>
      </c>
      <c r="G17" s="792"/>
      <c r="H17" s="1521"/>
    </row>
    <row r="18" spans="1:8" ht="16.2" customHeight="1" x14ac:dyDescent="0.25">
      <c r="A18" s="1865"/>
      <c r="B18" s="1582"/>
      <c r="C18" s="237" t="str">
        <f>F!C20</f>
        <v>0.5 to &lt; 1 ft deep.</v>
      </c>
      <c r="D18" s="1081">
        <f>F!D20</f>
        <v>0</v>
      </c>
      <c r="E18" s="45">
        <v>7</v>
      </c>
      <c r="F18" s="45">
        <f>D18*E18</f>
        <v>0</v>
      </c>
      <c r="G18" s="793"/>
      <c r="H18" s="1521"/>
    </row>
    <row r="19" spans="1:8" ht="16.2" customHeight="1" x14ac:dyDescent="0.25">
      <c r="A19" s="1865"/>
      <c r="B19" s="1582"/>
      <c r="C19" s="237" t="str">
        <f>F!C21</f>
        <v>1 to &lt;3 ft deep.</v>
      </c>
      <c r="D19" s="1081">
        <f>F!D21</f>
        <v>0</v>
      </c>
      <c r="E19" s="45">
        <v>4</v>
      </c>
      <c r="F19" s="45">
        <f>D19*E19</f>
        <v>0</v>
      </c>
      <c r="G19" s="793"/>
      <c r="H19" s="1521"/>
    </row>
    <row r="20" spans="1:8" ht="16.2" customHeight="1" x14ac:dyDescent="0.25">
      <c r="A20" s="1865"/>
      <c r="B20" s="1582"/>
      <c r="C20" s="237" t="str">
        <f>F!C22</f>
        <v>3 to 6 ft deep.</v>
      </c>
      <c r="D20" s="1081">
        <f>F!D22</f>
        <v>0</v>
      </c>
      <c r="E20" s="45">
        <v>2</v>
      </c>
      <c r="F20" s="45">
        <f>D20*E20</f>
        <v>0</v>
      </c>
      <c r="G20" s="793"/>
      <c r="H20" s="1521"/>
    </row>
    <row r="21" spans="1:8" ht="24.75" customHeight="1" thickBot="1" x14ac:dyDescent="0.3">
      <c r="A21" s="1865"/>
      <c r="B21" s="1582"/>
      <c r="C21" s="1275" t="str">
        <f>F!C23</f>
        <v>&gt;6 ft deep.</v>
      </c>
      <c r="D21" s="1276">
        <f>F!D23</f>
        <v>0</v>
      </c>
      <c r="E21" s="54">
        <v>1</v>
      </c>
      <c r="F21" s="54">
        <f>D21*E21</f>
        <v>0</v>
      </c>
      <c r="G21" s="800"/>
      <c r="H21" s="1521"/>
    </row>
    <row r="22" spans="1:8" ht="21" customHeight="1" thickBot="1" x14ac:dyDescent="0.3">
      <c r="A22" s="1864" t="str">
        <f>F!A35</f>
        <v>F8</v>
      </c>
      <c r="B22" s="1599" t="str">
        <f>F!B35</f>
        <v>% Emergent Plants (EmPct)</v>
      </c>
      <c r="C22" s="1313" t="str">
        <f>F!C35</f>
        <v>Emergent plants occupy an annual maximum of:</v>
      </c>
      <c r="D22" s="192"/>
      <c r="E22" s="192"/>
      <c r="F22" s="192"/>
      <c r="G22" s="804">
        <f>IF((NeverWater+TempWet&gt;0),"",IF((NoEm=1),"",MAX(F23:F27)/MAX(E23:E27)))</f>
        <v>0</v>
      </c>
      <c r="H22" s="1522" t="s">
        <v>1669</v>
      </c>
    </row>
    <row r="23" spans="1:8" ht="16.2" customHeight="1" x14ac:dyDescent="0.25">
      <c r="A23" s="1865"/>
      <c r="B23" s="1582"/>
      <c r="C23" s="1305" t="str">
        <f>F!C36</f>
        <v>&lt;5% of the parts of the AA that are inundated for &gt;7 days at some time of the year.</v>
      </c>
      <c r="D23" s="1306">
        <f>F!D36</f>
        <v>0</v>
      </c>
      <c r="E23" s="45">
        <v>1</v>
      </c>
      <c r="F23" s="45">
        <f>D23*E23</f>
        <v>0</v>
      </c>
      <c r="G23" s="793"/>
      <c r="H23" s="1521"/>
    </row>
    <row r="24" spans="1:8" ht="16.2" customHeight="1" x14ac:dyDescent="0.25">
      <c r="A24" s="1865"/>
      <c r="B24" s="1582"/>
      <c r="C24" s="1307" t="str">
        <f>F!C37</f>
        <v>5 to &lt;30% of the parts of the AA that are inundated for &gt;7 days at some time of the year.</v>
      </c>
      <c r="D24" s="1276">
        <f>F!D37</f>
        <v>0</v>
      </c>
      <c r="E24" s="45">
        <v>2</v>
      </c>
      <c r="F24" s="45">
        <f>D24*E24</f>
        <v>0</v>
      </c>
      <c r="G24" s="793"/>
      <c r="H24" s="1521"/>
    </row>
    <row r="25" spans="1:8" ht="16.2" customHeight="1" x14ac:dyDescent="0.25">
      <c r="A25" s="1865"/>
      <c r="B25" s="1582"/>
      <c r="C25" s="1307" t="str">
        <f>F!C38</f>
        <v>30 to &lt;60% of the parts of the AA that are inundated for &gt;7 days at some time of the year.</v>
      </c>
      <c r="D25" s="1276">
        <f>F!D38</f>
        <v>0</v>
      </c>
      <c r="E25" s="45">
        <v>3</v>
      </c>
      <c r="F25" s="45">
        <f>D25*E25</f>
        <v>0</v>
      </c>
      <c r="G25" s="793"/>
      <c r="H25" s="1521"/>
    </row>
    <row r="26" spans="1:8" ht="16.2" customHeight="1" x14ac:dyDescent="0.25">
      <c r="A26" s="1865"/>
      <c r="B26" s="1582"/>
      <c r="C26" s="1307" t="str">
        <f>F!C39</f>
        <v>60 to 95% of the parts of the AA that are inundated for &gt;7 days at some time of the year.</v>
      </c>
      <c r="D26" s="1276">
        <f>F!D39</f>
        <v>0</v>
      </c>
      <c r="E26" s="45">
        <v>4</v>
      </c>
      <c r="F26" s="45">
        <f>D26*E26</f>
        <v>0</v>
      </c>
      <c r="G26" s="793"/>
      <c r="H26" s="1521"/>
    </row>
    <row r="27" spans="1:8" ht="16.2" customHeight="1" thickBot="1" x14ac:dyDescent="0.3">
      <c r="A27" s="1866"/>
      <c r="B27" s="1600"/>
      <c r="C27" s="1308" t="str">
        <f>F!C40</f>
        <v>&gt;95% of the parts of the AA that are inundated for &gt;7 days at some time of the year.</v>
      </c>
      <c r="D27" s="213">
        <f>F!D40</f>
        <v>0</v>
      </c>
      <c r="E27" s="193">
        <v>5</v>
      </c>
      <c r="F27" s="193">
        <f>D27*E27</f>
        <v>0</v>
      </c>
      <c r="G27" s="909"/>
      <c r="H27" s="1523"/>
    </row>
    <row r="28" spans="1:8" ht="30" customHeight="1" thickBot="1" x14ac:dyDescent="0.3">
      <c r="A28" s="1865" t="str">
        <f>F!A54</f>
        <v>F12</v>
      </c>
      <c r="B28" s="1582" t="str">
        <f>F!B54</f>
        <v>All Ponded Water as Percentage - Wettest (PondWpctWet)</v>
      </c>
      <c r="C28" s="940" t="str">
        <f>F!C54</f>
        <v>When water levels are highest, during a normal year, the surface water that is ponded continually for &gt;6 days occupies:</v>
      </c>
      <c r="D28" s="192"/>
      <c r="E28" s="46"/>
      <c r="F28" s="60"/>
      <c r="G28" s="799">
        <f>IF((NeverWater+TempWet&gt;0),"",MAX(F29:F34)/MAX(E29:E34))</f>
        <v>0</v>
      </c>
      <c r="H28" s="1947" t="s">
        <v>1670</v>
      </c>
    </row>
    <row r="29" spans="1:8" ht="29.25" customHeight="1" x14ac:dyDescent="0.25">
      <c r="A29" s="1865"/>
      <c r="B29" s="1582"/>
      <c r="C29" s="393" t="str">
        <f>F!C55</f>
        <v xml:space="preserve">&lt;1% or none of the AA.  Surface water is completely or nearly absent then, or is entirely flowing. 
Enter 1 and SKIP TO F22. </v>
      </c>
      <c r="D29" s="1306">
        <f>F!D55</f>
        <v>0</v>
      </c>
      <c r="E29" s="45">
        <v>1</v>
      </c>
      <c r="F29" s="45">
        <f t="shared" ref="F29:F34" si="1">D29*E29</f>
        <v>0</v>
      </c>
      <c r="G29" s="793"/>
      <c r="H29" s="1947"/>
    </row>
    <row r="30" spans="1:8" ht="16.2" customHeight="1" x14ac:dyDescent="0.25">
      <c r="A30" s="1865"/>
      <c r="B30" s="1582"/>
      <c r="C30" s="1275" t="str">
        <f>F!C56</f>
        <v>1-5% of the AA.</v>
      </c>
      <c r="D30" s="1276">
        <f>F!D56</f>
        <v>0</v>
      </c>
      <c r="E30" s="45">
        <v>2</v>
      </c>
      <c r="F30" s="45">
        <f t="shared" si="1"/>
        <v>0</v>
      </c>
      <c r="G30" s="793"/>
      <c r="H30" s="1947"/>
    </row>
    <row r="31" spans="1:8" ht="16.2" customHeight="1" x14ac:dyDescent="0.25">
      <c r="A31" s="1865"/>
      <c r="B31" s="1582"/>
      <c r="C31" s="1275" t="str">
        <f>F!C57</f>
        <v>5 to &lt;30% of the AA.</v>
      </c>
      <c r="D31" s="1276">
        <f>F!D57</f>
        <v>0</v>
      </c>
      <c r="E31" s="45">
        <v>3</v>
      </c>
      <c r="F31" s="45">
        <f t="shared" si="1"/>
        <v>0</v>
      </c>
      <c r="G31" s="793"/>
      <c r="H31" s="1947"/>
    </row>
    <row r="32" spans="1:8" ht="16.2" customHeight="1" x14ac:dyDescent="0.25">
      <c r="A32" s="1865"/>
      <c r="B32" s="1582"/>
      <c r="C32" s="1275" t="str">
        <f>F!C58</f>
        <v>30 to &lt;70% of the AA.</v>
      </c>
      <c r="D32" s="1276">
        <f>F!D58</f>
        <v>0</v>
      </c>
      <c r="E32" s="45">
        <v>2</v>
      </c>
      <c r="F32" s="45">
        <f t="shared" si="1"/>
        <v>0</v>
      </c>
      <c r="G32" s="793"/>
      <c r="H32" s="1947"/>
    </row>
    <row r="33" spans="1:8" ht="16.2" customHeight="1" x14ac:dyDescent="0.25">
      <c r="A33" s="1865"/>
      <c r="B33" s="1582"/>
      <c r="C33" s="1275" t="str">
        <f>F!C59</f>
        <v>70 to 95% of the AA.</v>
      </c>
      <c r="D33" s="1276">
        <f>F!D59</f>
        <v>0</v>
      </c>
      <c r="E33" s="45">
        <v>1</v>
      </c>
      <c r="F33" s="45">
        <f t="shared" si="1"/>
        <v>0</v>
      </c>
      <c r="G33" s="793"/>
      <c r="H33" s="1947"/>
    </row>
    <row r="34" spans="1:8" ht="24.75" customHeight="1" thickBot="1" x14ac:dyDescent="0.3">
      <c r="A34" s="1865"/>
      <c r="B34" s="1582"/>
      <c r="C34" s="1275" t="str">
        <f>F!C60</f>
        <v>&gt;95% of the AA.</v>
      </c>
      <c r="D34" s="1276">
        <f>F!D60</f>
        <v>0</v>
      </c>
      <c r="E34" s="54">
        <v>0</v>
      </c>
      <c r="F34" s="54">
        <f t="shared" si="1"/>
        <v>0</v>
      </c>
      <c r="G34" s="800"/>
      <c r="H34" s="1947"/>
    </row>
    <row r="35" spans="1:8" ht="56.25" customHeight="1" thickBot="1" x14ac:dyDescent="0.3">
      <c r="A35" s="1864" t="str">
        <f>F!A76</f>
        <v>F15</v>
      </c>
      <c r="B35" s="1599" t="str">
        <f>F!B76</f>
        <v>Width of Vegetated Zone - Wettest  (WidthWet)</v>
      </c>
      <c r="C35" s="1313" t="str">
        <f>F!C76</f>
        <v>When water levels are highest, during a normal year, the width of the vegetated wetland  that separates the largest patch of open water within or bordering the AA from the closest adjacent uplands, is predominantly: 
[Note: This is not asking for the maximum width.]</v>
      </c>
      <c r="D35" s="192"/>
      <c r="E35" s="192"/>
      <c r="F35" s="241"/>
      <c r="G35" s="804" t="str">
        <f>IF((NeverWater=1),"",IF((OpenW=0),"",MAX(F36:F41)/MAX(E36:E41)))</f>
        <v/>
      </c>
      <c r="H35" s="1522" t="s">
        <v>1712</v>
      </c>
    </row>
    <row r="36" spans="1:8" ht="16.2" customHeight="1" x14ac:dyDescent="0.25">
      <c r="A36" s="1865"/>
      <c r="B36" s="1582"/>
      <c r="C36" s="1305" t="str">
        <f>F!C77</f>
        <v>&lt;5 ft, or no vegetation between upland and open water.</v>
      </c>
      <c r="D36" s="1306">
        <f>F!D77</f>
        <v>0</v>
      </c>
      <c r="E36" s="49">
        <v>1</v>
      </c>
      <c r="F36" s="45">
        <f t="shared" ref="F36:F41" si="2">D36*E36</f>
        <v>0</v>
      </c>
      <c r="G36" s="792"/>
      <c r="H36" s="1521"/>
    </row>
    <row r="37" spans="1:8" ht="16.2" customHeight="1" x14ac:dyDescent="0.25">
      <c r="A37" s="1865"/>
      <c r="B37" s="1582"/>
      <c r="C37" s="1307" t="str">
        <f>F!C78</f>
        <v>5 to &lt;30 ft.</v>
      </c>
      <c r="D37" s="1276">
        <f>F!D78</f>
        <v>0</v>
      </c>
      <c r="E37" s="49">
        <v>2</v>
      </c>
      <c r="F37" s="45">
        <f t="shared" si="2"/>
        <v>0</v>
      </c>
      <c r="G37" s="793"/>
      <c r="H37" s="1521"/>
    </row>
    <row r="38" spans="1:8" ht="16.2" customHeight="1" x14ac:dyDescent="0.25">
      <c r="A38" s="1865"/>
      <c r="B38" s="1582"/>
      <c r="C38" s="1307" t="str">
        <f>F!C79</f>
        <v>30 to &lt;50 ft.</v>
      </c>
      <c r="D38" s="1276">
        <f>F!D79</f>
        <v>0</v>
      </c>
      <c r="E38" s="49">
        <v>3</v>
      </c>
      <c r="F38" s="45">
        <f t="shared" si="2"/>
        <v>0</v>
      </c>
      <c r="G38" s="793"/>
      <c r="H38" s="1521"/>
    </row>
    <row r="39" spans="1:8" ht="16.2" customHeight="1" x14ac:dyDescent="0.25">
      <c r="A39" s="1865"/>
      <c r="B39" s="1582"/>
      <c r="C39" s="1307" t="str">
        <f>F!C80</f>
        <v>50 to &lt;100 ft.</v>
      </c>
      <c r="D39" s="1276">
        <f>F!D80</f>
        <v>0</v>
      </c>
      <c r="E39" s="49">
        <v>4</v>
      </c>
      <c r="F39" s="45">
        <f t="shared" si="2"/>
        <v>0</v>
      </c>
      <c r="G39" s="793"/>
      <c r="H39" s="1521"/>
    </row>
    <row r="40" spans="1:8" ht="16.2" customHeight="1" x14ac:dyDescent="0.25">
      <c r="A40" s="1865"/>
      <c r="B40" s="1582"/>
      <c r="C40" s="1307" t="str">
        <f>F!C81</f>
        <v>100 to 300 ft.</v>
      </c>
      <c r="D40" s="1276">
        <f>F!D81</f>
        <v>0</v>
      </c>
      <c r="E40" s="49">
        <v>5</v>
      </c>
      <c r="F40" s="45">
        <f t="shared" si="2"/>
        <v>0</v>
      </c>
      <c r="G40" s="800"/>
      <c r="H40" s="1521"/>
    </row>
    <row r="41" spans="1:8" ht="16.2" customHeight="1" thickBot="1" x14ac:dyDescent="0.3">
      <c r="A41" s="1866"/>
      <c r="B41" s="1600"/>
      <c r="C41" s="1308" t="str">
        <f>F!C82</f>
        <v>&gt; 300 ft.</v>
      </c>
      <c r="D41" s="213">
        <f>F!D82</f>
        <v>0</v>
      </c>
      <c r="E41" s="245">
        <v>6</v>
      </c>
      <c r="F41" s="243">
        <f t="shared" si="2"/>
        <v>0</v>
      </c>
      <c r="G41" s="909"/>
      <c r="H41" s="1523"/>
    </row>
    <row r="42" spans="1:8" ht="21" customHeight="1" thickBot="1" x14ac:dyDescent="0.3">
      <c r="A42" s="1864" t="str">
        <f>F!A128</f>
        <v>F25</v>
      </c>
      <c r="B42" s="1599" t="str">
        <f>F!B128</f>
        <v>Water Fluctuation Range - Maximum  (Fluctu)</v>
      </c>
      <c r="C42" s="186" t="str">
        <f>F!C128</f>
        <v>The maximum vertical fluctuation in surface water within the AA, during a normal year is:</v>
      </c>
      <c r="D42" s="192"/>
      <c r="E42" s="192"/>
      <c r="F42" s="241"/>
      <c r="G42" s="804">
        <f>MAX(F43:F47)/MAX(E43:E47)</f>
        <v>0</v>
      </c>
      <c r="H42" s="1522" t="s">
        <v>213</v>
      </c>
    </row>
    <row r="43" spans="1:8" ht="16.2" customHeight="1" x14ac:dyDescent="0.25">
      <c r="A43" s="1865"/>
      <c r="B43" s="1582"/>
      <c r="C43" s="236" t="str">
        <f>F!C129</f>
        <v>&lt;0.5 ft or stable.</v>
      </c>
      <c r="D43" s="1304">
        <f>F!D129</f>
        <v>0</v>
      </c>
      <c r="E43" s="45">
        <v>4</v>
      </c>
      <c r="F43" s="45">
        <f>D43*E43</f>
        <v>0</v>
      </c>
      <c r="G43" s="792"/>
      <c r="H43" s="1521" t="s">
        <v>21</v>
      </c>
    </row>
    <row r="44" spans="1:8" ht="16.2" customHeight="1" x14ac:dyDescent="0.25">
      <c r="A44" s="1865"/>
      <c r="B44" s="1582"/>
      <c r="C44" s="237" t="str">
        <f>F!C130</f>
        <v>0.5 to &lt; 1 ft.</v>
      </c>
      <c r="D44" s="1081">
        <f>F!D130</f>
        <v>0</v>
      </c>
      <c r="E44" s="45">
        <v>5</v>
      </c>
      <c r="F44" s="45">
        <f>D44*E44</f>
        <v>0</v>
      </c>
      <c r="G44" s="793"/>
      <c r="H44" s="1521"/>
    </row>
    <row r="45" spans="1:8" ht="16.2" customHeight="1" x14ac:dyDescent="0.25">
      <c r="A45" s="1865"/>
      <c r="B45" s="1582"/>
      <c r="C45" s="237" t="str">
        <f>F!C131</f>
        <v>1 to &lt;3 ft.</v>
      </c>
      <c r="D45" s="1081">
        <f>F!D131</f>
        <v>0</v>
      </c>
      <c r="E45" s="45">
        <v>3</v>
      </c>
      <c r="F45" s="45">
        <f>D45*E45</f>
        <v>0</v>
      </c>
      <c r="G45" s="793"/>
      <c r="H45" s="1521"/>
    </row>
    <row r="46" spans="1:8" ht="16.2" customHeight="1" x14ac:dyDescent="0.25">
      <c r="A46" s="1865"/>
      <c r="B46" s="1582"/>
      <c r="C46" s="237" t="str">
        <f>F!C132</f>
        <v>3 to 6 ft.</v>
      </c>
      <c r="D46" s="1081">
        <f>F!D132</f>
        <v>0</v>
      </c>
      <c r="E46" s="45">
        <v>2</v>
      </c>
      <c r="F46" s="45">
        <f>D46*E46</f>
        <v>0</v>
      </c>
      <c r="G46" s="793"/>
      <c r="H46" s="1521"/>
    </row>
    <row r="47" spans="1:8" ht="16.2" customHeight="1" thickBot="1" x14ac:dyDescent="0.3">
      <c r="A47" s="1866"/>
      <c r="B47" s="1600"/>
      <c r="C47" s="212" t="str">
        <f>F!C133</f>
        <v>&gt;6 ft.</v>
      </c>
      <c r="D47" s="213">
        <f>F!D133</f>
        <v>0</v>
      </c>
      <c r="E47" s="193">
        <v>0</v>
      </c>
      <c r="F47" s="193">
        <f>D47*E47</f>
        <v>0</v>
      </c>
      <c r="G47" s="909"/>
      <c r="H47" s="1523"/>
    </row>
    <row r="48" spans="1:8" ht="45" customHeight="1" thickBot="1" x14ac:dyDescent="0.3">
      <c r="A48" s="1864" t="str">
        <f>F!A134</f>
        <v>F26</v>
      </c>
      <c r="B48" s="1599" t="str">
        <f>F!B134</f>
        <v>% Only Saturated or Seasonally Flooded (SeasPct)</v>
      </c>
      <c r="C48" s="186"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48" s="192"/>
      <c r="E48" s="192"/>
      <c r="F48" s="241"/>
      <c r="G48" s="804">
        <f>MAX(F49:F53)/MAX(E49:E53)</f>
        <v>0</v>
      </c>
      <c r="H48" s="1522"/>
    </row>
    <row r="49" spans="1:8" ht="16.2" customHeight="1" x14ac:dyDescent="0.25">
      <c r="A49" s="1865"/>
      <c r="B49" s="1582"/>
      <c r="C49" s="393" t="str">
        <f>F!C135</f>
        <v>&lt;5% of the AA, or none (i.e., all water persists for &gt;4 months).</v>
      </c>
      <c r="D49" s="1306">
        <f>F!D135</f>
        <v>0</v>
      </c>
      <c r="E49" s="45">
        <v>1</v>
      </c>
      <c r="F49" s="45">
        <f>D49*E49</f>
        <v>0</v>
      </c>
      <c r="G49" s="792"/>
      <c r="H49" s="1521"/>
    </row>
    <row r="50" spans="1:8" ht="16.2" customHeight="1" x14ac:dyDescent="0.25">
      <c r="A50" s="1865"/>
      <c r="B50" s="1582"/>
      <c r="C50" s="1275" t="str">
        <f>F!C136</f>
        <v>5 to &lt;25% of the AA.</v>
      </c>
      <c r="D50" s="1276">
        <f>F!D136</f>
        <v>0</v>
      </c>
      <c r="E50" s="45">
        <v>2</v>
      </c>
      <c r="F50" s="45">
        <f>D50*E50</f>
        <v>0</v>
      </c>
      <c r="G50" s="793"/>
      <c r="H50" s="1521"/>
    </row>
    <row r="51" spans="1:8" ht="16.2" customHeight="1" x14ac:dyDescent="0.25">
      <c r="A51" s="1865"/>
      <c r="B51" s="1582"/>
      <c r="C51" s="1275" t="str">
        <f>F!C137</f>
        <v>25 to &lt;50% of the AA.</v>
      </c>
      <c r="D51" s="1276">
        <f>F!D137</f>
        <v>0</v>
      </c>
      <c r="E51" s="45">
        <v>3</v>
      </c>
      <c r="F51" s="45">
        <f>D51*E51</f>
        <v>0</v>
      </c>
      <c r="G51" s="793"/>
      <c r="H51" s="1521"/>
    </row>
    <row r="52" spans="1:8" ht="16.2" customHeight="1" x14ac:dyDescent="0.25">
      <c r="A52" s="1865"/>
      <c r="B52" s="1582"/>
      <c r="C52" s="1275" t="str">
        <f>F!C138</f>
        <v>50 to 75% of the AA.</v>
      </c>
      <c r="D52" s="1276">
        <f>F!D138</f>
        <v>0</v>
      </c>
      <c r="E52" s="45">
        <v>4</v>
      </c>
      <c r="F52" s="45">
        <f>D52*E52</f>
        <v>0</v>
      </c>
      <c r="G52" s="793"/>
      <c r="H52" s="1521"/>
    </row>
    <row r="53" spans="1:8" ht="16.2" customHeight="1" thickBot="1" x14ac:dyDescent="0.3">
      <c r="A53" s="1866"/>
      <c r="B53" s="1600"/>
      <c r="C53" s="212" t="str">
        <f>F!C139</f>
        <v>&gt;75% of the AA.</v>
      </c>
      <c r="D53" s="213">
        <f>F!D139</f>
        <v>0</v>
      </c>
      <c r="E53" s="193">
        <v>5</v>
      </c>
      <c r="F53" s="193">
        <f>D53*E53</f>
        <v>0</v>
      </c>
      <c r="G53" s="794"/>
      <c r="H53" s="1523"/>
    </row>
    <row r="54" spans="1:8" ht="21" customHeight="1" thickBot="1" x14ac:dyDescent="0.3">
      <c r="A54" s="1864" t="str">
        <f>F!A140</f>
        <v>F27</v>
      </c>
      <c r="B54" s="1599" t="str">
        <f>F!B140</f>
        <v>Salinity, Alkalinity, Conductance (Salin)</v>
      </c>
      <c r="C54" s="186" t="str">
        <f>F!C140</f>
        <v>The AA's surface water is mostly:</v>
      </c>
      <c r="D54" s="192"/>
      <c r="E54" s="192"/>
      <c r="F54" s="192"/>
      <c r="G54" s="804">
        <f>IF((NeverWater+TempWet&gt;0),"",IF((D58=1),"",MAX(F55:F57)/MAX(E55:E57)))</f>
        <v>0</v>
      </c>
      <c r="H54" s="2015" t="s">
        <v>218</v>
      </c>
    </row>
    <row r="55" spans="1:8" ht="42" customHeight="1" x14ac:dyDescent="0.25">
      <c r="A55" s="1865"/>
      <c r="B55" s="1582"/>
      <c r="C55" s="236" t="str">
        <f>F!C141</f>
        <v>Brackish or saline. Plants that indicate saline conditions dominate the vegetation. Salt crust may be obvious around the perimeter and on flats.</v>
      </c>
      <c r="D55" s="1304">
        <f>F!D141</f>
        <v>0</v>
      </c>
      <c r="E55" s="45">
        <v>4</v>
      </c>
      <c r="F55" s="45">
        <f>D55*E55</f>
        <v>0</v>
      </c>
      <c r="G55" s="793"/>
      <c r="H55" s="1583"/>
    </row>
    <row r="56" spans="1:8" ht="27" customHeight="1" x14ac:dyDescent="0.25">
      <c r="A56" s="1865"/>
      <c r="B56" s="1582"/>
      <c r="C56" s="237" t="str">
        <f>F!C142</f>
        <v>Slightly brackish.  Plants that indicate saline conditions are common.  Salt crust may or may not be present along perimeter.</v>
      </c>
      <c r="D56" s="1081">
        <f>F!D142</f>
        <v>0</v>
      </c>
      <c r="E56" s="45">
        <v>3</v>
      </c>
      <c r="F56" s="45">
        <f>D56*E56</f>
        <v>0</v>
      </c>
      <c r="G56" s="793"/>
      <c r="H56" s="1583"/>
    </row>
    <row r="57" spans="1:8" ht="27" customHeight="1" x14ac:dyDescent="0.25">
      <c r="A57" s="1865"/>
      <c r="B57" s="1582"/>
      <c r="C57" s="237" t="str">
        <f>F!C143</f>
        <v>Fresh.  [Note:  Assume this to be the condition unless wetland is known to be a playa or there is other contradicting evidence].</v>
      </c>
      <c r="D57" s="1081">
        <f>F!D143</f>
        <v>0</v>
      </c>
      <c r="E57" s="45">
        <v>1</v>
      </c>
      <c r="F57" s="45">
        <f>D57*E57</f>
        <v>0</v>
      </c>
      <c r="G57" s="800"/>
      <c r="H57" s="1583"/>
    </row>
    <row r="58" spans="1:8" ht="16.2" customHeight="1" thickBot="1" x14ac:dyDescent="0.3">
      <c r="A58" s="1866"/>
      <c r="B58" s="1600"/>
      <c r="C58" s="212" t="str">
        <f>F!C144</f>
        <v>Unknown.</v>
      </c>
      <c r="D58" s="213">
        <f>F!D144</f>
        <v>0</v>
      </c>
      <c r="E58" s="193"/>
      <c r="F58" s="193"/>
      <c r="G58" s="794"/>
      <c r="H58" s="1584"/>
    </row>
    <row r="59" spans="1:8" ht="83.25" customHeight="1" thickBot="1" x14ac:dyDescent="0.3">
      <c r="A59" s="1865" t="str">
        <f>F!A162</f>
        <v>F31</v>
      </c>
      <c r="B59" s="1582" t="str">
        <f>F!B162</f>
        <v>Outflow Duration (OutDura)</v>
      </c>
      <c r="C59" s="940"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59" s="192"/>
      <c r="E59" s="46"/>
      <c r="F59" s="60"/>
      <c r="G59" s="799">
        <f>MAX(F60:F63)/MAX(E60:E63)</f>
        <v>0</v>
      </c>
      <c r="H59" s="1521" t="s">
        <v>154</v>
      </c>
    </row>
    <row r="60" spans="1:8" ht="16.2" customHeight="1" x14ac:dyDescent="0.25">
      <c r="A60" s="1865"/>
      <c r="B60" s="1582"/>
      <c r="C60" s="236" t="str">
        <f>F!C163</f>
        <v>Persistent (&gt;9 months/year).</v>
      </c>
      <c r="D60" s="1304">
        <f>F!D163</f>
        <v>0</v>
      </c>
      <c r="E60" s="45">
        <v>1</v>
      </c>
      <c r="F60" s="45">
        <f>D60*E60</f>
        <v>0</v>
      </c>
      <c r="G60" s="792"/>
      <c r="H60" s="1521"/>
    </row>
    <row r="61" spans="1:8" ht="16.2" customHeight="1" x14ac:dyDescent="0.25">
      <c r="A61" s="1865"/>
      <c r="B61" s="1582"/>
      <c r="C61" s="236" t="str">
        <f>F!C164</f>
        <v>Seasonal (14 days to 9 months/year, not necessarily consecutive).</v>
      </c>
      <c r="D61" s="1304">
        <f>F!D164</f>
        <v>0</v>
      </c>
      <c r="E61" s="45">
        <v>2</v>
      </c>
      <c r="F61" s="45">
        <f>D61*E61</f>
        <v>0</v>
      </c>
      <c r="G61" s="793"/>
      <c r="H61" s="1521"/>
    </row>
    <row r="62" spans="1:8" ht="16.2" customHeight="1" x14ac:dyDescent="0.25">
      <c r="A62" s="1865"/>
      <c r="B62" s="1582"/>
      <c r="C62" s="236" t="str">
        <f>F!C165</f>
        <v>Temporary (&lt;14 days, not necessarily consecutive).</v>
      </c>
      <c r="D62" s="1304">
        <f>F!D165</f>
        <v>0</v>
      </c>
      <c r="E62" s="45">
        <v>4</v>
      </c>
      <c r="F62" s="45">
        <f>D62*E62</f>
        <v>0</v>
      </c>
      <c r="G62" s="793"/>
      <c r="H62" s="1521"/>
    </row>
    <row r="63" spans="1:8" ht="42" customHeight="1" thickBot="1" x14ac:dyDescent="0.3">
      <c r="A63" s="1865"/>
      <c r="B63" s="1582"/>
      <c r="C63" s="393" t="str">
        <f>F!C166</f>
        <v xml:space="preserve">None -- no surface water flows out of the wetland except possibly during extreme events (&lt;once per 10 years). Or, water flows only into a wetland, ditch, or lake that lacks an outlet. Enter 1  and SKIP TO F33. </v>
      </c>
      <c r="D63" s="1306">
        <f>F!D166</f>
        <v>0</v>
      </c>
      <c r="E63" s="67">
        <v>8</v>
      </c>
      <c r="F63" s="54">
        <f>D63*E63</f>
        <v>0</v>
      </c>
      <c r="G63" s="1168"/>
      <c r="H63" s="1521"/>
    </row>
    <row r="64" spans="1:8" ht="21.6" customHeight="1" thickBot="1" x14ac:dyDescent="0.3">
      <c r="A64" s="1864" t="str">
        <f>F!A167</f>
        <v>F32</v>
      </c>
      <c r="B64" s="1599" t="str">
        <f>F!B167</f>
        <v>Outflow Confinement (Constric)</v>
      </c>
      <c r="C64" s="186" t="str">
        <f>F!C167</f>
        <v>During major runoff events, in the places described above where surface water exits the AA, it:</v>
      </c>
      <c r="D64" s="192"/>
      <c r="E64" s="192"/>
      <c r="F64" s="241"/>
      <c r="G64" s="804">
        <f>IF((NeverWater+TempWet&gt;0),"",IF((NoOutlet=1),"",MAX(F65:F67)/MAX(E65:E67)))</f>
        <v>0</v>
      </c>
      <c r="H64" s="1522" t="s">
        <v>1727</v>
      </c>
    </row>
    <row r="65" spans="1:8" ht="27" customHeight="1" x14ac:dyDescent="0.25">
      <c r="A65" s="1865"/>
      <c r="B65" s="1582"/>
      <c r="C65" s="236" t="str">
        <f>F!C168</f>
        <v>Is impeded as it mostly passes through a pipe, culvert, tidegate, narrowly breached dike, berm, beaver dam, or other partial obstruction (other than natural topography).</v>
      </c>
      <c r="D65" s="1304">
        <f>F!D168</f>
        <v>0</v>
      </c>
      <c r="E65" s="45">
        <v>3</v>
      </c>
      <c r="F65" s="45">
        <f>D65*E65</f>
        <v>0</v>
      </c>
      <c r="G65" s="792"/>
      <c r="H65" s="1521"/>
    </row>
    <row r="66" spans="1:8" ht="27" customHeight="1" x14ac:dyDescent="0.25">
      <c r="A66" s="1865"/>
      <c r="B66" s="1582"/>
      <c r="C66" s="236" t="str">
        <f>F!C169</f>
        <v>Leaves mainly through natural surface exits, not largely through artificial or temporary features which impede or accelerate outflow.</v>
      </c>
      <c r="D66" s="1304">
        <f>F!D169</f>
        <v>0</v>
      </c>
      <c r="E66" s="45">
        <v>2</v>
      </c>
      <c r="F66" s="45">
        <f>D66*E66</f>
        <v>0</v>
      </c>
      <c r="G66" s="806"/>
      <c r="H66" s="1521"/>
    </row>
    <row r="67" spans="1:8" ht="43.5" customHeight="1" thickBot="1" x14ac:dyDescent="0.3">
      <c r="A67" s="1866"/>
      <c r="B67" s="1600"/>
      <c r="C67" s="246" t="str">
        <f>F!C170</f>
        <v>Is exported more quickly than usual as it mostly passes through ditches or pipes intended to accelerate drainage.  They may be within the AA or connected to its outlet or within 30 ft of the AA's edge.</v>
      </c>
      <c r="D67" s="1321">
        <f>F!D170</f>
        <v>0</v>
      </c>
      <c r="E67" s="193">
        <v>0</v>
      </c>
      <c r="F67" s="193">
        <f>D67*E67</f>
        <v>0</v>
      </c>
      <c r="G67" s="794"/>
      <c r="H67" s="1523"/>
    </row>
    <row r="68" spans="1:8" ht="21" customHeight="1" thickBot="1" x14ac:dyDescent="0.3">
      <c r="A68" s="1864" t="str">
        <f>F!A183</f>
        <v>F36</v>
      </c>
      <c r="B68" s="1599" t="str">
        <f>F!B183</f>
        <v>Internal Gradient (Gradient)</v>
      </c>
      <c r="C68" s="1313" t="str">
        <f>F!C183</f>
        <v>The gradient from the lowest to highest point of land within the AA (or from outlet to inlet) is:</v>
      </c>
      <c r="D68" s="192"/>
      <c r="E68" s="192"/>
      <c r="F68" s="241"/>
      <c r="G68" s="804">
        <f>MAX(F69:F72)/MAX(E69:E72)</f>
        <v>0</v>
      </c>
      <c r="H68" s="1522" t="s">
        <v>379</v>
      </c>
    </row>
    <row r="69" spans="1:8" ht="16.2" customHeight="1" x14ac:dyDescent="0.25">
      <c r="A69" s="1865"/>
      <c r="B69" s="1582"/>
      <c r="C69" s="1305" t="str">
        <f>F!C184</f>
        <v>&lt;2% (internal flow is absent or barely detectable; basically flat).</v>
      </c>
      <c r="D69" s="1306">
        <f>F!D184</f>
        <v>0</v>
      </c>
      <c r="E69" s="45">
        <v>4</v>
      </c>
      <c r="F69" s="54">
        <f>D69*E69</f>
        <v>0</v>
      </c>
      <c r="G69" s="792"/>
      <c r="H69" s="1521"/>
    </row>
    <row r="70" spans="1:8" ht="16.2" customHeight="1" x14ac:dyDescent="0.25">
      <c r="A70" s="1865"/>
      <c r="B70" s="1582"/>
      <c r="C70" s="1307" t="str">
        <f>F!C185</f>
        <v>2 to &lt;6%.</v>
      </c>
      <c r="D70" s="1276">
        <f>F!D185</f>
        <v>0</v>
      </c>
      <c r="E70" s="45">
        <v>2</v>
      </c>
      <c r="F70" s="54">
        <f>D70*E70</f>
        <v>0</v>
      </c>
      <c r="G70" s="793"/>
      <c r="H70" s="1521"/>
    </row>
    <row r="71" spans="1:8" ht="16.2" customHeight="1" x14ac:dyDescent="0.25">
      <c r="A71" s="1865"/>
      <c r="B71" s="1582"/>
      <c r="C71" s="1307" t="str">
        <f>F!C186</f>
        <v>6 to 10%.</v>
      </c>
      <c r="D71" s="1276">
        <f>F!D186</f>
        <v>0</v>
      </c>
      <c r="E71" s="45">
        <v>1</v>
      </c>
      <c r="F71" s="54">
        <f>D71*E71</f>
        <v>0</v>
      </c>
      <c r="G71" s="793"/>
      <c r="H71" s="1521"/>
    </row>
    <row r="72" spans="1:8" ht="16.2" customHeight="1" thickBot="1" x14ac:dyDescent="0.3">
      <c r="A72" s="1866"/>
      <c r="B72" s="1600"/>
      <c r="C72" s="1308" t="str">
        <f>F!C187</f>
        <v>&gt;10%.</v>
      </c>
      <c r="D72" s="213">
        <f>F!D187</f>
        <v>0</v>
      </c>
      <c r="E72" s="193">
        <v>0</v>
      </c>
      <c r="F72" s="193">
        <f>D72*E72</f>
        <v>0</v>
      </c>
      <c r="G72" s="794"/>
      <c r="H72" s="1523"/>
    </row>
    <row r="73" spans="1:8" ht="21" customHeight="1" thickBot="1" x14ac:dyDescent="0.3">
      <c r="A73" s="1865" t="str">
        <f>F!A188</f>
        <v>F37</v>
      </c>
      <c r="B73" s="1582" t="str">
        <f>F!B188</f>
        <v xml:space="preserve">Groundwater Strength of Evidence (Groundw) </v>
      </c>
      <c r="C73" s="940" t="str">
        <f>F!C188</f>
        <v>Select first one that applies:</v>
      </c>
      <c r="D73" s="192"/>
      <c r="E73" s="46"/>
      <c r="F73" s="1295"/>
      <c r="G73" s="799">
        <f>MAX(F74:F77)/MAX(E74:E77)</f>
        <v>0</v>
      </c>
      <c r="H73" s="1582" t="s">
        <v>1160</v>
      </c>
    </row>
    <row r="74" spans="1:8" ht="99" customHeight="1" x14ac:dyDescent="0.25">
      <c r="A74" s="1983"/>
      <c r="B74" s="1987"/>
      <c r="C74" s="393"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74" s="1306">
        <f>F!D189</f>
        <v>0</v>
      </c>
      <c r="E74" s="45">
        <v>1</v>
      </c>
      <c r="F74" s="45">
        <f>D74*E74</f>
        <v>0</v>
      </c>
      <c r="G74" s="792"/>
      <c r="H74" s="1582"/>
    </row>
    <row r="75" spans="1:8" ht="99" customHeight="1" x14ac:dyDescent="0.25">
      <c r="A75" s="1983"/>
      <c r="B75" s="1987"/>
      <c r="C75" s="1275"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75" s="1276">
        <f>F!D190</f>
        <v>0</v>
      </c>
      <c r="E75" s="45">
        <v>2</v>
      </c>
      <c r="F75" s="45">
        <f>D75*E75</f>
        <v>0</v>
      </c>
      <c r="G75" s="793"/>
      <c r="H75" s="1582"/>
    </row>
    <row r="76" spans="1:8" ht="39" customHeight="1" x14ac:dyDescent="0.25">
      <c r="A76" s="1983"/>
      <c r="B76" s="1987"/>
      <c r="C76" s="1275" t="str">
        <f>F!C191</f>
        <v>The AA is not in an Arid or Semi-arid hydrologic unit, but has persistent ponded water, no tributary, and is not fed by wastewater, concentrated stormwater, or irrigation water, or by an adjacent river or lake.</v>
      </c>
      <c r="D76" s="1276">
        <f>F!D191</f>
        <v>0</v>
      </c>
      <c r="E76" s="45">
        <v>3</v>
      </c>
      <c r="F76" s="45">
        <f>D76*E76</f>
        <v>0</v>
      </c>
      <c r="G76" s="800"/>
      <c r="H76" s="1582"/>
    </row>
    <row r="77" spans="1:8" ht="27" customHeight="1" thickBot="1" x14ac:dyDescent="0.3">
      <c r="A77" s="1983"/>
      <c r="B77" s="1987"/>
      <c r="C77" s="1275" t="str">
        <f>F!C192</f>
        <v>None of above is true, OR AA contains a hot spring. Some groundwater may nonetheless discharge to or flow through the wetland.</v>
      </c>
      <c r="D77" s="1276">
        <f>F!D192</f>
        <v>0</v>
      </c>
      <c r="E77" s="54">
        <v>0</v>
      </c>
      <c r="F77" s="54">
        <f>D77*E77</f>
        <v>0</v>
      </c>
      <c r="G77" s="800"/>
      <c r="H77" s="1582"/>
    </row>
    <row r="78" spans="1:8" ht="75" customHeight="1" thickBot="1" x14ac:dyDescent="0.3">
      <c r="A78" s="912" t="str">
        <f>F!A220</f>
        <v>F44</v>
      </c>
      <c r="B78" s="4" t="str">
        <f>F!B220</f>
        <v>Moss Wetland (Moss)</v>
      </c>
      <c r="C78" s="1381" t="str">
        <f>F!C220</f>
        <v>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Enter 1, if true.</v>
      </c>
      <c r="D78" s="1279">
        <f>F!D220</f>
        <v>0</v>
      </c>
      <c r="E78" s="260"/>
      <c r="F78" s="835"/>
      <c r="G78" s="804">
        <f>D78</f>
        <v>0</v>
      </c>
      <c r="H78" s="114" t="s">
        <v>393</v>
      </c>
    </row>
    <row r="79" spans="1:8" ht="48" customHeight="1" thickBot="1" x14ac:dyDescent="0.3">
      <c r="A79" s="1865" t="str">
        <f>F!A221</f>
        <v>F45</v>
      </c>
      <c r="B79" s="1582" t="str">
        <f>F!B221</f>
        <v>Woody Extent (WoodyPct)</v>
      </c>
      <c r="C79" s="940" t="str">
        <f>F!C221</f>
        <v>Within the vegetated part of the AA, woody vegetation (trees, shrubs, robust vines) taller than 3 ft occupies:</v>
      </c>
      <c r="D79" s="192"/>
      <c r="E79" s="46"/>
      <c r="F79" s="60"/>
      <c r="G79" s="799">
        <f>IF((HistOpenland=1),"",MAX(F80:F84)/MAX(E80:E84))</f>
        <v>0</v>
      </c>
      <c r="H79" s="1521" t="s">
        <v>42</v>
      </c>
    </row>
    <row r="80" spans="1:8" ht="30" customHeight="1" x14ac:dyDescent="0.25">
      <c r="A80" s="1865"/>
      <c r="B80" s="1582"/>
      <c r="C80" s="236" t="str">
        <f>F!C222</f>
        <v>&lt;5% of the vegetated AA, and fewer than 10 trees are present.  Enter 1 and SKIP to F51.</v>
      </c>
      <c r="D80" s="1304">
        <f>F!D222</f>
        <v>0</v>
      </c>
      <c r="E80" s="45">
        <v>0</v>
      </c>
      <c r="F80" s="45">
        <f>D80*E80</f>
        <v>0</v>
      </c>
      <c r="G80" s="792"/>
      <c r="H80" s="1521"/>
    </row>
    <row r="81" spans="1:8" ht="30" customHeight="1" x14ac:dyDescent="0.25">
      <c r="A81" s="1865"/>
      <c r="B81" s="1582"/>
      <c r="C81" s="237" t="str">
        <f>F!C224</f>
        <v>5 to &lt;25% of the vegetated AA.</v>
      </c>
      <c r="D81" s="1081">
        <f>F!D224</f>
        <v>0</v>
      </c>
      <c r="E81" s="45">
        <v>1</v>
      </c>
      <c r="F81" s="45">
        <f>D81*E81</f>
        <v>0</v>
      </c>
      <c r="G81" s="793"/>
      <c r="H81" s="1521"/>
    </row>
    <row r="82" spans="1:8" ht="30" customHeight="1" x14ac:dyDescent="0.25">
      <c r="A82" s="1865"/>
      <c r="B82" s="1582"/>
      <c r="C82" s="237" t="str">
        <f>F!C225</f>
        <v>25 to &lt;50% of the vegetated AA.</v>
      </c>
      <c r="D82" s="1081">
        <f>F!D225</f>
        <v>0</v>
      </c>
      <c r="E82" s="45">
        <v>2</v>
      </c>
      <c r="F82" s="45">
        <f>D82*E82</f>
        <v>0</v>
      </c>
      <c r="G82" s="793"/>
      <c r="H82" s="1521"/>
    </row>
    <row r="83" spans="1:8" ht="30" customHeight="1" x14ac:dyDescent="0.25">
      <c r="A83" s="1865"/>
      <c r="B83" s="1582"/>
      <c r="C83" s="237" t="str">
        <f>F!C226</f>
        <v>50 to 95% of the vegetated AA.</v>
      </c>
      <c r="D83" s="1081">
        <f>F!D226</f>
        <v>0</v>
      </c>
      <c r="E83" s="45">
        <v>3</v>
      </c>
      <c r="F83" s="45">
        <f>D83*E83</f>
        <v>0</v>
      </c>
      <c r="G83" s="793"/>
      <c r="H83" s="1521"/>
    </row>
    <row r="84" spans="1:8" ht="42.75" customHeight="1" thickBot="1" x14ac:dyDescent="0.3">
      <c r="A84" s="1865"/>
      <c r="B84" s="1582"/>
      <c r="C84" s="1275" t="str">
        <f>F!C227</f>
        <v>&gt;95% of the vegetated part of the AA.</v>
      </c>
      <c r="D84" s="1276">
        <f>F!D227</f>
        <v>0</v>
      </c>
      <c r="E84" s="67">
        <v>4</v>
      </c>
      <c r="F84" s="54">
        <f>D84*E84</f>
        <v>0</v>
      </c>
      <c r="G84" s="800"/>
      <c r="H84" s="1521"/>
    </row>
    <row r="85" spans="1:8" ht="30" customHeight="1" thickBot="1" x14ac:dyDescent="0.3">
      <c r="A85" s="1864" t="str">
        <f>F!A228</f>
        <v>F46</v>
      </c>
      <c r="B85" s="1599" t="str">
        <f>F!B228</f>
        <v>Woody Diameter Classes (TreeDiams)</v>
      </c>
      <c r="C85" s="186" t="str">
        <f>F!C228</f>
        <v>Select All the types that comprise &gt;5% of the woody canopy cover in the AA or &gt;5% of its wooded upland edge if any:</v>
      </c>
      <c r="D85" s="192"/>
      <c r="E85" s="192"/>
      <c r="F85" s="241"/>
      <c r="G85" s="804">
        <f>IF((HistOpenland=1),"",IF((NoWoody=1),"",MAX(F86:F93)/MAX(E86:E93)))</f>
        <v>0</v>
      </c>
      <c r="H85" s="1599" t="s">
        <v>1761</v>
      </c>
    </row>
    <row r="86" spans="1:8" ht="17.399999999999999" customHeight="1" x14ac:dyDescent="0.25">
      <c r="A86" s="1865"/>
      <c r="B86" s="1582"/>
      <c r="C86" s="236" t="str">
        <f>F!C229</f>
        <v>Deciduous 1-4" diameter (DBH) and &gt;3 ft tall.</v>
      </c>
      <c r="D86" s="1304">
        <f>F!D229</f>
        <v>0</v>
      </c>
      <c r="E86" s="45">
        <v>1</v>
      </c>
      <c r="F86" s="45">
        <f>D86*E86</f>
        <v>0</v>
      </c>
      <c r="G86" s="792"/>
      <c r="H86" s="1582"/>
    </row>
    <row r="87" spans="1:8" ht="17.399999999999999" customHeight="1" x14ac:dyDescent="0.25">
      <c r="A87" s="1865"/>
      <c r="B87" s="1582"/>
      <c r="C87" s="237" t="str">
        <f>F!C230</f>
        <v>Evergreen 1-4" diameter and &gt;3 ft tall.</v>
      </c>
      <c r="D87" s="1081">
        <f>F!D230</f>
        <v>0</v>
      </c>
      <c r="E87" s="45">
        <v>2</v>
      </c>
      <c r="F87" s="45">
        <f t="shared" ref="F87:F93" si="3">D87*E87</f>
        <v>0</v>
      </c>
      <c r="G87" s="793"/>
      <c r="H87" s="1582"/>
    </row>
    <row r="88" spans="1:8" ht="17.399999999999999" customHeight="1" x14ac:dyDescent="0.25">
      <c r="A88" s="1865"/>
      <c r="B88" s="1582"/>
      <c r="C88" s="237" t="str">
        <f>F!C231</f>
        <v>Deciduous 4-9" diameter.</v>
      </c>
      <c r="D88" s="1081">
        <f>F!D231</f>
        <v>0</v>
      </c>
      <c r="E88" s="45">
        <v>1</v>
      </c>
      <c r="F88" s="45">
        <f t="shared" si="3"/>
        <v>0</v>
      </c>
      <c r="G88" s="793"/>
      <c r="H88" s="1582"/>
    </row>
    <row r="89" spans="1:8" ht="17.399999999999999" customHeight="1" x14ac:dyDescent="0.25">
      <c r="A89" s="1865"/>
      <c r="B89" s="1582"/>
      <c r="C89" s="237" t="str">
        <f>F!C232</f>
        <v>Evergreen 4-9" diameter.</v>
      </c>
      <c r="D89" s="1081">
        <f>F!D232</f>
        <v>0</v>
      </c>
      <c r="E89" s="45">
        <v>2</v>
      </c>
      <c r="F89" s="45">
        <f t="shared" si="3"/>
        <v>0</v>
      </c>
      <c r="G89" s="793"/>
      <c r="H89" s="1582"/>
    </row>
    <row r="90" spans="1:8" ht="17.399999999999999" customHeight="1" x14ac:dyDescent="0.25">
      <c r="A90" s="1865"/>
      <c r="B90" s="1582"/>
      <c r="C90" s="237" t="str">
        <f>F!C233</f>
        <v>Deciduous 9-21" diameter.</v>
      </c>
      <c r="D90" s="1081">
        <f>F!D233</f>
        <v>0</v>
      </c>
      <c r="E90" s="45">
        <v>1</v>
      </c>
      <c r="F90" s="45">
        <f t="shared" si="3"/>
        <v>0</v>
      </c>
      <c r="G90" s="793"/>
      <c r="H90" s="1582"/>
    </row>
    <row r="91" spans="1:8" ht="17.399999999999999" customHeight="1" x14ac:dyDescent="0.25">
      <c r="A91" s="1865"/>
      <c r="B91" s="1582"/>
      <c r="C91" s="237" t="str">
        <f>F!C234</f>
        <v>Evergreen 9-21" diameter.</v>
      </c>
      <c r="D91" s="1081">
        <f>F!D234</f>
        <v>0</v>
      </c>
      <c r="E91" s="45">
        <v>2</v>
      </c>
      <c r="F91" s="45">
        <f t="shared" si="3"/>
        <v>0</v>
      </c>
      <c r="G91" s="793"/>
      <c r="H91" s="1582"/>
    </row>
    <row r="92" spans="1:8" ht="17.399999999999999" customHeight="1" x14ac:dyDescent="0.25">
      <c r="A92" s="1865"/>
      <c r="B92" s="1582"/>
      <c r="C92" s="237" t="str">
        <f>F!C235</f>
        <v>Deciduous &gt;21" diameter.</v>
      </c>
      <c r="D92" s="1081">
        <f>F!D235</f>
        <v>0</v>
      </c>
      <c r="E92" s="45">
        <v>1</v>
      </c>
      <c r="F92" s="45">
        <f t="shared" si="3"/>
        <v>0</v>
      </c>
      <c r="G92" s="793"/>
      <c r="H92" s="1582"/>
    </row>
    <row r="93" spans="1:8" ht="32.25" customHeight="1" thickBot="1" x14ac:dyDescent="0.3">
      <c r="A93" s="1865"/>
      <c r="B93" s="1582"/>
      <c r="C93" s="1275" t="str">
        <f>F!C236</f>
        <v>Evergreen &gt;21" diameter.</v>
      </c>
      <c r="D93" s="1276">
        <f>F!D236</f>
        <v>0</v>
      </c>
      <c r="E93" s="54">
        <v>2</v>
      </c>
      <c r="F93" s="54">
        <f t="shared" si="3"/>
        <v>0</v>
      </c>
      <c r="G93" s="1168"/>
      <c r="H93" s="1582"/>
    </row>
    <row r="94" spans="1:8" ht="45" customHeight="1" thickBot="1" x14ac:dyDescent="0.3">
      <c r="A94" s="1864" t="str">
        <f>F!A288</f>
        <v>F56</v>
      </c>
      <c r="B94" s="1599" t="str">
        <f>F!B288</f>
        <v>Bare Ground &amp; Accumulated Plant Litter (Gcover)</v>
      </c>
      <c r="C94" s="186" t="str">
        <f>F!C288</f>
        <v>Consider the parts of the AA that go dry during a normal year. Viewed from 6 inches above the soil surface, the condition in most of that area just before the year's longest inundation period begins is:</v>
      </c>
      <c r="D94" s="192"/>
      <c r="E94" s="192"/>
      <c r="F94" s="241"/>
      <c r="G94" s="801">
        <f>IF((D99=1),"",MAX(F95:F98)/MAX(E95:E98))</f>
        <v>0</v>
      </c>
      <c r="H94" s="1522" t="s">
        <v>153</v>
      </c>
    </row>
    <row r="95" spans="1:8" ht="56.25" customHeight="1" x14ac:dyDescent="0.25">
      <c r="A95" s="1865"/>
      <c r="B95" s="1582"/>
      <c r="C95" s="236"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95" s="1304">
        <f>F!D289</f>
        <v>0</v>
      </c>
      <c r="E95" s="45">
        <v>4</v>
      </c>
      <c r="F95" s="45">
        <f>D95*E95</f>
        <v>0</v>
      </c>
      <c r="G95" s="792"/>
      <c r="H95" s="1521"/>
    </row>
    <row r="96" spans="1:8" ht="27" customHeight="1" x14ac:dyDescent="0.25">
      <c r="A96" s="1865"/>
      <c r="B96" s="1582"/>
      <c r="C96" s="237" t="str">
        <f>F!C290</f>
        <v>Some (5-20%) bare ground or remaining thatch is visible.  Herbaceous plants have moderate stem densities and do not closely hug the ground.</v>
      </c>
      <c r="D96" s="1081">
        <f>F!D290</f>
        <v>0</v>
      </c>
      <c r="E96" s="45">
        <v>3</v>
      </c>
      <c r="F96" s="45">
        <f>D96*E96</f>
        <v>0</v>
      </c>
      <c r="G96" s="793"/>
      <c r="H96" s="1521"/>
    </row>
    <row r="97" spans="1:8" ht="27" customHeight="1" x14ac:dyDescent="0.25">
      <c r="A97" s="1865"/>
      <c r="B97" s="1582"/>
      <c r="C97" s="237" t="str">
        <f>F!C291</f>
        <v>Much (20-50%) bare ground or thatch is visible.  Low stem density and/or tall plants with little living ground cover during early growing season.</v>
      </c>
      <c r="D97" s="1081">
        <f>F!D291</f>
        <v>0</v>
      </c>
      <c r="E97" s="45">
        <v>2</v>
      </c>
      <c r="F97" s="45">
        <f>D97*E97</f>
        <v>0</v>
      </c>
      <c r="G97" s="793"/>
      <c r="H97" s="1521"/>
    </row>
    <row r="98" spans="1:8" ht="16.2" customHeight="1" x14ac:dyDescent="0.25">
      <c r="A98" s="1865"/>
      <c r="B98" s="1582"/>
      <c r="C98" s="237" t="str">
        <f>F!C292</f>
        <v>Mostly (&gt;50%) bare ground or thatch.</v>
      </c>
      <c r="D98" s="1081">
        <f>F!D292</f>
        <v>0</v>
      </c>
      <c r="E98" s="45">
        <v>1</v>
      </c>
      <c r="F98" s="45">
        <f>D98*E98</f>
        <v>0</v>
      </c>
      <c r="G98" s="800"/>
      <c r="H98" s="1521"/>
    </row>
    <row r="99" spans="1:8" ht="16.2" customHeight="1" thickBot="1" x14ac:dyDescent="0.3">
      <c r="A99" s="1866"/>
      <c r="B99" s="1600"/>
      <c r="C99" s="212" t="str">
        <f>F!C293</f>
        <v>Not applicable.  All of the AA is inundated throughout most years.</v>
      </c>
      <c r="D99" s="213">
        <f>F!D293</f>
        <v>0</v>
      </c>
      <c r="E99" s="193"/>
      <c r="F99" s="193"/>
      <c r="G99" s="794"/>
      <c r="H99" s="1523"/>
    </row>
    <row r="100" spans="1:8" ht="30" customHeight="1" thickBot="1" x14ac:dyDescent="0.3">
      <c r="A100" s="1864" t="str">
        <f>F!A298</f>
        <v>F58</v>
      </c>
      <c r="B100" s="1599" t="str">
        <f>F!B298</f>
        <v>Soil Composition (SoilTex)</v>
      </c>
      <c r="C100" s="4" t="str">
        <f>F!C298</f>
        <v>Based on digging into the substrate and examining the surface layer of the soil (2 inch depth) that was mapped as being predominant, its composition (excluding duff and living roots) is mostly:</v>
      </c>
      <c r="D100" s="192"/>
      <c r="E100" s="192"/>
      <c r="F100" s="241"/>
      <c r="G100" s="804">
        <f>MAX(F101:F104)/MAX(E101:E104)</f>
        <v>0</v>
      </c>
      <c r="H100" s="1522" t="s">
        <v>221</v>
      </c>
    </row>
    <row r="101" spans="1:8" ht="16.2" customHeight="1" x14ac:dyDescent="0.25">
      <c r="A101" s="1865"/>
      <c r="B101" s="1582"/>
      <c r="C101" s="236" t="str">
        <f>F!C299</f>
        <v>Loamy: includes silt, silt loam, loam, sandy loam.</v>
      </c>
      <c r="D101" s="1304">
        <f>F!D299</f>
        <v>0</v>
      </c>
      <c r="E101" s="45">
        <v>2</v>
      </c>
      <c r="F101" s="45">
        <f>D101*E101</f>
        <v>0</v>
      </c>
      <c r="G101" s="792"/>
      <c r="H101" s="1521"/>
    </row>
    <row r="102" spans="1:8" ht="16.2" customHeight="1" x14ac:dyDescent="0.25">
      <c r="A102" s="1865"/>
      <c r="B102" s="1582"/>
      <c r="C102" s="237" t="str">
        <f>F!C300</f>
        <v>Clayey: includes clay, clay loam, silty clay, silty clay loam, sandy clay, sandy clay loam.</v>
      </c>
      <c r="D102" s="1081">
        <f>F!D300</f>
        <v>0</v>
      </c>
      <c r="E102" s="45">
        <v>3</v>
      </c>
      <c r="F102" s="45">
        <f>D102*E102</f>
        <v>0</v>
      </c>
      <c r="G102" s="793"/>
      <c r="H102" s="1521"/>
    </row>
    <row r="103" spans="1:8" ht="27" customHeight="1" x14ac:dyDescent="0.25">
      <c r="A103" s="1865"/>
      <c r="B103" s="1582"/>
      <c r="C103" s="237" t="str">
        <f>F!C301</f>
        <v>Organic: includes muck, mucky peat, peat, and mucky mineral soils (blackish or grayish).  Exclude live roots unless they are moss.</v>
      </c>
      <c r="D103" s="1081">
        <f>F!D301</f>
        <v>0</v>
      </c>
      <c r="E103" s="45">
        <v>5</v>
      </c>
      <c r="F103" s="45">
        <f>D103*E103</f>
        <v>0</v>
      </c>
      <c r="G103" s="793"/>
      <c r="H103" s="1521"/>
    </row>
    <row r="104" spans="1:8" ht="31.5" customHeight="1" thickBot="1" x14ac:dyDescent="0.3">
      <c r="A104" s="1866"/>
      <c r="B104" s="1600"/>
      <c r="C104" s="212" t="str">
        <f>F!C302</f>
        <v>Coarse: includes sand, loamy sand, gravel, cobble, stones, boulders, fluvents, fluvaquents, riverwash.</v>
      </c>
      <c r="D104" s="213">
        <f>F!D302</f>
        <v>0</v>
      </c>
      <c r="E104" s="193">
        <v>1</v>
      </c>
      <c r="F104" s="193">
        <f>D104*E104</f>
        <v>0</v>
      </c>
      <c r="G104" s="909"/>
      <c r="H104" s="1523"/>
    </row>
    <row r="105" spans="1:8" ht="70.5" customHeight="1" thickBot="1" x14ac:dyDescent="0.3">
      <c r="A105" s="2156" t="str">
        <f>F!A304</f>
        <v>F60</v>
      </c>
      <c r="B105" s="1649" t="str">
        <f>F!B304</f>
        <v>Restored or Created Wetland (NewWet)</v>
      </c>
      <c r="C105" s="714" t="str">
        <f>F!C304</f>
        <v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v>
      </c>
      <c r="D105" s="192"/>
      <c r="E105" s="46"/>
      <c r="F105" s="60"/>
      <c r="G105" s="799">
        <f>MAX(F106:F110)/MAX(E106:E110)</f>
        <v>0</v>
      </c>
      <c r="H105" s="1947" t="s">
        <v>225</v>
      </c>
    </row>
    <row r="106" spans="1:8" ht="21" customHeight="1" x14ac:dyDescent="0.25">
      <c r="A106" s="2156"/>
      <c r="B106" s="1649"/>
      <c r="C106" s="1234" t="str">
        <f>F!C305</f>
        <v>Yes, and constructed or restored mostly within last 3 years.</v>
      </c>
      <c r="D106" s="1369">
        <f>F!D305</f>
        <v>0</v>
      </c>
      <c r="E106" s="67">
        <v>2</v>
      </c>
      <c r="F106" s="45">
        <f>D106*E106</f>
        <v>0</v>
      </c>
      <c r="G106" s="792"/>
      <c r="H106" s="1947"/>
    </row>
    <row r="107" spans="1:8" ht="21" customHeight="1" x14ac:dyDescent="0.25">
      <c r="A107" s="2156"/>
      <c r="B107" s="1649"/>
      <c r="C107" s="1235" t="str">
        <f>F!C306</f>
        <v>Yes, and constructed or restored mostly 3-7 years ago.</v>
      </c>
      <c r="D107" s="1370">
        <f>F!D306</f>
        <v>0</v>
      </c>
      <c r="E107" s="54">
        <v>0</v>
      </c>
      <c r="F107" s="45">
        <f>D107*E107</f>
        <v>0</v>
      </c>
      <c r="G107" s="793"/>
      <c r="H107" s="1947"/>
    </row>
    <row r="108" spans="1:8" ht="21" customHeight="1" x14ac:dyDescent="0.25">
      <c r="A108" s="2156"/>
      <c r="B108" s="1649"/>
      <c r="C108" s="1235" t="str">
        <f>F!C307</f>
        <v>Yes, and constructed or restored mostly &gt; 7 years ago.</v>
      </c>
      <c r="D108" s="1370">
        <f>F!D307</f>
        <v>0</v>
      </c>
      <c r="E108" s="54">
        <v>1</v>
      </c>
      <c r="F108" s="45">
        <f>D108*E108</f>
        <v>0</v>
      </c>
      <c r="G108" s="793"/>
      <c r="H108" s="1947"/>
    </row>
    <row r="109" spans="1:8" ht="21" customHeight="1" x14ac:dyDescent="0.25">
      <c r="A109" s="2156"/>
      <c r="B109" s="1649"/>
      <c r="C109" s="1235" t="str">
        <f>F!C308</f>
        <v>Yes, but time of origin or restoration unknown.</v>
      </c>
      <c r="D109" s="1370">
        <f>F!D308</f>
        <v>0</v>
      </c>
      <c r="E109" s="54">
        <v>2</v>
      </c>
      <c r="F109" s="45">
        <f>D109*E109</f>
        <v>0</v>
      </c>
      <c r="G109" s="793"/>
      <c r="H109" s="1947"/>
    </row>
    <row r="110" spans="1:8" ht="21" customHeight="1" x14ac:dyDescent="0.25">
      <c r="A110" s="2156"/>
      <c r="B110" s="1649"/>
      <c r="C110" s="1235" t="str">
        <f>F!C309</f>
        <v>No.</v>
      </c>
      <c r="D110" s="1370">
        <f>F!D309</f>
        <v>0</v>
      </c>
      <c r="E110" s="54">
        <v>5</v>
      </c>
      <c r="F110" s="45">
        <f>D110*E110</f>
        <v>0</v>
      </c>
      <c r="G110" s="793"/>
      <c r="H110" s="1947"/>
    </row>
    <row r="111" spans="1:8" ht="21" customHeight="1" thickBot="1" x14ac:dyDescent="0.3">
      <c r="A111" s="2156"/>
      <c r="B111" s="1649"/>
      <c r="C111" s="1382" t="str">
        <f>F!C310</f>
        <v>Unknown if wetland is constructed, restored, or natural.</v>
      </c>
      <c r="D111" s="1383">
        <f>F!D310</f>
        <v>0</v>
      </c>
      <c r="E111" s="54"/>
      <c r="F111" s="54"/>
      <c r="G111" s="800"/>
      <c r="H111" s="1947"/>
    </row>
    <row r="112" spans="1:8" ht="99" customHeight="1" thickBot="1" x14ac:dyDescent="0.3">
      <c r="A112" s="247" t="str">
        <f>S!A69</f>
        <v>S5</v>
      </c>
      <c r="B112" s="4" t="str">
        <f>S!B69</f>
        <v>Soil or Sediment Alteration Within the Assessment Area (SoilDisturb).</v>
      </c>
      <c r="C112" s="1384" t="s">
        <v>781</v>
      </c>
      <c r="D112" s="248">
        <f>S!F86</f>
        <v>0</v>
      </c>
      <c r="E112" s="249"/>
      <c r="F112" s="835"/>
      <c r="G112" s="830">
        <f>1-(D112)</f>
        <v>1</v>
      </c>
      <c r="H112" s="1119" t="s">
        <v>140</v>
      </c>
    </row>
    <row r="113" spans="1:8" s="361" customFormat="1" ht="36" customHeight="1" thickBot="1" x14ac:dyDescent="0.3">
      <c r="A113" s="374" t="s">
        <v>126</v>
      </c>
      <c r="B113" s="374" t="s">
        <v>1466</v>
      </c>
      <c r="C113" s="374" t="s">
        <v>1271</v>
      </c>
      <c r="D113" s="1183" t="s">
        <v>115</v>
      </c>
      <c r="E113" s="1183" t="s">
        <v>771</v>
      </c>
      <c r="F113" s="1183" t="s">
        <v>1473</v>
      </c>
      <c r="G113" s="374" t="s">
        <v>1273</v>
      </c>
      <c r="H113" s="374" t="s">
        <v>772</v>
      </c>
    </row>
    <row r="114" spans="1:8" ht="21" customHeight="1" thickBot="1" x14ac:dyDescent="0.3">
      <c r="A114" s="1922" t="str">
        <f>T!A5</f>
        <v>T1</v>
      </c>
      <c r="B114" s="2157" t="str">
        <f>T!B5</f>
        <v>Estuarine Position (EstPosT)</v>
      </c>
      <c r="C114" s="219" t="str">
        <f>T!C5</f>
        <v>The AA's relative position in the estuary is:</v>
      </c>
      <c r="D114" s="1385"/>
      <c r="E114" s="1386"/>
      <c r="F114" s="1387"/>
      <c r="G114" s="857">
        <f>MAX(F115:F117)/MAX(E115:E117)</f>
        <v>0</v>
      </c>
      <c r="H114" s="2045" t="s">
        <v>889</v>
      </c>
    </row>
    <row r="115" spans="1:8" ht="27" customHeight="1" x14ac:dyDescent="0.25">
      <c r="A115" s="1923"/>
      <c r="B115" s="1689"/>
      <c r="C115" s="1356" t="str">
        <f>T!C6</f>
        <v>Lower 1/3 (often on a bay and distant from the head-of-tide of a major river; includes most saline tidal wetlands).</v>
      </c>
      <c r="D115" s="47">
        <f>T!D6</f>
        <v>0</v>
      </c>
      <c r="E115" s="1386">
        <v>3</v>
      </c>
      <c r="F115" s="45">
        <f>D115*E115</f>
        <v>0</v>
      </c>
      <c r="G115" s="1388"/>
      <c r="H115" s="1947"/>
    </row>
    <row r="116" spans="1:8" ht="16.2" customHeight="1" x14ac:dyDescent="0.25">
      <c r="A116" s="1923"/>
      <c r="B116" s="1689"/>
      <c r="C116" s="1358" t="str">
        <f>T!C7</f>
        <v>Mid 1/3.</v>
      </c>
      <c r="D116" s="47">
        <f>T!D7</f>
        <v>0</v>
      </c>
      <c r="E116" s="1386">
        <v>2</v>
      </c>
      <c r="F116" s="45">
        <f>D116*E116</f>
        <v>0</v>
      </c>
      <c r="G116" s="1389"/>
      <c r="H116" s="1947"/>
    </row>
    <row r="117" spans="1:8" ht="16.2" customHeight="1" thickBot="1" x14ac:dyDescent="0.3">
      <c r="A117" s="1924"/>
      <c r="B117" s="1689"/>
      <c r="C117" s="1360" t="str">
        <f>T!C8</f>
        <v>Upper 1/3 (near the head-of-tide of a major river; includes most brackish and fresh tidal wetlands).</v>
      </c>
      <c r="D117" s="80">
        <f>T!D8</f>
        <v>0</v>
      </c>
      <c r="E117" s="1390">
        <v>1</v>
      </c>
      <c r="F117" s="54">
        <f>D117*E117</f>
        <v>0</v>
      </c>
      <c r="G117" s="1168"/>
      <c r="H117" s="1947"/>
    </row>
    <row r="118" spans="1:8" ht="21" customHeight="1" thickBot="1" x14ac:dyDescent="0.3">
      <c r="A118" s="1922" t="str">
        <f>T!A9</f>
        <v>T2</v>
      </c>
      <c r="B118" s="1599" t="str">
        <f>T!B9</f>
        <v>Salinity (SalinT)</v>
      </c>
      <c r="C118" s="4" t="str">
        <f>T!C9</f>
        <v>At high tide during most of the year, the daily salinity in most of the inundated part of the AA is:</v>
      </c>
      <c r="D118" s="1080"/>
      <c r="E118" s="1391"/>
      <c r="F118" s="1392"/>
      <c r="G118" s="857">
        <f>MAX(F119:F122)/MAX(E119:E122)</f>
        <v>0</v>
      </c>
      <c r="H118" s="2015" t="s">
        <v>378</v>
      </c>
    </row>
    <row r="119" spans="1:8" ht="16.2" customHeight="1" x14ac:dyDescent="0.25">
      <c r="A119" s="1923"/>
      <c r="B119" s="1582"/>
      <c r="C119" s="236" t="str">
        <f>T!C10</f>
        <v xml:space="preserve">Saline (&gt;25 ppt salinity, undiluted seawater).  </v>
      </c>
      <c r="D119" s="47">
        <f>T!D10</f>
        <v>0</v>
      </c>
      <c r="E119" s="1386">
        <v>4</v>
      </c>
      <c r="F119" s="45">
        <f>D119*E119</f>
        <v>0</v>
      </c>
      <c r="G119" s="1388"/>
      <c r="H119" s="1947"/>
    </row>
    <row r="120" spans="1:8" ht="16.2" customHeight="1" x14ac:dyDescent="0.25">
      <c r="A120" s="1923"/>
      <c r="B120" s="1582"/>
      <c r="C120" s="237" t="str">
        <f>T!C11</f>
        <v>Moderately saline (5 to 25 ppt salinity).</v>
      </c>
      <c r="D120" s="47">
        <f>T!D11</f>
        <v>0</v>
      </c>
      <c r="E120" s="1386">
        <v>3</v>
      </c>
      <c r="F120" s="45">
        <f>D120*E120</f>
        <v>0</v>
      </c>
      <c r="G120" s="1389"/>
      <c r="H120" s="1947"/>
    </row>
    <row r="121" spans="1:8" ht="16.2" customHeight="1" x14ac:dyDescent="0.25">
      <c r="A121" s="1923"/>
      <c r="B121" s="1582"/>
      <c r="C121" s="237" t="str">
        <f>T!C12</f>
        <v>Brackish (0.5 to &lt;5 ppt salinity, "oligohaline").</v>
      </c>
      <c r="D121" s="47">
        <f>T!D12</f>
        <v>0</v>
      </c>
      <c r="E121" s="1386">
        <v>2</v>
      </c>
      <c r="F121" s="45">
        <f>D121*E121</f>
        <v>0</v>
      </c>
      <c r="G121" s="1389"/>
      <c r="H121" s="1947"/>
    </row>
    <row r="122" spans="1:8" ht="16.2" customHeight="1" x14ac:dyDescent="0.25">
      <c r="A122" s="1923"/>
      <c r="B122" s="1582"/>
      <c r="C122" s="237" t="str">
        <f>T!C13</f>
        <v>Fresh (&lt;0.5 ppt salinity).</v>
      </c>
      <c r="D122" s="47">
        <f>T!D13</f>
        <v>0</v>
      </c>
      <c r="E122" s="1386">
        <v>1</v>
      </c>
      <c r="F122" s="1386">
        <f>D122*E122</f>
        <v>0</v>
      </c>
      <c r="G122" s="1389"/>
      <c r="H122" s="1947"/>
    </row>
    <row r="123" spans="1:8" ht="16.2" customHeight="1" thickBot="1" x14ac:dyDescent="0.3">
      <c r="A123" s="1924"/>
      <c r="B123" s="1600"/>
      <c r="C123" s="246" t="str">
        <f>T!C14</f>
        <v>Unknown.</v>
      </c>
      <c r="D123" s="1393">
        <f>T!D14</f>
        <v>0</v>
      </c>
      <c r="E123" s="1394"/>
      <c r="F123" s="1394"/>
      <c r="G123" s="909"/>
      <c r="H123" s="2016"/>
    </row>
    <row r="124" spans="1:8" ht="30" customHeight="1" thickBot="1" x14ac:dyDescent="0.3">
      <c r="A124" s="1922" t="str">
        <f>T!A15</f>
        <v>T3</v>
      </c>
      <c r="B124" s="1582" t="str">
        <f>T!B15</f>
        <v>Low Marsh (LowMarshT)</v>
      </c>
      <c r="C124" s="714" t="str">
        <f>T!C15</f>
        <v>The percent of the vegetated part of the AA that is "low marsh" (covered by tidal water for part of almost every day) is:</v>
      </c>
      <c r="D124" s="1395"/>
      <c r="E124" s="1396"/>
      <c r="F124" s="1396"/>
      <c r="G124" s="857">
        <f>MAX(F125:F131)/MAX(E125:E131)</f>
        <v>0</v>
      </c>
      <c r="H124" s="1947" t="s">
        <v>1129</v>
      </c>
    </row>
    <row r="125" spans="1:8" ht="16.2" customHeight="1" x14ac:dyDescent="0.25">
      <c r="A125" s="1923"/>
      <c r="B125" s="1582"/>
      <c r="C125" s="236" t="str">
        <f>T!C16</f>
        <v>None, or &lt;1%.</v>
      </c>
      <c r="D125" s="1397">
        <f>T!D16</f>
        <v>0</v>
      </c>
      <c r="E125" s="1386">
        <v>7</v>
      </c>
      <c r="F125" s="45">
        <f t="shared" ref="F125:F131" si="4">D125*E125</f>
        <v>0</v>
      </c>
      <c r="G125" s="1388"/>
      <c r="H125" s="1947"/>
    </row>
    <row r="126" spans="1:8" ht="16.2" customHeight="1" x14ac:dyDescent="0.25">
      <c r="A126" s="1923"/>
      <c r="B126" s="1582"/>
      <c r="C126" s="236" t="str">
        <f>T!C17</f>
        <v>1 to &lt;10%.</v>
      </c>
      <c r="D126" s="1397">
        <f>T!D17</f>
        <v>0</v>
      </c>
      <c r="E126" s="1386">
        <v>6</v>
      </c>
      <c r="F126" s="45">
        <f t="shared" si="4"/>
        <v>0</v>
      </c>
      <c r="G126" s="1389"/>
      <c r="H126" s="1947"/>
    </row>
    <row r="127" spans="1:8" ht="16.2" customHeight="1" x14ac:dyDescent="0.25">
      <c r="A127" s="1923"/>
      <c r="B127" s="1582"/>
      <c r="C127" s="236" t="str">
        <f>T!C18</f>
        <v>10 to &lt;25%.</v>
      </c>
      <c r="D127" s="1397">
        <f>T!D18</f>
        <v>0</v>
      </c>
      <c r="E127" s="1386">
        <v>5</v>
      </c>
      <c r="F127" s="45">
        <f t="shared" si="4"/>
        <v>0</v>
      </c>
      <c r="G127" s="1389"/>
      <c r="H127" s="1947"/>
    </row>
    <row r="128" spans="1:8" ht="16.2" customHeight="1" x14ac:dyDescent="0.25">
      <c r="A128" s="1923"/>
      <c r="B128" s="1582"/>
      <c r="C128" s="236" t="str">
        <f>T!C19</f>
        <v>25 &lt;50%.</v>
      </c>
      <c r="D128" s="1397">
        <f>T!D19</f>
        <v>0</v>
      </c>
      <c r="E128" s="1386">
        <v>4</v>
      </c>
      <c r="F128" s="45">
        <f t="shared" si="4"/>
        <v>0</v>
      </c>
      <c r="G128" s="1389"/>
      <c r="H128" s="1947"/>
    </row>
    <row r="129" spans="1:8" ht="16.2" customHeight="1" x14ac:dyDescent="0.25">
      <c r="A129" s="1923"/>
      <c r="B129" s="1582"/>
      <c r="C129" s="236" t="str">
        <f>T!C20</f>
        <v>50 to &lt;75%.</v>
      </c>
      <c r="D129" s="1397">
        <f>T!D20</f>
        <v>0</v>
      </c>
      <c r="E129" s="1386">
        <v>3</v>
      </c>
      <c r="F129" s="45">
        <f t="shared" si="4"/>
        <v>0</v>
      </c>
      <c r="G129" s="1389"/>
      <c r="H129" s="1947"/>
    </row>
    <row r="130" spans="1:8" ht="16.2" customHeight="1" x14ac:dyDescent="0.25">
      <c r="A130" s="1923"/>
      <c r="B130" s="1582"/>
      <c r="C130" s="236" t="str">
        <f>T!C21</f>
        <v>75 to 90%.</v>
      </c>
      <c r="D130" s="1397">
        <f>T!D21</f>
        <v>0</v>
      </c>
      <c r="E130" s="1386">
        <v>2</v>
      </c>
      <c r="F130" s="45">
        <f t="shared" si="4"/>
        <v>0</v>
      </c>
      <c r="G130" s="1389"/>
      <c r="H130" s="1947"/>
    </row>
    <row r="131" spans="1:8" ht="16.2" customHeight="1" thickBot="1" x14ac:dyDescent="0.3">
      <c r="A131" s="1924"/>
      <c r="B131" s="1582"/>
      <c r="C131" s="393" t="str">
        <f>T!C22</f>
        <v>&gt;90%.</v>
      </c>
      <c r="D131" s="1018">
        <f>T!D22</f>
        <v>0</v>
      </c>
      <c r="E131" s="1390">
        <v>1</v>
      </c>
      <c r="F131" s="54">
        <f t="shared" si="4"/>
        <v>0</v>
      </c>
      <c r="G131" s="1168"/>
      <c r="H131" s="1947"/>
    </row>
    <row r="132" spans="1:8" ht="30" customHeight="1" thickBot="1" x14ac:dyDescent="0.3">
      <c r="A132" s="1922" t="str">
        <f>T!A23</f>
        <v>T4</v>
      </c>
      <c r="B132" s="1599" t="str">
        <f>T!B23</f>
        <v>Width of Vegetated Zone at Daily High Tide (WidthHiT)</v>
      </c>
      <c r="C132" s="114" t="str">
        <f>T!C23</f>
        <v>At average daily HIGH tide condition, the width of the vegetated wetland that separates adjoining uplands (if any) from subtidal water within or adjoining the AA, is predominantly:</v>
      </c>
      <c r="D132" s="1080"/>
      <c r="E132" s="1391"/>
      <c r="F132" s="1391"/>
      <c r="G132" s="857">
        <f>MAX(F133:F138)/MAX(E133:E138)</f>
        <v>0</v>
      </c>
      <c r="H132" s="2015" t="s">
        <v>380</v>
      </c>
    </row>
    <row r="133" spans="1:8" ht="16.2" customHeight="1" x14ac:dyDescent="0.25">
      <c r="A133" s="1923"/>
      <c r="B133" s="1582"/>
      <c r="C133" s="1310" t="str">
        <f>T!C24</f>
        <v>&lt;5 ft, or no vegetation between upland and subtidal water.</v>
      </c>
      <c r="D133" s="47">
        <f>T!D24</f>
        <v>0</v>
      </c>
      <c r="E133" s="1386">
        <v>0</v>
      </c>
      <c r="F133" s="45">
        <f t="shared" ref="F133:F138" si="5">D133*E133</f>
        <v>0</v>
      </c>
      <c r="G133" s="1388"/>
      <c r="H133" s="1947"/>
    </row>
    <row r="134" spans="1:8" ht="16.2" customHeight="1" x14ac:dyDescent="0.25">
      <c r="A134" s="1923"/>
      <c r="B134" s="1582"/>
      <c r="C134" s="1311" t="str">
        <f>T!C25</f>
        <v>5 to &lt;30 ft.</v>
      </c>
      <c r="D134" s="47">
        <f>T!D25</f>
        <v>0</v>
      </c>
      <c r="E134" s="1386">
        <v>1</v>
      </c>
      <c r="F134" s="45">
        <f t="shared" si="5"/>
        <v>0</v>
      </c>
      <c r="G134" s="1389"/>
      <c r="H134" s="1947"/>
    </row>
    <row r="135" spans="1:8" ht="16.2" customHeight="1" x14ac:dyDescent="0.25">
      <c r="A135" s="1923"/>
      <c r="B135" s="1582"/>
      <c r="C135" s="1311" t="str">
        <f>T!C26</f>
        <v>30 to &lt;50 ft.</v>
      </c>
      <c r="D135" s="47">
        <f>T!D26</f>
        <v>0</v>
      </c>
      <c r="E135" s="1386">
        <v>2</v>
      </c>
      <c r="F135" s="45">
        <f t="shared" si="5"/>
        <v>0</v>
      </c>
      <c r="G135" s="1389"/>
      <c r="H135" s="1947"/>
    </row>
    <row r="136" spans="1:8" ht="16.2" customHeight="1" x14ac:dyDescent="0.25">
      <c r="A136" s="1923"/>
      <c r="B136" s="1582"/>
      <c r="C136" s="1311" t="str">
        <f>T!C27</f>
        <v>50 to &lt;100 ft.</v>
      </c>
      <c r="D136" s="47">
        <f>T!D27</f>
        <v>0</v>
      </c>
      <c r="E136" s="1386">
        <v>3</v>
      </c>
      <c r="F136" s="45">
        <f t="shared" si="5"/>
        <v>0</v>
      </c>
      <c r="G136" s="1389"/>
      <c r="H136" s="1947"/>
    </row>
    <row r="137" spans="1:8" ht="16.2" customHeight="1" x14ac:dyDescent="0.25">
      <c r="A137" s="1923"/>
      <c r="B137" s="1582"/>
      <c r="C137" s="1311" t="str">
        <f>T!C28</f>
        <v>100 to 300 ft.</v>
      </c>
      <c r="D137" s="47">
        <f>T!D28</f>
        <v>0</v>
      </c>
      <c r="E137" s="1386">
        <v>4</v>
      </c>
      <c r="F137" s="45">
        <f t="shared" si="5"/>
        <v>0</v>
      </c>
      <c r="G137" s="1389"/>
      <c r="H137" s="1947"/>
    </row>
    <row r="138" spans="1:8" ht="16.2" customHeight="1" thickBot="1" x14ac:dyDescent="0.3">
      <c r="A138" s="1924"/>
      <c r="B138" s="1600"/>
      <c r="C138" s="1308" t="str">
        <f>T!C29</f>
        <v>&gt; 300 ft.</v>
      </c>
      <c r="D138" s="242">
        <f>T!D29</f>
        <v>0</v>
      </c>
      <c r="E138" s="1394">
        <v>5</v>
      </c>
      <c r="F138" s="193">
        <f t="shared" si="5"/>
        <v>0</v>
      </c>
      <c r="G138" s="909"/>
      <c r="H138" s="2016"/>
    </row>
    <row r="139" spans="1:8" ht="30" customHeight="1" thickBot="1" x14ac:dyDescent="0.3">
      <c r="A139" s="1922" t="str">
        <f>T!A30</f>
        <v>T5</v>
      </c>
      <c r="B139" s="1582" t="str">
        <f>T!B30</f>
        <v>Width of Vegetated Zone at Daily Low Tide (WidthLoT)</v>
      </c>
      <c r="C139" s="727" t="str">
        <f>T!C30</f>
        <v>At average daily LOW tide condition, the width of the vegetated wetland that separates adjoining uplands (if any) from subtidal water within or adjoining the AA, is predominantly:</v>
      </c>
      <c r="D139" s="1395"/>
      <c r="E139" s="1396"/>
      <c r="F139" s="1396"/>
      <c r="G139" s="857">
        <f>MAX(F140:F145)/MAX(E140:E145)</f>
        <v>0</v>
      </c>
      <c r="H139" s="1947" t="s">
        <v>124</v>
      </c>
    </row>
    <row r="140" spans="1:8" ht="16.2" customHeight="1" x14ac:dyDescent="0.25">
      <c r="A140" s="1923"/>
      <c r="B140" s="1582"/>
      <c r="C140" s="1310" t="str">
        <f>T!C31</f>
        <v>&lt;5 ft, or no vegetation between upland and subtidal water.</v>
      </c>
      <c r="D140" s="47">
        <f>T!D31</f>
        <v>0</v>
      </c>
      <c r="E140" s="1386">
        <v>0</v>
      </c>
      <c r="F140" s="45">
        <f t="shared" ref="F140:F174" si="6">D140*E140</f>
        <v>0</v>
      </c>
      <c r="G140" s="1388"/>
      <c r="H140" s="1947"/>
    </row>
    <row r="141" spans="1:8" ht="16.2" customHeight="1" x14ac:dyDescent="0.25">
      <c r="A141" s="1923"/>
      <c r="B141" s="1582"/>
      <c r="C141" s="1311" t="str">
        <f>T!C32</f>
        <v>5 to &lt;30 ft.</v>
      </c>
      <c r="D141" s="47">
        <f>T!D32</f>
        <v>0</v>
      </c>
      <c r="E141" s="1386">
        <v>1</v>
      </c>
      <c r="F141" s="45">
        <f t="shared" si="6"/>
        <v>0</v>
      </c>
      <c r="G141" s="1389"/>
      <c r="H141" s="1947"/>
    </row>
    <row r="142" spans="1:8" ht="16.2" customHeight="1" x14ac:dyDescent="0.25">
      <c r="A142" s="1923"/>
      <c r="B142" s="1582"/>
      <c r="C142" s="1311" t="str">
        <f>T!C33</f>
        <v>30 to &lt;50 ft.</v>
      </c>
      <c r="D142" s="47">
        <f>T!D33</f>
        <v>0</v>
      </c>
      <c r="E142" s="1386">
        <v>2</v>
      </c>
      <c r="F142" s="45">
        <f t="shared" si="6"/>
        <v>0</v>
      </c>
      <c r="G142" s="1389"/>
      <c r="H142" s="1947"/>
    </row>
    <row r="143" spans="1:8" ht="16.2" customHeight="1" x14ac:dyDescent="0.25">
      <c r="A143" s="1923"/>
      <c r="B143" s="1582"/>
      <c r="C143" s="1311" t="str">
        <f>T!C34</f>
        <v>50 to &lt;100 ft.</v>
      </c>
      <c r="D143" s="47">
        <f>T!D34</f>
        <v>0</v>
      </c>
      <c r="E143" s="1386">
        <v>3</v>
      </c>
      <c r="F143" s="45">
        <f t="shared" si="6"/>
        <v>0</v>
      </c>
      <c r="G143" s="1389"/>
      <c r="H143" s="1947"/>
    </row>
    <row r="144" spans="1:8" ht="16.2" customHeight="1" x14ac:dyDescent="0.25">
      <c r="A144" s="1923"/>
      <c r="B144" s="1582"/>
      <c r="C144" s="1311" t="str">
        <f>T!C35</f>
        <v>100 to 300 ft.</v>
      </c>
      <c r="D144" s="47">
        <f>T!D35</f>
        <v>0</v>
      </c>
      <c r="E144" s="1386">
        <v>4</v>
      </c>
      <c r="F144" s="45">
        <f t="shared" si="6"/>
        <v>0</v>
      </c>
      <c r="G144" s="1389"/>
      <c r="H144" s="1947"/>
    </row>
    <row r="145" spans="1:8" ht="16.2" customHeight="1" thickBot="1" x14ac:dyDescent="0.3">
      <c r="A145" s="1924"/>
      <c r="B145" s="1582"/>
      <c r="C145" s="1307" t="str">
        <f>T!C36</f>
        <v>&gt; 300 ft.</v>
      </c>
      <c r="D145" s="80">
        <f>T!D36</f>
        <v>0</v>
      </c>
      <c r="E145" s="1390">
        <v>5</v>
      </c>
      <c r="F145" s="54">
        <f t="shared" si="6"/>
        <v>0</v>
      </c>
      <c r="G145" s="1168"/>
      <c r="H145" s="1947"/>
    </row>
    <row r="146" spans="1:8" ht="30" customHeight="1" thickBot="1" x14ac:dyDescent="0.3">
      <c r="A146" s="1922" t="str">
        <f>T!A96</f>
        <v>T17</v>
      </c>
      <c r="B146" s="1599" t="str">
        <f>T!B96</f>
        <v>Vegetation Forms Significantly Present (VegformsT)</v>
      </c>
      <c r="C146" s="114" t="str">
        <f>T!C96</f>
        <v>The living vegetation forms that comprise &gt;5% of the AA's vegetative cover in late summer is: Select all that appy.</v>
      </c>
      <c r="D146" s="1080"/>
      <c r="E146" s="1391"/>
      <c r="F146" s="192"/>
      <c r="G146" s="857">
        <f>MAX(F147:F151)/MAX(E147:E151)</f>
        <v>0</v>
      </c>
      <c r="H146" s="1522" t="s">
        <v>683</v>
      </c>
    </row>
    <row r="147" spans="1:8" ht="16.2" customHeight="1" x14ac:dyDescent="0.25">
      <c r="A147" s="1923"/>
      <c r="B147" s="1582"/>
      <c r="C147" s="1310" t="str">
        <f>T!C97</f>
        <v>Macroalgae (seaweed).</v>
      </c>
      <c r="D147" s="47">
        <f>T!D97</f>
        <v>0</v>
      </c>
      <c r="E147" s="1386">
        <v>1</v>
      </c>
      <c r="F147" s="45">
        <f t="shared" si="6"/>
        <v>0</v>
      </c>
      <c r="G147" s="1388"/>
      <c r="H147" s="1521"/>
    </row>
    <row r="148" spans="1:8" ht="16.2" customHeight="1" x14ac:dyDescent="0.25">
      <c r="A148" s="1923"/>
      <c r="B148" s="1582"/>
      <c r="C148" s="1311" t="str">
        <f>T!C98</f>
        <v>Eelgrass.</v>
      </c>
      <c r="D148" s="47">
        <f>T!D98</f>
        <v>0</v>
      </c>
      <c r="E148" s="1386">
        <v>1</v>
      </c>
      <c r="F148" s="45">
        <f t="shared" si="6"/>
        <v>0</v>
      </c>
      <c r="G148" s="1389"/>
      <c r="H148" s="1521"/>
    </row>
    <row r="149" spans="1:8" ht="16.2" customHeight="1" x14ac:dyDescent="0.25">
      <c r="A149" s="1923"/>
      <c r="B149" s="1582"/>
      <c r="C149" s="1311" t="str">
        <f>T!C99</f>
        <v>Graminoids (other than eelgrass).</v>
      </c>
      <c r="D149" s="47">
        <f>T!D99</f>
        <v>0</v>
      </c>
      <c r="E149" s="1386">
        <v>4</v>
      </c>
      <c r="F149" s="45">
        <f t="shared" si="6"/>
        <v>0</v>
      </c>
      <c r="G149" s="1389"/>
      <c r="H149" s="1521"/>
    </row>
    <row r="150" spans="1:8" ht="16.2" customHeight="1" x14ac:dyDescent="0.25">
      <c r="A150" s="1923"/>
      <c r="B150" s="1582"/>
      <c r="C150" s="1311" t="str">
        <f>T!C100</f>
        <v>Forbs.</v>
      </c>
      <c r="D150" s="47">
        <f>T!D100</f>
        <v>0</v>
      </c>
      <c r="E150" s="1386">
        <v>4</v>
      </c>
      <c r="F150" s="45">
        <f t="shared" si="6"/>
        <v>0</v>
      </c>
      <c r="G150" s="1389"/>
      <c r="H150" s="1521"/>
    </row>
    <row r="151" spans="1:8" ht="16.2" customHeight="1" thickBot="1" x14ac:dyDescent="0.3">
      <c r="A151" s="1924"/>
      <c r="B151" s="1600"/>
      <c r="C151" s="1308" t="str">
        <f>T!C101</f>
        <v>Shrubs and/or trees.</v>
      </c>
      <c r="D151" s="242">
        <f>T!D101</f>
        <v>0</v>
      </c>
      <c r="E151" s="1394">
        <v>5</v>
      </c>
      <c r="F151" s="193">
        <f t="shared" si="6"/>
        <v>0</v>
      </c>
      <c r="G151" s="909"/>
      <c r="H151" s="1523"/>
    </row>
    <row r="152" spans="1:8" ht="32.25" customHeight="1" thickBot="1" x14ac:dyDescent="0.3">
      <c r="A152" s="1922" t="str">
        <f>T!A102</f>
        <v>T18</v>
      </c>
      <c r="B152" s="1582" t="str">
        <f>T!B102</f>
        <v>Vegetation Form- Predominant (VegFormDomT)</v>
      </c>
      <c r="C152" s="727" t="str">
        <f>T!C102</f>
        <v>The living vegetation form that occupies the largest part of the AA's vegetative cover in late summer is:</v>
      </c>
      <c r="D152" s="1395"/>
      <c r="E152" s="1396"/>
      <c r="F152" s="1396"/>
      <c r="G152" s="857">
        <f>MAX(F153:F157)/MAX(E153:E157)</f>
        <v>0</v>
      </c>
      <c r="H152" s="1521" t="s">
        <v>124</v>
      </c>
    </row>
    <row r="153" spans="1:8" ht="16.2" customHeight="1" x14ac:dyDescent="0.25">
      <c r="A153" s="1923"/>
      <c r="B153" s="1582"/>
      <c r="C153" s="1310" t="str">
        <f>T!C103</f>
        <v>Macroalgae (seaweed).</v>
      </c>
      <c r="D153" s="47">
        <f>T!D103</f>
        <v>0</v>
      </c>
      <c r="E153" s="1398">
        <v>0</v>
      </c>
      <c r="F153" s="45">
        <f t="shared" si="6"/>
        <v>0</v>
      </c>
      <c r="G153" s="1388"/>
      <c r="H153" s="1521"/>
    </row>
    <row r="154" spans="1:8" ht="16.2" customHeight="1" x14ac:dyDescent="0.25">
      <c r="A154" s="1923"/>
      <c r="B154" s="1582"/>
      <c r="C154" s="1311" t="str">
        <f>T!C104</f>
        <v>Eelgrass.</v>
      </c>
      <c r="D154" s="47">
        <f>T!D104</f>
        <v>0</v>
      </c>
      <c r="E154" s="1398">
        <v>1</v>
      </c>
      <c r="F154" s="45">
        <f t="shared" si="6"/>
        <v>0</v>
      </c>
      <c r="G154" s="1389"/>
      <c r="H154" s="1521"/>
    </row>
    <row r="155" spans="1:8" ht="16.2" customHeight="1" x14ac:dyDescent="0.25">
      <c r="A155" s="1923"/>
      <c r="B155" s="1582"/>
      <c r="C155" s="1311" t="str">
        <f>T!C105</f>
        <v>Graminoids (other than eelgrass).</v>
      </c>
      <c r="D155" s="47">
        <f>T!D105</f>
        <v>0</v>
      </c>
      <c r="E155" s="1398">
        <v>4</v>
      </c>
      <c r="F155" s="45">
        <f t="shared" si="6"/>
        <v>0</v>
      </c>
      <c r="G155" s="1389"/>
      <c r="H155" s="1521"/>
    </row>
    <row r="156" spans="1:8" ht="16.2" customHeight="1" x14ac:dyDescent="0.25">
      <c r="A156" s="1923"/>
      <c r="B156" s="1582"/>
      <c r="C156" s="1311" t="str">
        <f>T!C106</f>
        <v>Forbs.</v>
      </c>
      <c r="D156" s="47">
        <f>T!D106</f>
        <v>0</v>
      </c>
      <c r="E156" s="1398">
        <v>4</v>
      </c>
      <c r="F156" s="45">
        <f t="shared" si="6"/>
        <v>0</v>
      </c>
      <c r="G156" s="1389"/>
      <c r="H156" s="1521"/>
    </row>
    <row r="157" spans="1:8" ht="16.2" customHeight="1" thickBot="1" x14ac:dyDescent="0.3">
      <c r="A157" s="1924"/>
      <c r="B157" s="1582"/>
      <c r="C157" s="1307" t="str">
        <f>T!C107</f>
        <v>Shrubs and/or trees.</v>
      </c>
      <c r="D157" s="80">
        <f>T!D107</f>
        <v>0</v>
      </c>
      <c r="E157" s="1398">
        <v>4</v>
      </c>
      <c r="F157" s="54">
        <f t="shared" si="6"/>
        <v>0</v>
      </c>
      <c r="G157" s="1168"/>
      <c r="H157" s="1521"/>
    </row>
    <row r="158" spans="1:8" ht="21" customHeight="1" thickBot="1" x14ac:dyDescent="0.3">
      <c r="A158" s="1922" t="str">
        <f>T!A180</f>
        <v>T32</v>
      </c>
      <c r="B158" s="1599" t="str">
        <f>T!B180</f>
        <v>Bare Ground &amp; Accumulated Plant Litter (GcoverT)</v>
      </c>
      <c r="C158" s="4" t="str">
        <f>T!C180</f>
        <v>Viewed from 6 inches above the soil surface, the condition in most of the tidal wetland is:</v>
      </c>
      <c r="D158" s="1080"/>
      <c r="E158" s="1391"/>
      <c r="F158" s="1391"/>
      <c r="G158" s="857">
        <f>IF((D163=1),"",MAX(F159:F163)/MAX(E159:E163))</f>
        <v>0</v>
      </c>
      <c r="H158" s="1522" t="s">
        <v>684</v>
      </c>
    </row>
    <row r="159" spans="1:8" ht="56.25" customHeight="1" x14ac:dyDescent="0.25">
      <c r="A159" s="1923"/>
      <c r="B159" s="1582"/>
      <c r="C159" s="236"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159" s="1304">
        <f>T!D181</f>
        <v>0</v>
      </c>
      <c r="E159" s="1386">
        <v>4</v>
      </c>
      <c r="F159" s="45">
        <f t="shared" si="6"/>
        <v>0</v>
      </c>
      <c r="G159" s="1388"/>
      <c r="H159" s="1521"/>
    </row>
    <row r="160" spans="1:8" ht="27" customHeight="1" x14ac:dyDescent="0.25">
      <c r="A160" s="1923"/>
      <c r="B160" s="1582"/>
      <c r="C160" s="237" t="str">
        <f>T!C182</f>
        <v>Some (5-20%) bare ground or remaining thatch is visible.  Herbaceous plants have moderate stem densities and do not closely hug the ground.</v>
      </c>
      <c r="D160" s="1081">
        <f>T!D182</f>
        <v>0</v>
      </c>
      <c r="E160" s="1386">
        <v>3</v>
      </c>
      <c r="F160" s="45">
        <f t="shared" si="6"/>
        <v>0</v>
      </c>
      <c r="G160" s="1389"/>
      <c r="H160" s="1521"/>
    </row>
    <row r="161" spans="1:8" ht="27" customHeight="1" x14ac:dyDescent="0.25">
      <c r="A161" s="1923"/>
      <c r="B161" s="1582"/>
      <c r="C161" s="237" t="str">
        <f>T!C183</f>
        <v>Much (20-50%) bare ground or thatch is visible.  Low stem density and/or tall plants with little living ground cover during early growing season.</v>
      </c>
      <c r="D161" s="1081">
        <f>T!D183</f>
        <v>0</v>
      </c>
      <c r="E161" s="1386">
        <v>2</v>
      </c>
      <c r="F161" s="45">
        <f t="shared" si="6"/>
        <v>0</v>
      </c>
      <c r="G161" s="1389"/>
      <c r="H161" s="1521"/>
    </row>
    <row r="162" spans="1:8" ht="16.2" customHeight="1" x14ac:dyDescent="0.25">
      <c r="A162" s="1923"/>
      <c r="B162" s="1582"/>
      <c r="C162" s="237" t="str">
        <f>T!C184</f>
        <v>Mostly (&gt;50%) bare ground or thatch.</v>
      </c>
      <c r="D162" s="1081">
        <f>T!D184</f>
        <v>0</v>
      </c>
      <c r="E162" s="1386">
        <v>1</v>
      </c>
      <c r="F162" s="45">
        <f t="shared" si="6"/>
        <v>0</v>
      </c>
      <c r="G162" s="1389"/>
      <c r="H162" s="1521"/>
    </row>
    <row r="163" spans="1:8" ht="16.2" customHeight="1" thickBot="1" x14ac:dyDescent="0.3">
      <c r="A163" s="1924"/>
      <c r="B163" s="1600"/>
      <c r="C163" s="212" t="str">
        <f>T!C185</f>
        <v>Not applicable.  Nearly all of the AA remains inundated even at daily low tide.</v>
      </c>
      <c r="D163" s="213">
        <f>T!D185</f>
        <v>0</v>
      </c>
      <c r="E163" s="1394"/>
      <c r="F163" s="193"/>
      <c r="G163" s="909"/>
      <c r="H163" s="1523"/>
    </row>
    <row r="164" spans="1:8" ht="30" customHeight="1" thickBot="1" x14ac:dyDescent="0.3">
      <c r="A164" s="1922" t="str">
        <f>T!A190</f>
        <v>T34</v>
      </c>
      <c r="B164" s="1582" t="str">
        <f>T!B190</f>
        <v>Soil Composition (SoilTexT)</v>
      </c>
      <c r="C164" s="714" t="str">
        <f>T!C190</f>
        <v>Based on at least three pits you dig at points about equidistant across the AA, the composition of  the surface layer of the soil (2" depth) (but excluding the duff layer) is mostly:</v>
      </c>
      <c r="D164" s="1395"/>
      <c r="E164" s="1396"/>
      <c r="F164" s="1396"/>
      <c r="G164" s="857">
        <f>MAX(F165:F168)/MAX(E165:E168)</f>
        <v>0</v>
      </c>
      <c r="H164" s="1521" t="s">
        <v>755</v>
      </c>
    </row>
    <row r="165" spans="1:8" ht="16.2" customHeight="1" x14ac:dyDescent="0.25">
      <c r="A165" s="1923"/>
      <c r="B165" s="1582"/>
      <c r="C165" s="236" t="str">
        <f>T!C191</f>
        <v>Loamy: includes silt, silt loam, loam, sandy loam.</v>
      </c>
      <c r="D165" s="47">
        <f>T!D191</f>
        <v>0</v>
      </c>
      <c r="E165" s="45">
        <v>2</v>
      </c>
      <c r="F165" s="45">
        <f t="shared" si="6"/>
        <v>0</v>
      </c>
      <c r="G165" s="1388"/>
      <c r="H165" s="1521"/>
    </row>
    <row r="166" spans="1:8" ht="16.2" customHeight="1" x14ac:dyDescent="0.25">
      <c r="A166" s="1923"/>
      <c r="B166" s="1582"/>
      <c r="C166" s="237" t="str">
        <f>T!C192</f>
        <v>Clayey: includes clay, clay loam, silty clay, silty clay loam, sandy clay, sandy clay loam.</v>
      </c>
      <c r="D166" s="47">
        <f>T!D192</f>
        <v>0</v>
      </c>
      <c r="E166" s="45">
        <v>3</v>
      </c>
      <c r="F166" s="45">
        <f t="shared" si="6"/>
        <v>0</v>
      </c>
      <c r="G166" s="1389"/>
      <c r="H166" s="1521"/>
    </row>
    <row r="167" spans="1:8" ht="27" customHeight="1" x14ac:dyDescent="0.25">
      <c r="A167" s="1923"/>
      <c r="B167" s="1582"/>
      <c r="C167" s="237" t="str">
        <f>T!C193</f>
        <v>Organic: includes muck, mucky peat, peat, and mucky mineral soils (blackish or grayish).  Exclude live roots unless they are moss.</v>
      </c>
      <c r="D167" s="47">
        <f>T!D193</f>
        <v>0</v>
      </c>
      <c r="E167" s="45">
        <v>4</v>
      </c>
      <c r="F167" s="45">
        <f t="shared" si="6"/>
        <v>0</v>
      </c>
      <c r="G167" s="1389"/>
      <c r="H167" s="1521"/>
    </row>
    <row r="168" spans="1:8" ht="32.25" customHeight="1" thickBot="1" x14ac:dyDescent="0.3">
      <c r="A168" s="1924"/>
      <c r="B168" s="1582"/>
      <c r="C168" s="1275" t="str">
        <f>T!C194</f>
        <v>Coarse: includes sand, loamy sand, gravel, cobble, stones, boulders, fluvents, fluvaquents, riverwash.</v>
      </c>
      <c r="D168" s="80">
        <f>T!D194</f>
        <v>0</v>
      </c>
      <c r="E168" s="45">
        <v>1</v>
      </c>
      <c r="F168" s="54">
        <f t="shared" si="6"/>
        <v>0</v>
      </c>
      <c r="G168" s="1168"/>
      <c r="H168" s="1521"/>
    </row>
    <row r="169" spans="1:8" ht="45" customHeight="1" thickBot="1" x14ac:dyDescent="0.3">
      <c r="A169" s="1922" t="str">
        <f>T!A195</f>
        <v>T35</v>
      </c>
      <c r="B169" s="1599" t="str">
        <f>T!B195</f>
        <v>Restored Wetland (RestoredT)</v>
      </c>
      <c r="C169" s="4" t="str">
        <f>T!C195</f>
        <v xml:space="preserve">The AA was originally a wetland (tidal or nontidal), was artificially drained for many years (and was not a nontidal wetland during that time), and has since had its water regime partly or wholly restored or rehabilitated (e.g., by ditch plugs, berms, tile breakage, non-maintenance).   </v>
      </c>
      <c r="D169" s="1080"/>
      <c r="E169" s="1391"/>
      <c r="F169" s="1391"/>
      <c r="G169" s="857">
        <f>IF((D175=1),"",MAX(F170:F174)/MAX(E170:E174))</f>
        <v>0</v>
      </c>
      <c r="H169" s="1522" t="s">
        <v>1130</v>
      </c>
    </row>
    <row r="170" spans="1:8" ht="16.2" customHeight="1" x14ac:dyDescent="0.25">
      <c r="A170" s="1923"/>
      <c r="B170" s="1582"/>
      <c r="C170" s="236" t="str">
        <f>T!C196</f>
        <v>Yes, and time of restoration unknown.</v>
      </c>
      <c r="D170" s="47">
        <f>T!D196</f>
        <v>0</v>
      </c>
      <c r="E170" s="1386">
        <v>2</v>
      </c>
      <c r="F170" s="45">
        <f t="shared" si="6"/>
        <v>0</v>
      </c>
      <c r="G170" s="1388"/>
      <c r="H170" s="1521"/>
    </row>
    <row r="171" spans="1:8" ht="16.2" customHeight="1" x14ac:dyDescent="0.25">
      <c r="A171" s="1923"/>
      <c r="B171" s="1582"/>
      <c r="C171" s="237" t="str">
        <f>T!C197</f>
        <v>Yes, and restored within last 3 years.</v>
      </c>
      <c r="D171" s="47">
        <f>T!D197</f>
        <v>0</v>
      </c>
      <c r="E171" s="1386">
        <v>0</v>
      </c>
      <c r="F171" s="45">
        <f t="shared" si="6"/>
        <v>0</v>
      </c>
      <c r="G171" s="1389"/>
      <c r="H171" s="1521"/>
    </row>
    <row r="172" spans="1:8" ht="16.2" customHeight="1" x14ac:dyDescent="0.25">
      <c r="A172" s="1923"/>
      <c r="B172" s="1582"/>
      <c r="C172" s="237" t="str">
        <f>T!C198</f>
        <v>Yes, and restored 3-7 years ago.</v>
      </c>
      <c r="D172" s="47">
        <f>T!D198</f>
        <v>0</v>
      </c>
      <c r="E172" s="1386">
        <v>1</v>
      </c>
      <c r="F172" s="45">
        <f t="shared" si="6"/>
        <v>0</v>
      </c>
      <c r="G172" s="1389"/>
      <c r="H172" s="1521"/>
    </row>
    <row r="173" spans="1:8" ht="16.2" customHeight="1" x14ac:dyDescent="0.25">
      <c r="A173" s="1923"/>
      <c r="B173" s="1582"/>
      <c r="C173" s="237" t="str">
        <f>T!C199</f>
        <v>Yes, and restored more than 7 years ago.</v>
      </c>
      <c r="D173" s="47">
        <f>T!D199</f>
        <v>0</v>
      </c>
      <c r="E173" s="1386">
        <v>2</v>
      </c>
      <c r="F173" s="45">
        <f t="shared" si="6"/>
        <v>0</v>
      </c>
      <c r="G173" s="1389"/>
      <c r="H173" s="1521"/>
    </row>
    <row r="174" spans="1:8" ht="16.2" customHeight="1" x14ac:dyDescent="0.25">
      <c r="A174" s="1923"/>
      <c r="B174" s="1582"/>
      <c r="C174" s="237" t="str">
        <f>T!C200</f>
        <v>No.</v>
      </c>
      <c r="D174" s="47">
        <f>T!D200</f>
        <v>0</v>
      </c>
      <c r="E174" s="1386">
        <v>4</v>
      </c>
      <c r="F174" s="45">
        <f t="shared" si="6"/>
        <v>0</v>
      </c>
      <c r="G174" s="1389"/>
      <c r="H174" s="1521"/>
    </row>
    <row r="175" spans="1:8" ht="16.2" customHeight="1" thickBot="1" x14ac:dyDescent="0.3">
      <c r="A175" s="1924"/>
      <c r="B175" s="1600"/>
      <c r="C175" s="212" t="str">
        <f>T!C201</f>
        <v>Unknown if wetland is restored, created, or naturally occurring.</v>
      </c>
      <c r="D175" s="242">
        <f>T!D201</f>
        <v>0</v>
      </c>
      <c r="E175" s="1394"/>
      <c r="F175" s="193"/>
      <c r="G175" s="909"/>
      <c r="H175" s="1523"/>
    </row>
    <row r="176" spans="1:8" ht="21" customHeight="1" thickBot="1" x14ac:dyDescent="0.3">
      <c r="G176" s="15"/>
      <c r="H176" s="1399"/>
    </row>
    <row r="177" spans="3:10" ht="30" customHeight="1" x14ac:dyDescent="0.25">
      <c r="C177" s="1834" t="s">
        <v>610</v>
      </c>
      <c r="D177" s="2135" t="s">
        <v>240</v>
      </c>
      <c r="E177" s="2148"/>
      <c r="F177" s="2149"/>
      <c r="G177" s="897">
        <f>IF((NotNewWet=1),AVERAGE(Moss6,SoilTex6,SoilDisturb6, AVERAGE(_GDD6,WoodyPct6,WidthWet6, Constric6)),NewWet6)</f>
        <v>0</v>
      </c>
      <c r="H177" s="1375" t="s">
        <v>1193</v>
      </c>
    </row>
    <row r="178" spans="3:10" ht="18.75" customHeight="1" x14ac:dyDescent="0.25">
      <c r="C178" s="1962"/>
      <c r="D178" s="2129" t="s">
        <v>161</v>
      </c>
      <c r="E178" s="2154"/>
      <c r="F178" s="2154"/>
      <c r="G178" s="2155"/>
      <c r="H178" s="1400"/>
    </row>
    <row r="179" spans="3:10" ht="18.75" customHeight="1" x14ac:dyDescent="0.25">
      <c r="C179" s="1962"/>
      <c r="D179" s="2150" t="s">
        <v>207</v>
      </c>
      <c r="E179" s="2151"/>
      <c r="F179" s="2151"/>
      <c r="G179" s="898">
        <f xml:space="preserve"> AVERAGE(1-_GDD6,Groundw6)</f>
        <v>0.5</v>
      </c>
      <c r="H179" s="934" t="s">
        <v>1192</v>
      </c>
    </row>
    <row r="180" spans="3:10" ht="17.399999999999999" customHeight="1" x14ac:dyDescent="0.25">
      <c r="C180" s="1962"/>
      <c r="D180" s="2150" t="s">
        <v>244</v>
      </c>
      <c r="E180" s="2151"/>
      <c r="F180" s="2151"/>
      <c r="G180" s="898">
        <f>IFERROR(AVERAGE(WidthWet6,AVERAGE(Gcover6,MAX(WoodyPct6,EmPct6),DepthDom6)),"")</f>
        <v>0</v>
      </c>
      <c r="H180" s="190" t="s">
        <v>663</v>
      </c>
    </row>
    <row r="181" spans="3:10" ht="16.2" customHeight="1" x14ac:dyDescent="0.25">
      <c r="C181" s="1962"/>
      <c r="D181" s="2150" t="s">
        <v>1477</v>
      </c>
      <c r="E181" s="2151"/>
      <c r="F181" s="2151"/>
      <c r="G181" s="898">
        <f>AVERAGE(SeasPct6, Fluctu6)</f>
        <v>0</v>
      </c>
      <c r="H181" s="190" t="s">
        <v>1194</v>
      </c>
    </row>
    <row r="182" spans="3:10" ht="17.25" customHeight="1" x14ac:dyDescent="0.25">
      <c r="C182" s="1962"/>
      <c r="D182" s="2129" t="s">
        <v>1476</v>
      </c>
      <c r="E182" s="2152"/>
      <c r="F182" s="2153"/>
      <c r="G182" s="898">
        <f>AVERAGE(OutDura6,AVERAGE(Gradient6,Constric6,PondWpctWet6))</f>
        <v>0</v>
      </c>
      <c r="H182" s="1239" t="s">
        <v>821</v>
      </c>
    </row>
    <row r="183" spans="3:10" ht="18.75" customHeight="1" thickBot="1" x14ac:dyDescent="0.3">
      <c r="C183" s="1962"/>
      <c r="D183" s="2132" t="s">
        <v>239</v>
      </c>
      <c r="E183" s="2146"/>
      <c r="F183" s="2147"/>
      <c r="G183" s="899">
        <f>IF((NeverWater=1),0,AVERAGE(Salin6,TreeDiams6,Moss6,PermW6))</f>
        <v>0</v>
      </c>
      <c r="H183" s="1020" t="s">
        <v>1206</v>
      </c>
    </row>
    <row r="184" spans="3:10" ht="30" customHeight="1" thickBot="1" x14ac:dyDescent="0.3">
      <c r="C184" s="2037"/>
      <c r="D184" s="2144" t="s">
        <v>614</v>
      </c>
      <c r="E184" s="2145"/>
      <c r="F184" s="2145"/>
      <c r="G184" s="1341">
        <f>AVERAGE(SoilTexT6,(VegformsT6 + 2*VegFormDomT6)/3, MAX(EstPosT6,SalinT6), AVERAGE(WidthHiT6,WidthLoT6,LowMarshT6,GcoverT6),RestoredT6)</f>
        <v>0</v>
      </c>
      <c r="H184" s="1286" t="s">
        <v>1197</v>
      </c>
      <c r="I184" s="5"/>
      <c r="J184" s="2" t="s">
        <v>608</v>
      </c>
    </row>
    <row r="185" spans="3:10" ht="33" customHeight="1" thickBot="1" x14ac:dyDescent="0.3">
      <c r="C185" s="1807" t="s">
        <v>95</v>
      </c>
      <c r="D185" s="1808"/>
      <c r="E185" s="1809"/>
      <c r="F185" s="983" t="s">
        <v>6</v>
      </c>
      <c r="G185" s="901">
        <f>10*(IF((Tidal=1),TidalScoreCS,((MAX(HistAccum6,PhysAccum5)+AVERAGE(Warmth6,PlantCov5,NutrAvail5)+2*MethLimit5)/4)))</f>
        <v>0.41666666666666663</v>
      </c>
      <c r="H185" s="251" t="s">
        <v>1399</v>
      </c>
      <c r="I185" s="5"/>
    </row>
    <row r="186" spans="3:10" ht="33" customHeight="1" thickBot="1" x14ac:dyDescent="0.3">
      <c r="C186" s="2158" t="s">
        <v>96</v>
      </c>
      <c r="D186" s="2159"/>
      <c r="E186" s="2160"/>
      <c r="F186" s="1401" t="s">
        <v>7</v>
      </c>
      <c r="G186" s="1403"/>
      <c r="H186" s="1402" t="s">
        <v>600</v>
      </c>
      <c r="I186" s="5"/>
    </row>
    <row r="187" spans="3:10" ht="21" customHeight="1" thickBot="1" x14ac:dyDescent="0.3"/>
    <row r="188" spans="3:10" ht="21" customHeight="1" thickBot="1" x14ac:dyDescent="0.3">
      <c r="H188" s="234" t="s">
        <v>859</v>
      </c>
    </row>
    <row r="189" spans="3:10" ht="27" customHeight="1" x14ac:dyDescent="0.25">
      <c r="H189" s="724" t="s">
        <v>961</v>
      </c>
    </row>
    <row r="190" spans="3:10" ht="27" customHeight="1" x14ac:dyDescent="0.25">
      <c r="H190" s="725" t="s">
        <v>962</v>
      </c>
    </row>
    <row r="191" spans="3:10" ht="42" customHeight="1" x14ac:dyDescent="0.25">
      <c r="H191" s="716" t="s">
        <v>963</v>
      </c>
    </row>
    <row r="192" spans="3:10" ht="27" customHeight="1" x14ac:dyDescent="0.25">
      <c r="H192" s="725" t="s">
        <v>964</v>
      </c>
    </row>
    <row r="193" spans="8:8" ht="27" customHeight="1" x14ac:dyDescent="0.25">
      <c r="H193" s="716" t="s">
        <v>965</v>
      </c>
    </row>
    <row r="194" spans="8:8" ht="27" customHeight="1" x14ac:dyDescent="0.25">
      <c r="H194" s="716" t="s">
        <v>966</v>
      </c>
    </row>
    <row r="195" spans="8:8" ht="27" customHeight="1" x14ac:dyDescent="0.25">
      <c r="H195" s="716" t="s">
        <v>967</v>
      </c>
    </row>
    <row r="196" spans="8:8" ht="27" customHeight="1" x14ac:dyDescent="0.25">
      <c r="H196" s="716" t="s">
        <v>968</v>
      </c>
    </row>
    <row r="197" spans="8:8" ht="27" customHeight="1" x14ac:dyDescent="0.25">
      <c r="H197" s="725" t="s">
        <v>969</v>
      </c>
    </row>
    <row r="198" spans="8:8" ht="27" customHeight="1" x14ac:dyDescent="0.25">
      <c r="H198" s="725" t="s">
        <v>1297</v>
      </c>
    </row>
    <row r="199" spans="8:8" ht="27" customHeight="1" x14ac:dyDescent="0.25">
      <c r="H199" s="716" t="s">
        <v>970</v>
      </c>
    </row>
    <row r="200" spans="8:8" ht="42" customHeight="1" x14ac:dyDescent="0.25">
      <c r="H200" s="716" t="s">
        <v>971</v>
      </c>
    </row>
    <row r="201" spans="8:8" ht="57" customHeight="1" x14ac:dyDescent="0.25">
      <c r="H201" s="716" t="s">
        <v>972</v>
      </c>
    </row>
    <row r="202" spans="8:8" ht="27" customHeight="1" x14ac:dyDescent="0.25">
      <c r="H202" s="725" t="s">
        <v>973</v>
      </c>
    </row>
    <row r="203" spans="8:8" ht="42" customHeight="1" x14ac:dyDescent="0.25">
      <c r="H203" s="725" t="s">
        <v>974</v>
      </c>
    </row>
    <row r="204" spans="8:8" ht="57" customHeight="1" x14ac:dyDescent="0.25">
      <c r="H204" s="725" t="s">
        <v>975</v>
      </c>
    </row>
    <row r="205" spans="8:8" ht="27" customHeight="1" x14ac:dyDescent="0.25">
      <c r="H205" s="716" t="s">
        <v>976</v>
      </c>
    </row>
    <row r="206" spans="8:8" ht="27" customHeight="1" x14ac:dyDescent="0.25">
      <c r="H206" s="716" t="s">
        <v>977</v>
      </c>
    </row>
    <row r="207" spans="8:8" ht="27" customHeight="1" x14ac:dyDescent="0.25">
      <c r="H207" s="725" t="s">
        <v>1298</v>
      </c>
    </row>
    <row r="208" spans="8:8" ht="27" customHeight="1" x14ac:dyDescent="0.25">
      <c r="H208" s="716" t="s">
        <v>978</v>
      </c>
    </row>
    <row r="209" spans="8:8" ht="27" customHeight="1" x14ac:dyDescent="0.25">
      <c r="H209" s="725" t="s">
        <v>979</v>
      </c>
    </row>
    <row r="210" spans="8:8" ht="42" customHeight="1" x14ac:dyDescent="0.25">
      <c r="H210" s="716" t="s">
        <v>980</v>
      </c>
    </row>
    <row r="211" spans="8:8" ht="42" customHeight="1" x14ac:dyDescent="0.25">
      <c r="H211" s="725" t="s">
        <v>981</v>
      </c>
    </row>
    <row r="212" spans="8:8" ht="27" customHeight="1" x14ac:dyDescent="0.25">
      <c r="H212" s="716" t="s">
        <v>982</v>
      </c>
    </row>
    <row r="213" spans="8:8" ht="27" customHeight="1" x14ac:dyDescent="0.25">
      <c r="H213" s="725" t="s">
        <v>983</v>
      </c>
    </row>
    <row r="214" spans="8:8" ht="57" customHeight="1" x14ac:dyDescent="0.25">
      <c r="H214" s="716" t="s">
        <v>984</v>
      </c>
    </row>
    <row r="215" spans="8:8" ht="42" customHeight="1" x14ac:dyDescent="0.25">
      <c r="H215" s="716" t="s">
        <v>985</v>
      </c>
    </row>
    <row r="216" spans="8:8" ht="27" customHeight="1" x14ac:dyDescent="0.25">
      <c r="H216" s="716" t="s">
        <v>986</v>
      </c>
    </row>
    <row r="217" spans="8:8" ht="42" customHeight="1" x14ac:dyDescent="0.25">
      <c r="H217" s="725" t="s">
        <v>987</v>
      </c>
    </row>
    <row r="218" spans="8:8" ht="42" customHeight="1" x14ac:dyDescent="0.25">
      <c r="H218" s="725" t="s">
        <v>988</v>
      </c>
    </row>
    <row r="219" spans="8:8" ht="84" customHeight="1" x14ac:dyDescent="0.25">
      <c r="H219" s="725" t="s">
        <v>1299</v>
      </c>
    </row>
    <row r="220" spans="8:8" ht="27" customHeight="1" x14ac:dyDescent="0.25">
      <c r="H220" s="725" t="s">
        <v>989</v>
      </c>
    </row>
    <row r="221" spans="8:8" ht="27" customHeight="1" x14ac:dyDescent="0.25">
      <c r="H221" s="725" t="s">
        <v>990</v>
      </c>
    </row>
    <row r="222" spans="8:8" ht="42" customHeight="1" x14ac:dyDescent="0.25">
      <c r="H222" s="716" t="s">
        <v>991</v>
      </c>
    </row>
    <row r="223" spans="8:8" ht="27" customHeight="1" x14ac:dyDescent="0.25">
      <c r="H223" s="725" t="s">
        <v>992</v>
      </c>
    </row>
    <row r="224" spans="8:8" ht="27" customHeight="1" x14ac:dyDescent="0.25">
      <c r="H224" s="716" t="s">
        <v>993</v>
      </c>
    </row>
    <row r="225" spans="8:8" ht="27" customHeight="1" x14ac:dyDescent="0.25">
      <c r="H225" s="725" t="s">
        <v>1300</v>
      </c>
    </row>
    <row r="226" spans="8:8" ht="42" customHeight="1" x14ac:dyDescent="0.25">
      <c r="H226" s="725" t="s">
        <v>994</v>
      </c>
    </row>
    <row r="227" spans="8:8" ht="27" customHeight="1" x14ac:dyDescent="0.25">
      <c r="H227" s="716" t="s">
        <v>995</v>
      </c>
    </row>
    <row r="228" spans="8:8" ht="27" customHeight="1" x14ac:dyDescent="0.25">
      <c r="H228" s="725" t="s">
        <v>996</v>
      </c>
    </row>
    <row r="229" spans="8:8" ht="27" customHeight="1" x14ac:dyDescent="0.25">
      <c r="H229" s="716" t="s">
        <v>997</v>
      </c>
    </row>
    <row r="230" spans="8:8" ht="27" customHeight="1" x14ac:dyDescent="0.25">
      <c r="H230" s="716" t="s">
        <v>998</v>
      </c>
    </row>
    <row r="231" spans="8:8" ht="27" customHeight="1" x14ac:dyDescent="0.25">
      <c r="H231" s="725" t="s">
        <v>999</v>
      </c>
    </row>
    <row r="232" spans="8:8" ht="27" customHeight="1" x14ac:dyDescent="0.25">
      <c r="H232" s="716" t="s">
        <v>1000</v>
      </c>
    </row>
    <row r="233" spans="8:8" ht="27" customHeight="1" x14ac:dyDescent="0.25">
      <c r="H233" s="725" t="s">
        <v>1001</v>
      </c>
    </row>
    <row r="234" spans="8:8" ht="42" customHeight="1" x14ac:dyDescent="0.25">
      <c r="H234" s="725" t="s">
        <v>1002</v>
      </c>
    </row>
    <row r="235" spans="8:8" ht="27" customHeight="1" x14ac:dyDescent="0.25">
      <c r="H235" s="725" t="s">
        <v>1003</v>
      </c>
    </row>
    <row r="236" spans="8:8" ht="27" customHeight="1" x14ac:dyDescent="0.25">
      <c r="H236" s="725" t="s">
        <v>1004</v>
      </c>
    </row>
    <row r="237" spans="8:8" ht="27" customHeight="1" x14ac:dyDescent="0.25">
      <c r="H237" s="725" t="s">
        <v>1005</v>
      </c>
    </row>
    <row r="238" spans="8:8" ht="27" customHeight="1" x14ac:dyDescent="0.25">
      <c r="H238" s="716" t="s">
        <v>1006</v>
      </c>
    </row>
    <row r="239" spans="8:8" ht="27" customHeight="1" x14ac:dyDescent="0.25">
      <c r="H239" s="716" t="s">
        <v>1007</v>
      </c>
    </row>
    <row r="240" spans="8:8" ht="27" customHeight="1" x14ac:dyDescent="0.25">
      <c r="H240" s="716" t="s">
        <v>1008</v>
      </c>
    </row>
    <row r="241" spans="8:8" ht="27" customHeight="1" x14ac:dyDescent="0.25">
      <c r="H241" s="725" t="s">
        <v>1009</v>
      </c>
    </row>
    <row r="242" spans="8:8" ht="27" customHeight="1" x14ac:dyDescent="0.25">
      <c r="H242" s="716" t="s">
        <v>1010</v>
      </c>
    </row>
    <row r="243" spans="8:8" ht="42" customHeight="1" thickBot="1" x14ac:dyDescent="0.3">
      <c r="H243" s="717" t="s">
        <v>1011</v>
      </c>
    </row>
  </sheetData>
  <sheetProtection password="C74A" sheet="1" objects="1" scenarios="1" formatCells="0" formatColumns="0" formatRows="0"/>
  <customSheetViews>
    <customSheetView guid="{B8E02330-2419-4DE6-AD01-7ACC7A5D18DD}" scale="75" topLeftCell="A88">
      <selection activeCell="C98" sqref="C98"/>
      <pageMargins left="0.75" right="0.75" top="1" bottom="1" header="0.5" footer="0.5"/>
      <pageSetup orientation="portrait" r:id="rId1"/>
      <headerFooter alignWithMargins="0"/>
    </customSheetView>
  </customSheetViews>
  <mergeCells count="97">
    <mergeCell ref="C185:E185"/>
    <mergeCell ref="C186:E186"/>
    <mergeCell ref="A42:A47"/>
    <mergeCell ref="B42:B47"/>
    <mergeCell ref="H42:H47"/>
    <mergeCell ref="A48:A53"/>
    <mergeCell ref="B48:B53"/>
    <mergeCell ref="H48:H53"/>
    <mergeCell ref="A54:A58"/>
    <mergeCell ref="H169:H175"/>
    <mergeCell ref="B158:B163"/>
    <mergeCell ref="H152:H157"/>
    <mergeCell ref="H158:H163"/>
    <mergeCell ref="H164:H168"/>
    <mergeCell ref="H146:H151"/>
    <mergeCell ref="B164:B168"/>
    <mergeCell ref="E1:H1"/>
    <mergeCell ref="H132:H138"/>
    <mergeCell ref="B64:B67"/>
    <mergeCell ref="A124:A131"/>
    <mergeCell ref="A28:A34"/>
    <mergeCell ref="H59:H63"/>
    <mergeCell ref="H35:H41"/>
    <mergeCell ref="H28:H34"/>
    <mergeCell ref="H85:H93"/>
    <mergeCell ref="H73:H77"/>
    <mergeCell ref="A114:A117"/>
    <mergeCell ref="A118:A123"/>
    <mergeCell ref="B94:B99"/>
    <mergeCell ref="H124:H131"/>
    <mergeCell ref="B114:B117"/>
    <mergeCell ref="B118:B123"/>
    <mergeCell ref="H139:H145"/>
    <mergeCell ref="H3:H10"/>
    <mergeCell ref="H79:H84"/>
    <mergeCell ref="H16:H21"/>
    <mergeCell ref="H22:H27"/>
    <mergeCell ref="H64:H67"/>
    <mergeCell ref="H68:H72"/>
    <mergeCell ref="H11:H15"/>
    <mergeCell ref="H54:H58"/>
    <mergeCell ref="H94:H99"/>
    <mergeCell ref="H114:H117"/>
    <mergeCell ref="H100:H104"/>
    <mergeCell ref="H118:H123"/>
    <mergeCell ref="H105:H111"/>
    <mergeCell ref="A100:A104"/>
    <mergeCell ref="A105:A111"/>
    <mergeCell ref="A64:A67"/>
    <mergeCell ref="A94:A99"/>
    <mergeCell ref="B59:B63"/>
    <mergeCell ref="A59:A63"/>
    <mergeCell ref="B73:B77"/>
    <mergeCell ref="A68:A72"/>
    <mergeCell ref="A73:A77"/>
    <mergeCell ref="B68:B72"/>
    <mergeCell ref="B105:B111"/>
    <mergeCell ref="B100:B104"/>
    <mergeCell ref="B54:B58"/>
    <mergeCell ref="B79:B84"/>
    <mergeCell ref="B85:B93"/>
    <mergeCell ref="A85:A93"/>
    <mergeCell ref="A79:A84"/>
    <mergeCell ref="A1:B1"/>
    <mergeCell ref="B3:B10"/>
    <mergeCell ref="A3:A10"/>
    <mergeCell ref="A11:A15"/>
    <mergeCell ref="A35:A41"/>
    <mergeCell ref="A22:A27"/>
    <mergeCell ref="B11:B15"/>
    <mergeCell ref="B16:B21"/>
    <mergeCell ref="A16:A21"/>
    <mergeCell ref="B22:B27"/>
    <mergeCell ref="B35:B41"/>
    <mergeCell ref="B28:B34"/>
    <mergeCell ref="A169:A175"/>
    <mergeCell ref="A132:A138"/>
    <mergeCell ref="D182:F182"/>
    <mergeCell ref="B124:B131"/>
    <mergeCell ref="B132:B138"/>
    <mergeCell ref="B139:B145"/>
    <mergeCell ref="B146:B151"/>
    <mergeCell ref="B152:B157"/>
    <mergeCell ref="D178:G178"/>
    <mergeCell ref="D180:F180"/>
    <mergeCell ref="B169:B175"/>
    <mergeCell ref="A164:A168"/>
    <mergeCell ref="A139:A145"/>
    <mergeCell ref="A146:A151"/>
    <mergeCell ref="A152:A157"/>
    <mergeCell ref="A158:A163"/>
    <mergeCell ref="D184:F184"/>
    <mergeCell ref="C177:C184"/>
    <mergeCell ref="D183:F183"/>
    <mergeCell ref="D177:F177"/>
    <mergeCell ref="D179:F179"/>
    <mergeCell ref="D181:F181"/>
  </mergeCells>
  <phoneticPr fontId="3" type="noConversion"/>
  <pageMargins left="0.75" right="0.75" top="1" bottom="1" header="0.5" footer="0.5"/>
  <pageSetup orientation="portrait"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I95"/>
  <sheetViews>
    <sheetView zoomScaleNormal="100" workbookViewId="0">
      <selection activeCell="G93" sqref="G93:G95"/>
    </sheetView>
  </sheetViews>
  <sheetFormatPr defaultColWidth="9.33203125" defaultRowHeight="13.8" x14ac:dyDescent="0.3"/>
  <cols>
    <col min="1" max="1" width="5.77734375" style="1" customWidth="1"/>
    <col min="2" max="2" width="18.77734375" style="1" customWidth="1"/>
    <col min="3" max="3" width="75.77734375" style="1" customWidth="1"/>
    <col min="4" max="4" width="6.77734375" style="61" customWidth="1"/>
    <col min="5" max="5" width="8.6640625" style="61" customWidth="1"/>
    <col min="6" max="6" width="9" style="61" customWidth="1"/>
    <col min="7" max="7" width="12.109375" style="13" customWidth="1"/>
    <col min="8" max="8" width="75.77734375" style="1" customWidth="1"/>
    <col min="9" max="9" width="15.77734375" style="2" customWidth="1"/>
    <col min="10" max="10" width="10.33203125" style="1" bestFit="1" customWidth="1"/>
    <col min="11" max="16384" width="9.33203125" style="1"/>
  </cols>
  <sheetData>
    <row r="1" spans="1:8" s="2" customFormat="1" ht="69" customHeight="1" thickBot="1" x14ac:dyDescent="0.3">
      <c r="A1" s="1826" t="s">
        <v>592</v>
      </c>
      <c r="B1" s="1827"/>
      <c r="C1" s="1404" t="s">
        <v>593</v>
      </c>
      <c r="D1" s="194" t="s">
        <v>1182</v>
      </c>
      <c r="E1" s="1823"/>
      <c r="F1" s="1824"/>
      <c r="G1" s="1824"/>
      <c r="H1" s="1824"/>
    </row>
    <row r="2" spans="1:8" s="435" customFormat="1" ht="36" customHeight="1" thickBot="1" x14ac:dyDescent="0.3">
      <c r="A2" s="1405" t="s">
        <v>126</v>
      </c>
      <c r="B2" s="1405" t="s">
        <v>1463</v>
      </c>
      <c r="C2" s="1406" t="s">
        <v>1271</v>
      </c>
      <c r="D2" s="1407" t="s">
        <v>115</v>
      </c>
      <c r="E2" s="1408" t="s">
        <v>771</v>
      </c>
      <c r="F2" s="1407" t="s">
        <v>1467</v>
      </c>
      <c r="G2" s="1409" t="s">
        <v>1273</v>
      </c>
      <c r="H2" s="1407" t="s">
        <v>772</v>
      </c>
    </row>
    <row r="3" spans="1:8" ht="30" customHeight="1" thickBot="1" x14ac:dyDescent="0.35">
      <c r="A3" s="2164" t="str">
        <f>OF!A33</f>
        <v>OF6</v>
      </c>
      <c r="B3" s="1897" t="str">
        <f>OF!B33</f>
        <v>Distance to Nearest Busy Road (DistRd)</v>
      </c>
      <c r="C3" s="4" t="str">
        <f>OF!C33</f>
        <v>The distance from the AA center to the nearest road with an average daytime traffic rate of at least 1 vehicle/ minute is:</v>
      </c>
      <c r="D3" s="866"/>
      <c r="E3" s="866"/>
      <c r="F3" s="867"/>
      <c r="G3" s="810">
        <f>MAX(F4:F9)/MAX(E4:E9)</f>
        <v>0</v>
      </c>
      <c r="H3" s="1818" t="s">
        <v>16</v>
      </c>
    </row>
    <row r="4" spans="1:8" ht="16.2" customHeight="1" x14ac:dyDescent="0.3">
      <c r="A4" s="2092"/>
      <c r="B4" s="1582"/>
      <c r="C4" s="393" t="str">
        <f>OF!C34</f>
        <v>&lt;100 ft.</v>
      </c>
      <c r="D4" s="1306">
        <f>OF!D34</f>
        <v>0</v>
      </c>
      <c r="E4" s="843">
        <v>6</v>
      </c>
      <c r="F4" s="843">
        <f t="shared" ref="F4:F13" si="0">D4*E4</f>
        <v>0</v>
      </c>
      <c r="G4" s="806"/>
      <c r="H4" s="1521"/>
    </row>
    <row r="5" spans="1:8" ht="16.2" customHeight="1" x14ac:dyDescent="0.3">
      <c r="A5" s="2092"/>
      <c r="B5" s="1582"/>
      <c r="C5" s="1275" t="str">
        <f>OF!C35</f>
        <v>100 to &lt;300 ft.</v>
      </c>
      <c r="D5" s="1276">
        <f>OF!D35</f>
        <v>0</v>
      </c>
      <c r="E5" s="843">
        <v>5</v>
      </c>
      <c r="F5" s="843">
        <f t="shared" si="0"/>
        <v>0</v>
      </c>
      <c r="G5" s="800"/>
      <c r="H5" s="1521"/>
    </row>
    <row r="6" spans="1:8" ht="16.2" customHeight="1" x14ac:dyDescent="0.3">
      <c r="A6" s="2092"/>
      <c r="B6" s="1582"/>
      <c r="C6" s="1275" t="str">
        <f>OF!C36</f>
        <v>300 to &lt; 0.5 mile.</v>
      </c>
      <c r="D6" s="1276">
        <f>OF!D36</f>
        <v>0</v>
      </c>
      <c r="E6" s="843">
        <v>4</v>
      </c>
      <c r="F6" s="843">
        <f t="shared" si="0"/>
        <v>0</v>
      </c>
      <c r="G6" s="800"/>
      <c r="H6" s="1521"/>
    </row>
    <row r="7" spans="1:8" ht="16.2" customHeight="1" x14ac:dyDescent="0.3">
      <c r="A7" s="2092"/>
      <c r="B7" s="1582"/>
      <c r="C7" s="1275" t="str">
        <f>OF!C37</f>
        <v>0.5 to &lt;1 miles.</v>
      </c>
      <c r="D7" s="1276">
        <f>OF!D37</f>
        <v>0</v>
      </c>
      <c r="E7" s="843">
        <v>3</v>
      </c>
      <c r="F7" s="843">
        <f t="shared" si="0"/>
        <v>0</v>
      </c>
      <c r="G7" s="800"/>
      <c r="H7" s="1521"/>
    </row>
    <row r="8" spans="1:8" ht="16.2" customHeight="1" x14ac:dyDescent="0.3">
      <c r="A8" s="2092"/>
      <c r="B8" s="1582"/>
      <c r="C8" s="1275" t="str">
        <f>OF!C38</f>
        <v>1 to 2 miles.</v>
      </c>
      <c r="D8" s="1276">
        <f>OF!D38</f>
        <v>0</v>
      </c>
      <c r="E8" s="843">
        <v>2</v>
      </c>
      <c r="F8" s="843">
        <f t="shared" si="0"/>
        <v>0</v>
      </c>
      <c r="G8" s="800"/>
      <c r="H8" s="1521"/>
    </row>
    <row r="9" spans="1:8" ht="16.2" customHeight="1" thickBot="1" x14ac:dyDescent="0.35">
      <c r="A9" s="2092"/>
      <c r="B9" s="1582"/>
      <c r="C9" s="1275" t="str">
        <f>OF!C39</f>
        <v>&gt;2 miles.</v>
      </c>
      <c r="D9" s="1276">
        <f>OF!D39</f>
        <v>0</v>
      </c>
      <c r="E9" s="844">
        <v>1</v>
      </c>
      <c r="F9" s="844">
        <f t="shared" si="0"/>
        <v>0</v>
      </c>
      <c r="G9" s="800"/>
      <c r="H9" s="1521"/>
    </row>
    <row r="10" spans="1:8" ht="45" customHeight="1" thickBot="1" x14ac:dyDescent="0.35">
      <c r="A10" s="1796" t="str">
        <f>OF!A220</f>
        <v>OF42</v>
      </c>
      <c r="B10" s="1622" t="str">
        <f>OF!B220</f>
        <v>Zoning (Zoning)</v>
      </c>
      <c r="C10" s="4" t="str">
        <f>OF!C220</f>
        <v>According to ORWAP Map Viewer's Oregon Zoning layer, the dominant zoned land use designation for currently undeveloped parcels upslope from the AA and within 300 ft. of its upland edge is:</v>
      </c>
      <c r="D10" s="875"/>
      <c r="E10" s="856"/>
      <c r="F10" s="1287"/>
      <c r="G10" s="810">
        <f>IF((D14=1),"",MAX(F11:F13)/MAX(E11:E13))</f>
        <v>0</v>
      </c>
      <c r="H10" s="1522" t="s">
        <v>679</v>
      </c>
    </row>
    <row r="11" spans="1:8" ht="27" customHeight="1" x14ac:dyDescent="0.3">
      <c r="A11" s="1797"/>
      <c r="B11" s="1623"/>
      <c r="C11" s="236" t="str">
        <f>OF!C221</f>
        <v>Development (Commercial, Industrial, Urban Residential, etc.), or no undeveloped parcels exist upslope from the AA.</v>
      </c>
      <c r="D11" s="1304">
        <f>OF!D221</f>
        <v>0</v>
      </c>
      <c r="E11" s="865">
        <v>3</v>
      </c>
      <c r="F11" s="843">
        <f t="shared" si="0"/>
        <v>0</v>
      </c>
      <c r="G11" s="793"/>
      <c r="H11" s="1521"/>
    </row>
    <row r="12" spans="1:8" ht="16.2" customHeight="1" x14ac:dyDescent="0.3">
      <c r="A12" s="1797"/>
      <c r="B12" s="1623"/>
      <c r="C12" s="237" t="str">
        <f>OF!C222</f>
        <v>Agriculture or Rural Residential.</v>
      </c>
      <c r="D12" s="1081">
        <f>OF!D222</f>
        <v>0</v>
      </c>
      <c r="E12" s="865">
        <v>2</v>
      </c>
      <c r="F12" s="843">
        <f t="shared" si="0"/>
        <v>0</v>
      </c>
      <c r="G12" s="793"/>
      <c r="H12" s="1521"/>
    </row>
    <row r="13" spans="1:8" ht="16.2" customHeight="1" x14ac:dyDescent="0.3">
      <c r="A13" s="1797"/>
      <c r="B13" s="1623"/>
      <c r="C13" s="237" t="str">
        <f>OF!C223</f>
        <v>Forest or Open Space, or entirely public lands.</v>
      </c>
      <c r="D13" s="1081">
        <f>OF!D223</f>
        <v>0</v>
      </c>
      <c r="E13" s="865">
        <v>1</v>
      </c>
      <c r="F13" s="843">
        <f t="shared" si="0"/>
        <v>0</v>
      </c>
      <c r="G13" s="793"/>
      <c r="H13" s="1521"/>
    </row>
    <row r="14" spans="1:8" ht="16.2" customHeight="1" thickBot="1" x14ac:dyDescent="0.35">
      <c r="A14" s="1798"/>
      <c r="B14" s="1624"/>
      <c r="C14" s="212" t="str">
        <f>OF!C224</f>
        <v>Not zoned, or no information.</v>
      </c>
      <c r="D14" s="213">
        <f>OF!D224</f>
        <v>0</v>
      </c>
      <c r="E14" s="992"/>
      <c r="F14" s="1233"/>
      <c r="G14" s="812"/>
      <c r="H14" s="1523"/>
    </row>
    <row r="15" spans="1:8" ht="30" customHeight="1" thickBot="1" x14ac:dyDescent="0.35">
      <c r="A15" s="1875" t="str">
        <f>F!A90</f>
        <v>F17</v>
      </c>
      <c r="B15" s="1521" t="str">
        <f>F!B90</f>
        <v>Ponded Open Water Area (Driest)  (OWareaDry)</v>
      </c>
      <c r="C15" s="114" t="str">
        <f>F!C90</f>
        <v>When water levels are lowest, during a normal year, the AA's ponded open water occupies a cumulative area, including adjacent ponded waters, of:</v>
      </c>
      <c r="D15" s="866"/>
      <c r="E15" s="866"/>
      <c r="F15" s="1410"/>
      <c r="G15" s="1411">
        <f>IF((NeverWater+TempWet&gt;0),0,IF((NoPond2=1),"",MAX(F16:F24)/MAX(E16:E24)))</f>
        <v>0</v>
      </c>
      <c r="H15" s="1521" t="s">
        <v>1671</v>
      </c>
    </row>
    <row r="16" spans="1:8" ht="16.2" customHeight="1" x14ac:dyDescent="0.3">
      <c r="A16" s="1875"/>
      <c r="B16" s="1521"/>
      <c r="C16" s="1305" t="str">
        <f>F!C91</f>
        <v>&lt;0.10 acre (&lt; 4356 sq. ft).  Enter 1 and SKIP TO F24.</v>
      </c>
      <c r="D16" s="1306">
        <f>F!D91</f>
        <v>0</v>
      </c>
      <c r="E16" s="843">
        <v>0</v>
      </c>
      <c r="F16" s="843">
        <f t="shared" ref="F16:F24" si="1">D16*E16</f>
        <v>0</v>
      </c>
      <c r="G16" s="792"/>
      <c r="H16" s="1521"/>
    </row>
    <row r="17" spans="1:8" ht="16.2" customHeight="1" x14ac:dyDescent="0.3">
      <c r="A17" s="1875"/>
      <c r="B17" s="1521"/>
      <c r="C17" s="1307" t="str">
        <f>F!C92</f>
        <v>0.10 to &lt;0.50 acres (21,340 sq. ft).</v>
      </c>
      <c r="D17" s="1276">
        <f>F!D92</f>
        <v>0</v>
      </c>
      <c r="E17" s="843">
        <v>2</v>
      </c>
      <c r="F17" s="843">
        <f t="shared" si="1"/>
        <v>0</v>
      </c>
      <c r="G17" s="792"/>
      <c r="H17" s="1521"/>
    </row>
    <row r="18" spans="1:8" ht="16.2" customHeight="1" x14ac:dyDescent="0.3">
      <c r="A18" s="1875"/>
      <c r="B18" s="1521"/>
      <c r="C18" s="1307" t="str">
        <f>F!C93</f>
        <v>0.50 to &lt;1  acres.</v>
      </c>
      <c r="D18" s="1276">
        <f>F!D93</f>
        <v>0</v>
      </c>
      <c r="E18" s="843">
        <v>3</v>
      </c>
      <c r="F18" s="843">
        <f t="shared" si="1"/>
        <v>0</v>
      </c>
      <c r="G18" s="792"/>
      <c r="H18" s="1521"/>
    </row>
    <row r="19" spans="1:8" ht="16.2" customHeight="1" x14ac:dyDescent="0.3">
      <c r="A19" s="1875"/>
      <c r="B19" s="1521"/>
      <c r="C19" s="1307" t="str">
        <f>F!C94</f>
        <v>1- 4 acres.</v>
      </c>
      <c r="D19" s="1276">
        <f>F!D94</f>
        <v>0</v>
      </c>
      <c r="E19" s="843">
        <v>4</v>
      </c>
      <c r="F19" s="843">
        <f t="shared" si="1"/>
        <v>0</v>
      </c>
      <c r="G19" s="792"/>
      <c r="H19" s="1521"/>
    </row>
    <row r="20" spans="1:8" ht="16.2" customHeight="1" x14ac:dyDescent="0.3">
      <c r="A20" s="1875"/>
      <c r="B20" s="1521"/>
      <c r="C20" s="1307" t="str">
        <f>F!C95</f>
        <v>5 to &lt;50 acres.</v>
      </c>
      <c r="D20" s="1276">
        <f>F!D95</f>
        <v>0</v>
      </c>
      <c r="E20" s="843">
        <v>5</v>
      </c>
      <c r="F20" s="843">
        <f t="shared" si="1"/>
        <v>0</v>
      </c>
      <c r="G20" s="792"/>
      <c r="H20" s="1521"/>
    </row>
    <row r="21" spans="1:8" ht="16.2" customHeight="1" x14ac:dyDescent="0.3">
      <c r="A21" s="1875"/>
      <c r="B21" s="1521"/>
      <c r="C21" s="1307" t="str">
        <f>F!C96</f>
        <v>50 to &lt;640 acres (1 sq. mi).</v>
      </c>
      <c r="D21" s="1276">
        <f>F!D96</f>
        <v>0</v>
      </c>
      <c r="E21" s="843">
        <v>6</v>
      </c>
      <c r="F21" s="843">
        <f t="shared" si="1"/>
        <v>0</v>
      </c>
      <c r="G21" s="792"/>
      <c r="H21" s="1521"/>
    </row>
    <row r="22" spans="1:8" ht="16.2" customHeight="1" x14ac:dyDescent="0.3">
      <c r="A22" s="1875"/>
      <c r="B22" s="1521"/>
      <c r="C22" s="1307" t="str">
        <f>F!C97</f>
        <v>640 to &lt;1000 acres.</v>
      </c>
      <c r="D22" s="1276">
        <f>F!D97</f>
        <v>0</v>
      </c>
      <c r="E22" s="843">
        <v>8</v>
      </c>
      <c r="F22" s="843">
        <f t="shared" si="1"/>
        <v>0</v>
      </c>
      <c r="G22" s="792"/>
      <c r="H22" s="1521"/>
    </row>
    <row r="23" spans="1:8" ht="16.2" customHeight="1" x14ac:dyDescent="0.3">
      <c r="A23" s="1875"/>
      <c r="B23" s="1521"/>
      <c r="C23" s="1307" t="str">
        <f>F!C98</f>
        <v>1000 to 2500 acres.</v>
      </c>
      <c r="D23" s="1276">
        <f>F!D98</f>
        <v>0</v>
      </c>
      <c r="E23" s="843">
        <v>10</v>
      </c>
      <c r="F23" s="843">
        <f t="shared" si="1"/>
        <v>0</v>
      </c>
      <c r="G23" s="793"/>
      <c r="H23" s="1521"/>
    </row>
    <row r="24" spans="1:8" ht="16.2" customHeight="1" thickBot="1" x14ac:dyDescent="0.35">
      <c r="A24" s="1875"/>
      <c r="B24" s="1521"/>
      <c r="C24" s="1307" t="str">
        <f>F!C99</f>
        <v>&gt;2500 acres (&gt;4 sq.mi).</v>
      </c>
      <c r="D24" s="1276">
        <f>F!D99</f>
        <v>0</v>
      </c>
      <c r="E24" s="844">
        <v>12</v>
      </c>
      <c r="F24" s="844">
        <f t="shared" si="1"/>
        <v>0</v>
      </c>
      <c r="G24" s="800"/>
      <c r="H24" s="1521"/>
    </row>
    <row r="25" spans="1:8" ht="21" customHeight="1" thickBot="1" x14ac:dyDescent="0.35">
      <c r="A25" s="2009" t="str">
        <f>F!A311</f>
        <v>F61</v>
      </c>
      <c r="B25" s="1599" t="str">
        <f>F!B311</f>
        <v>Ownership (Ownership)</v>
      </c>
      <c r="C25" s="4" t="str">
        <f>F!C311</f>
        <v>Most of the AA  is:</v>
      </c>
      <c r="D25" s="875"/>
      <c r="E25" s="1287"/>
      <c r="F25" s="953"/>
      <c r="G25" s="813">
        <f>MAX(F26:F28)/MAX(E26:E28)</f>
        <v>0</v>
      </c>
      <c r="H25" s="1599" t="s">
        <v>13</v>
      </c>
    </row>
    <row r="26" spans="1:8" ht="20.25" customHeight="1" x14ac:dyDescent="0.3">
      <c r="A26" s="1934"/>
      <c r="B26" s="1582"/>
      <c r="C26" s="236" t="str">
        <f>F!C312</f>
        <v xml:space="preserve">Publicly owned (municipal, county, state, federal).  </v>
      </c>
      <c r="D26" s="1304">
        <f>F!D312</f>
        <v>0</v>
      </c>
      <c r="E26" s="843">
        <v>3</v>
      </c>
      <c r="F26" s="843">
        <f>D26*E26</f>
        <v>0</v>
      </c>
      <c r="G26" s="792"/>
      <c r="H26" s="1582"/>
    </row>
    <row r="27" spans="1:8" ht="24.75" customHeight="1" x14ac:dyDescent="0.3">
      <c r="A27" s="1934"/>
      <c r="B27" s="1582"/>
      <c r="C27" s="237" t="str">
        <f>F!C313</f>
        <v>Owned by non-profit conservation organization or easement holder who allows public access to this AA.</v>
      </c>
      <c r="D27" s="1081">
        <f>F!D313</f>
        <v>0</v>
      </c>
      <c r="E27" s="843">
        <v>2</v>
      </c>
      <c r="F27" s="843">
        <f>D27*E27</f>
        <v>0</v>
      </c>
      <c r="G27" s="792"/>
      <c r="H27" s="1582"/>
    </row>
    <row r="28" spans="1:8" ht="16.2" customHeight="1" thickBot="1" x14ac:dyDescent="0.35">
      <c r="A28" s="2010"/>
      <c r="B28" s="1600"/>
      <c r="C28" s="212" t="str">
        <f>F!C314</f>
        <v>Other private ownership, including tribal.  Enter 1 and SKIP to F63.</v>
      </c>
      <c r="D28" s="213">
        <f>F!D314</f>
        <v>0</v>
      </c>
      <c r="E28" s="1299">
        <v>1</v>
      </c>
      <c r="F28" s="1299">
        <f>D28*E28</f>
        <v>0</v>
      </c>
      <c r="G28" s="909"/>
      <c r="H28" s="1600"/>
    </row>
    <row r="29" spans="1:8" ht="45" customHeight="1" thickBot="1" x14ac:dyDescent="0.35">
      <c r="A29" s="1412" t="str">
        <f>F!A315</f>
        <v>F62</v>
      </c>
      <c r="B29" s="712" t="str">
        <f>F!B315</f>
        <v>Special Protected Area Designation (Desig)</v>
      </c>
      <c r="C29" s="393" t="str">
        <f>F!C315</f>
        <v>The AA is part of an area designated as a BLM Area of Critical Environmental Concern (ACEC) or Outstanding Natural Area (ONA), Federal Research Natural Area (RNA) or Special Interest Area (SIA), or Natural Heritage Conservation Area (NHCA). Enter 1, if true.</v>
      </c>
      <c r="D29" s="1306">
        <f>F!D315</f>
        <v>0</v>
      </c>
      <c r="E29" s="1207"/>
      <c r="F29" s="1258"/>
      <c r="G29" s="1283">
        <f>IF((PrivateOwn=1),"",D29)</f>
        <v>0</v>
      </c>
      <c r="H29" s="712" t="s">
        <v>735</v>
      </c>
    </row>
    <row r="30" spans="1:8" ht="45" customHeight="1" thickBot="1" x14ac:dyDescent="0.35">
      <c r="A30" s="1413" t="str">
        <f>F!A316</f>
        <v>F63</v>
      </c>
      <c r="B30" s="4" t="str">
        <f>F!B316</f>
        <v>Conservation Investment (ConsInvest)</v>
      </c>
      <c r="C30" s="1278" t="str">
        <f>F!C316</f>
        <v>The AA is not a mitigation wetland, but public funds or community volunteer efforts have been applied to preserve, create, restore, or enhance the condition or functions of the wetland. (e.g.  CRP or WRP wetlands, community projects).           Enter 1, if true.  (If unknown, leave 0).</v>
      </c>
      <c r="D30" s="1279">
        <f>F!D316</f>
        <v>0</v>
      </c>
      <c r="E30" s="1205"/>
      <c r="F30" s="881"/>
      <c r="G30" s="813">
        <f>IF((D30=""),"",D30)</f>
        <v>0</v>
      </c>
      <c r="H30" s="4" t="s">
        <v>19</v>
      </c>
    </row>
    <row r="31" spans="1:8" ht="33" customHeight="1" thickBot="1" x14ac:dyDescent="0.35">
      <c r="A31" s="1412" t="str">
        <f>F!A317</f>
        <v>F64</v>
      </c>
      <c r="B31" s="712" t="str">
        <f>F!B317</f>
        <v>Compensation Wetland (MitWet)</v>
      </c>
      <c r="C31" s="393" t="str">
        <f>F!C317</f>
        <v>The AA is all or part of a compensation site used explicitly to offset impacts elsewhere.  
Enter 1, if true. ( If unknown, leave 0).</v>
      </c>
      <c r="D31" s="1306">
        <f>F!D317</f>
        <v>0</v>
      </c>
      <c r="E31" s="1207"/>
      <c r="F31" s="1258"/>
      <c r="G31" s="1283">
        <f>IF((D31=""),"",D31)</f>
        <v>0</v>
      </c>
      <c r="H31" s="712" t="s">
        <v>18</v>
      </c>
    </row>
    <row r="32" spans="1:8" ht="60" customHeight="1" thickBot="1" x14ac:dyDescent="0.35">
      <c r="A32" s="1413" t="str">
        <f>F!A318</f>
        <v>F65</v>
      </c>
      <c r="B32" s="4" t="str">
        <f>F!B318</f>
        <v>Sustained Scientific Use (SciUse)</v>
      </c>
      <c r="C32" s="1278" t="str">
        <f>F!C318</f>
        <v>Plants, animals, or water in the AA have been monitored for &gt;2 years, unrelated to any regulatory requirements, and data are available to the public.  Or the AA is part of an area that has been designated by an agency or institution as a benchmark, reference, or status-trends monitoring area. Enter 1, if true.  ( If unknown, leave 0)</v>
      </c>
      <c r="D32" s="1279">
        <f>F!D318</f>
        <v>0</v>
      </c>
      <c r="E32" s="1205"/>
      <c r="F32" s="881"/>
      <c r="G32" s="813">
        <f>IF((D32=""),"",D32)</f>
        <v>0</v>
      </c>
      <c r="H32" s="4" t="s">
        <v>17</v>
      </c>
    </row>
    <row r="33" spans="1:8" ht="45" customHeight="1" thickBot="1" x14ac:dyDescent="0.35">
      <c r="A33" s="2163" t="str">
        <f>F!A319</f>
        <v>F66</v>
      </c>
      <c r="B33" s="1582" t="str">
        <f>F!B319</f>
        <v>Visibility (Visibil)</v>
      </c>
      <c r="C33" s="4" t="str">
        <f>F!C319</f>
        <v>The maximum percentage of the wetland that is visible from the best vantage point on public roads, public parking lots, public buildings, or public maintained trails that intersect, adjoin, or are within 300 ft of the AA (select one) is:</v>
      </c>
      <c r="D33" s="866"/>
      <c r="E33" s="866"/>
      <c r="F33" s="867"/>
      <c r="G33" s="882">
        <f>MAX(F34:F36)/MAX(E34:E36)</f>
        <v>0</v>
      </c>
      <c r="H33" s="1582" t="s">
        <v>12</v>
      </c>
    </row>
    <row r="34" spans="1:8" ht="16.2" customHeight="1" x14ac:dyDescent="0.3">
      <c r="A34" s="2163"/>
      <c r="B34" s="1582"/>
      <c r="C34" s="236" t="str">
        <f>F!C320</f>
        <v>&lt;25%.</v>
      </c>
      <c r="D34" s="1304">
        <f>F!D320</f>
        <v>0</v>
      </c>
      <c r="E34" s="843">
        <v>1</v>
      </c>
      <c r="F34" s="843">
        <f>D34*E34</f>
        <v>0</v>
      </c>
      <c r="G34" s="792"/>
      <c r="H34" s="1582"/>
    </row>
    <row r="35" spans="1:8" ht="16.2" customHeight="1" x14ac:dyDescent="0.3">
      <c r="A35" s="2163"/>
      <c r="B35" s="1582"/>
      <c r="C35" s="237" t="str">
        <f>F!C321</f>
        <v>25 - 50%.</v>
      </c>
      <c r="D35" s="1081">
        <f>F!D321</f>
        <v>0</v>
      </c>
      <c r="E35" s="843">
        <v>2</v>
      </c>
      <c r="F35" s="843">
        <f>D35*E35</f>
        <v>0</v>
      </c>
      <c r="G35" s="793"/>
      <c r="H35" s="1582"/>
    </row>
    <row r="36" spans="1:8" ht="16.2" customHeight="1" thickBot="1" x14ac:dyDescent="0.35">
      <c r="A36" s="2163"/>
      <c r="B36" s="1582"/>
      <c r="C36" s="1275" t="str">
        <f>F!C322</f>
        <v>&gt;50%.</v>
      </c>
      <c r="D36" s="198">
        <f>F!D322</f>
        <v>0</v>
      </c>
      <c r="E36" s="844">
        <v>3</v>
      </c>
      <c r="F36" s="844">
        <f>D36*E36</f>
        <v>0</v>
      </c>
      <c r="G36" s="800"/>
      <c r="H36" s="1582"/>
    </row>
    <row r="37" spans="1:8" ht="21" customHeight="1" thickBot="1" x14ac:dyDescent="0.35">
      <c r="A37" s="2009" t="str">
        <f>F!A323</f>
        <v>F67</v>
      </c>
      <c r="B37" s="1599" t="str">
        <f>F!B323</f>
        <v>Non-consumptive Uses - Actual or Potential (RecPoten)</v>
      </c>
      <c r="C37" s="4" t="str">
        <f>F!C323</f>
        <v>Select all statements that are true of this AA as it currently exists:</v>
      </c>
      <c r="D37" s="866"/>
      <c r="E37" s="1287"/>
      <c r="F37" s="953"/>
      <c r="G37" s="813">
        <f>SUM(D38:D41)/4</f>
        <v>0</v>
      </c>
      <c r="H37" s="1599" t="s">
        <v>14</v>
      </c>
    </row>
    <row r="38" spans="1:8" ht="27" customHeight="1" x14ac:dyDescent="0.3">
      <c r="A38" s="1934"/>
      <c r="B38" s="1582"/>
      <c r="C38" s="236" t="str">
        <f>F!C324</f>
        <v>Walking is physically possible in &gt;5% of the AA during most of year (e.g., free of deep water and dense shrub thickets).</v>
      </c>
      <c r="D38" s="1304">
        <f>F!D324</f>
        <v>0</v>
      </c>
      <c r="E38" s="843"/>
      <c r="F38" s="843"/>
      <c r="G38" s="792"/>
      <c r="H38" s="1582"/>
    </row>
    <row r="39" spans="1:8" ht="27" customHeight="1" x14ac:dyDescent="0.3">
      <c r="A39" s="1934"/>
      <c r="B39" s="1582"/>
      <c r="C39" s="237" t="str">
        <f>F!C325</f>
        <v>All or part of the AA (or an area within sight of the AA and within 100 ft) would be physically accessible to people in wheelchairs (e.g., paved and flat).</v>
      </c>
      <c r="D39" s="1081">
        <f>F!D325</f>
        <v>0</v>
      </c>
      <c r="E39" s="843"/>
      <c r="F39" s="843"/>
      <c r="G39" s="793"/>
      <c r="H39" s="1582"/>
    </row>
    <row r="40" spans="1:8" ht="27" customHeight="1" x14ac:dyDescent="0.3">
      <c r="A40" s="1934"/>
      <c r="B40" s="1582"/>
      <c r="C40" s="237" t="str">
        <f>F!C326</f>
        <v>Maintained roads, parking areas, or foot-trails are within 30 ft of the AA, or the AA can be accessed most of the year by boat.</v>
      </c>
      <c r="D40" s="1081">
        <f>F!D326</f>
        <v>0</v>
      </c>
      <c r="E40" s="844"/>
      <c r="F40" s="843"/>
      <c r="G40" s="800"/>
      <c r="H40" s="1582"/>
    </row>
    <row r="41" spans="1:8" ht="27" customHeight="1" thickBot="1" x14ac:dyDescent="0.35">
      <c r="A41" s="2010"/>
      <c r="B41" s="1600"/>
      <c r="C41" s="212" t="str">
        <f>F!C327</f>
        <v>Within or near the AA, there is an interpretive center, trails with interpretive signs or brochures, and/or regular guided interpretive tours.</v>
      </c>
      <c r="D41" s="213">
        <f>F!D327</f>
        <v>0</v>
      </c>
      <c r="E41" s="1299"/>
      <c r="F41" s="1299"/>
      <c r="G41" s="909"/>
      <c r="H41" s="1600"/>
    </row>
    <row r="42" spans="1:8" ht="60" customHeight="1" thickBot="1" x14ac:dyDescent="0.35">
      <c r="A42" s="2163" t="str">
        <f>F!A328</f>
        <v>F68</v>
      </c>
      <c r="B42" s="1582" t="str">
        <f>F!B328</f>
        <v>Core Area 1 (VisitNo)</v>
      </c>
      <c r="C42" s="4"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42" s="866"/>
      <c r="E42" s="866"/>
      <c r="F42" s="867"/>
      <c r="G42" s="882">
        <f>MAX(F43:F48)/MAX(E43:E48)</f>
        <v>0</v>
      </c>
      <c r="H42" s="1521" t="s">
        <v>15</v>
      </c>
    </row>
    <row r="43" spans="1:8" ht="16.2" customHeight="1" x14ac:dyDescent="0.3">
      <c r="A43" s="2163"/>
      <c r="B43" s="1582"/>
      <c r="C43" s="236" t="str">
        <f>F!C329</f>
        <v>&lt;5% and no inhabited building is within 300 ft of the AA.</v>
      </c>
      <c r="D43" s="1304">
        <f>F!D329</f>
        <v>0</v>
      </c>
      <c r="E43" s="843">
        <v>4</v>
      </c>
      <c r="F43" s="843">
        <f t="shared" ref="F43:F48" si="2">D43*E43</f>
        <v>0</v>
      </c>
      <c r="G43" s="792"/>
      <c r="H43" s="1521"/>
    </row>
    <row r="44" spans="1:8" ht="16.2" customHeight="1" x14ac:dyDescent="0.3">
      <c r="A44" s="2163"/>
      <c r="B44" s="1582"/>
      <c r="C44" s="237" t="str">
        <f>F!C330</f>
        <v>&lt;5% and inhabited building is within 300 ft of the AA.</v>
      </c>
      <c r="D44" s="1081">
        <f>F!D330</f>
        <v>0</v>
      </c>
      <c r="E44" s="843">
        <v>5</v>
      </c>
      <c r="F44" s="843">
        <f t="shared" si="2"/>
        <v>0</v>
      </c>
      <c r="G44" s="793"/>
      <c r="H44" s="1521"/>
    </row>
    <row r="45" spans="1:8" ht="16.2" customHeight="1" x14ac:dyDescent="0.3">
      <c r="A45" s="2163"/>
      <c r="B45" s="1582"/>
      <c r="C45" s="237" t="str">
        <f>F!C331</f>
        <v>5 to &lt;50% and no inhabited building is within 300 ft of the AA.</v>
      </c>
      <c r="D45" s="1081">
        <f>F!D331</f>
        <v>0</v>
      </c>
      <c r="E45" s="843">
        <v>2</v>
      </c>
      <c r="F45" s="843">
        <f t="shared" si="2"/>
        <v>0</v>
      </c>
      <c r="G45" s="793"/>
      <c r="H45" s="1521"/>
    </row>
    <row r="46" spans="1:8" ht="16.2" customHeight="1" x14ac:dyDescent="0.3">
      <c r="A46" s="2163"/>
      <c r="B46" s="1582"/>
      <c r="C46" s="237" t="str">
        <f>F!C332</f>
        <v>5 to &lt;50% and inhabited building is within 300 ft of the AA.</v>
      </c>
      <c r="D46" s="1081">
        <f>F!D332</f>
        <v>0</v>
      </c>
      <c r="E46" s="843">
        <v>3</v>
      </c>
      <c r="F46" s="843">
        <f t="shared" si="2"/>
        <v>0</v>
      </c>
      <c r="G46" s="793"/>
      <c r="H46" s="1521"/>
    </row>
    <row r="47" spans="1:8" ht="16.2" customHeight="1" x14ac:dyDescent="0.3">
      <c r="A47" s="2163"/>
      <c r="B47" s="1582"/>
      <c r="C47" s="237" t="str">
        <f>F!C333</f>
        <v>50 to 95% with or without inhabited building nearby.</v>
      </c>
      <c r="D47" s="1081">
        <f>F!D333</f>
        <v>0</v>
      </c>
      <c r="E47" s="843">
        <v>1</v>
      </c>
      <c r="F47" s="843">
        <f t="shared" si="2"/>
        <v>0</v>
      </c>
      <c r="G47" s="793"/>
      <c r="H47" s="1521"/>
    </row>
    <row r="48" spans="1:8" ht="16.2" customHeight="1" thickBot="1" x14ac:dyDescent="0.35">
      <c r="A48" s="2163"/>
      <c r="B48" s="1582"/>
      <c r="C48" s="1275" t="str">
        <f>F!C334</f>
        <v>&gt;95% of the AA with or without inhabited building nearby.</v>
      </c>
      <c r="D48" s="1276">
        <f>F!D334</f>
        <v>0</v>
      </c>
      <c r="E48" s="844">
        <v>0</v>
      </c>
      <c r="F48" s="844">
        <f t="shared" si="2"/>
        <v>0</v>
      </c>
      <c r="G48" s="800"/>
      <c r="H48" s="1521"/>
    </row>
    <row r="49" spans="1:8" ht="30" customHeight="1" thickBot="1" x14ac:dyDescent="0.35">
      <c r="A49" s="2009" t="str">
        <f>F!A335</f>
        <v>F69</v>
      </c>
      <c r="B49" s="1599" t="str">
        <f>F!B335</f>
        <v>Core Area 2 (VisitOften)</v>
      </c>
      <c r="C49" s="4" t="str">
        <f>F!C335</f>
        <v>The part of the AA visited by humans almost daily for several weeks during an average growing season probably comprises:  [The Note in the preceding question applies here as well].</v>
      </c>
      <c r="D49" s="875"/>
      <c r="E49" s="1287"/>
      <c r="F49" s="953"/>
      <c r="G49" s="813">
        <f>MAX(F50:F53)/MAX(E50:E53)</f>
        <v>0</v>
      </c>
      <c r="H49" s="1522" t="s">
        <v>124</v>
      </c>
    </row>
    <row r="50" spans="1:8" ht="16.2" customHeight="1" x14ac:dyDescent="0.3">
      <c r="A50" s="1934"/>
      <c r="B50" s="1582"/>
      <c r="C50" s="236" t="str">
        <f>F!C336</f>
        <v>&lt;5%.</v>
      </c>
      <c r="D50" s="1304">
        <f>F!D336</f>
        <v>0</v>
      </c>
      <c r="E50" s="843">
        <v>1</v>
      </c>
      <c r="F50" s="843">
        <f>D50*E50</f>
        <v>0</v>
      </c>
      <c r="G50" s="792"/>
      <c r="H50" s="1521"/>
    </row>
    <row r="51" spans="1:8" ht="16.2" customHeight="1" x14ac:dyDescent="0.3">
      <c r="A51" s="1934"/>
      <c r="B51" s="1582"/>
      <c r="C51" s="237" t="str">
        <f>F!C337</f>
        <v>5 to &lt;50%.</v>
      </c>
      <c r="D51" s="1081">
        <f>F!D337</f>
        <v>0</v>
      </c>
      <c r="E51" s="843">
        <v>2</v>
      </c>
      <c r="F51" s="843">
        <f>D51*E51</f>
        <v>0</v>
      </c>
      <c r="G51" s="793"/>
      <c r="H51" s="1521"/>
    </row>
    <row r="52" spans="1:8" ht="16.2" customHeight="1" x14ac:dyDescent="0.3">
      <c r="A52" s="1934"/>
      <c r="B52" s="1582"/>
      <c r="C52" s="237" t="str">
        <f>F!C338</f>
        <v>50 to 95%.</v>
      </c>
      <c r="D52" s="1081">
        <f>F!D338</f>
        <v>0</v>
      </c>
      <c r="E52" s="843">
        <v>3</v>
      </c>
      <c r="F52" s="843">
        <f>D52*E52</f>
        <v>0</v>
      </c>
      <c r="G52" s="793"/>
      <c r="H52" s="1521"/>
    </row>
    <row r="53" spans="1:8" ht="16.2" customHeight="1" thickBot="1" x14ac:dyDescent="0.35">
      <c r="A53" s="2010"/>
      <c r="B53" s="1600"/>
      <c r="C53" s="212" t="str">
        <f>F!C339</f>
        <v>&gt;95% of the AA.</v>
      </c>
      <c r="D53" s="213">
        <f>F!D339</f>
        <v>0</v>
      </c>
      <c r="E53" s="1299">
        <v>4</v>
      </c>
      <c r="F53" s="1299">
        <f>D53*E53</f>
        <v>0</v>
      </c>
      <c r="G53" s="909"/>
      <c r="H53" s="1523"/>
    </row>
    <row r="54" spans="1:8" ht="30" customHeight="1" thickBot="1" x14ac:dyDescent="0.35">
      <c r="A54" s="1875" t="str">
        <f>F!A340</f>
        <v>F70</v>
      </c>
      <c r="B54" s="1521" t="str">
        <f>F!B340</f>
        <v>Consumptive Uses (Provisioning Services)  (Hunt)</v>
      </c>
      <c r="C54" s="4" t="str">
        <f>F!C340</f>
        <v>Recent evidence was found within the AA of the following potentially-sustainable consumptive uses.  
Select All that apply.</v>
      </c>
      <c r="D54" s="866"/>
      <c r="E54" s="866"/>
      <c r="F54" s="866"/>
      <c r="G54" s="882">
        <f>SUM(F55:F59)/SUM(E55:E59)</f>
        <v>0</v>
      </c>
      <c r="H54" s="1521" t="s">
        <v>724</v>
      </c>
    </row>
    <row r="55" spans="1:8" ht="16.2" customHeight="1" x14ac:dyDescent="0.3">
      <c r="A55" s="1875"/>
      <c r="B55" s="1521"/>
      <c r="C55" s="236" t="str">
        <f>F!C341</f>
        <v>Low-impact commercial timber harvest (e.g., selective thinning).</v>
      </c>
      <c r="D55" s="1304">
        <f>F!D341</f>
        <v>0</v>
      </c>
      <c r="E55" s="843">
        <v>1</v>
      </c>
      <c r="F55" s="843">
        <f t="shared" ref="F55:F60" si="3">D55*E55</f>
        <v>0</v>
      </c>
      <c r="G55" s="793"/>
      <c r="H55" s="1521"/>
    </row>
    <row r="56" spans="1:8" ht="16.2" customHeight="1" x14ac:dyDescent="0.3">
      <c r="A56" s="1875"/>
      <c r="B56" s="1521"/>
      <c r="C56" s="237" t="str">
        <f>F!C342</f>
        <v>Commercial or traditional-use harvesting of native plants, their fruits, or mushrooms.</v>
      </c>
      <c r="D56" s="1081">
        <f>F!D342</f>
        <v>0</v>
      </c>
      <c r="E56" s="843">
        <v>1</v>
      </c>
      <c r="F56" s="843">
        <f t="shared" si="3"/>
        <v>0</v>
      </c>
      <c r="G56" s="793"/>
      <c r="H56" s="1521"/>
    </row>
    <row r="57" spans="1:8" ht="16.2" customHeight="1" x14ac:dyDescent="0.3">
      <c r="A57" s="1875"/>
      <c r="B57" s="1521"/>
      <c r="C57" s="237" t="str">
        <f>F!C343</f>
        <v>Waterfowl hunting.</v>
      </c>
      <c r="D57" s="1081">
        <f>F!D343</f>
        <v>0</v>
      </c>
      <c r="E57" s="843">
        <v>1</v>
      </c>
      <c r="F57" s="843">
        <f t="shared" si="3"/>
        <v>0</v>
      </c>
      <c r="G57" s="793"/>
      <c r="H57" s="1521"/>
    </row>
    <row r="58" spans="1:8" ht="16.2" customHeight="1" x14ac:dyDescent="0.3">
      <c r="A58" s="1875"/>
      <c r="B58" s="1521"/>
      <c r="C58" s="237" t="str">
        <f>F!C344</f>
        <v>Fishing.</v>
      </c>
      <c r="D58" s="1081">
        <f>F!D344</f>
        <v>0</v>
      </c>
      <c r="E58" s="843">
        <v>1</v>
      </c>
      <c r="F58" s="843">
        <f t="shared" si="3"/>
        <v>0</v>
      </c>
      <c r="G58" s="793"/>
      <c r="H58" s="1521"/>
    </row>
    <row r="59" spans="1:8" ht="16.2" customHeight="1" x14ac:dyDescent="0.3">
      <c r="A59" s="1875"/>
      <c r="B59" s="1521"/>
      <c r="C59" s="237" t="str">
        <f>F!C345</f>
        <v>Trapping of furbearers.</v>
      </c>
      <c r="D59" s="1081">
        <f>F!D345</f>
        <v>0</v>
      </c>
      <c r="E59" s="843">
        <v>1</v>
      </c>
      <c r="F59" s="843">
        <f t="shared" si="3"/>
        <v>0</v>
      </c>
      <c r="G59" s="793"/>
      <c r="H59" s="1521"/>
    </row>
    <row r="60" spans="1:8" ht="16.2" customHeight="1" thickBot="1" x14ac:dyDescent="0.35">
      <c r="A60" s="1875"/>
      <c r="B60" s="1521"/>
      <c r="C60" s="1275" t="str">
        <f>F!C346</f>
        <v>None of the above.</v>
      </c>
      <c r="D60" s="1276">
        <f>F!D346</f>
        <v>0</v>
      </c>
      <c r="E60" s="844">
        <v>0</v>
      </c>
      <c r="F60" s="844">
        <f t="shared" si="3"/>
        <v>0</v>
      </c>
      <c r="G60" s="800"/>
      <c r="H60" s="1521"/>
    </row>
    <row r="61" spans="1:8" s="373" customFormat="1" ht="36" customHeight="1" thickBot="1" x14ac:dyDescent="0.3">
      <c r="A61" s="374" t="s">
        <v>126</v>
      </c>
      <c r="B61" s="374" t="s">
        <v>1468</v>
      </c>
      <c r="C61" s="374" t="s">
        <v>1271</v>
      </c>
      <c r="D61" s="374" t="s">
        <v>115</v>
      </c>
      <c r="E61" s="374" t="s">
        <v>771</v>
      </c>
      <c r="F61" s="374" t="s">
        <v>1467</v>
      </c>
      <c r="G61" s="922" t="s">
        <v>770</v>
      </c>
      <c r="H61" s="374" t="s">
        <v>772</v>
      </c>
    </row>
    <row r="62" spans="1:8" s="2" customFormat="1" ht="21" customHeight="1" thickBot="1" x14ac:dyDescent="0.3">
      <c r="A62" s="1922" t="str">
        <f>T!A207</f>
        <v>T38</v>
      </c>
      <c r="B62" s="1522" t="str">
        <f>T!B207</f>
        <v>Non-consumptive Uses - Actual or Potential (RecPotenT)</v>
      </c>
      <c r="C62" s="4" t="str">
        <f>T!C207</f>
        <v>Select all statements that are true of this AA as it currently exists:</v>
      </c>
      <c r="D62" s="1372"/>
      <c r="E62" s="1414"/>
      <c r="F62" s="1414"/>
      <c r="G62" s="857">
        <f>SUM(D63:D66)/4</f>
        <v>0</v>
      </c>
      <c r="H62" s="1522" t="s">
        <v>14</v>
      </c>
    </row>
    <row r="63" spans="1:8" s="2" customFormat="1" ht="27" customHeight="1" x14ac:dyDescent="0.25">
      <c r="A63" s="1923"/>
      <c r="B63" s="1521"/>
      <c r="C63" s="236" t="str">
        <f>T!C208</f>
        <v>Walking is physically possible in &gt;5% of the AA during most of year (e.g., free of deep water and dense shrub thickets).</v>
      </c>
      <c r="D63" s="44">
        <f>T!D208</f>
        <v>0</v>
      </c>
      <c r="E63" s="45"/>
      <c r="F63" s="843"/>
      <c r="G63" s="792"/>
      <c r="H63" s="1521"/>
    </row>
    <row r="64" spans="1:8" s="2" customFormat="1" ht="27" customHeight="1" x14ac:dyDescent="0.25">
      <c r="A64" s="1923"/>
      <c r="B64" s="1521"/>
      <c r="C64" s="237" t="str">
        <f>T!C209</f>
        <v>All or part of the AA (or an area within sight of the AA and within 30 m) would be physically accessible to people in wheelchairs (e.g., paved and flat).</v>
      </c>
      <c r="D64" s="44">
        <f>T!D209</f>
        <v>0</v>
      </c>
      <c r="E64" s="45"/>
      <c r="F64" s="843"/>
      <c r="G64" s="793"/>
      <c r="H64" s="1521"/>
    </row>
    <row r="65" spans="1:8" s="2" customFormat="1" ht="27" customHeight="1" x14ac:dyDescent="0.25">
      <c r="A65" s="1923"/>
      <c r="B65" s="1521"/>
      <c r="C65" s="237" t="str">
        <f>T!C210</f>
        <v>Maintained roads, parking areas, or foot-trails are within 30 ft of the AA, or the AA can be accessed most of the year by boat.</v>
      </c>
      <c r="D65" s="44">
        <f>T!D210</f>
        <v>0</v>
      </c>
      <c r="E65" s="45"/>
      <c r="F65" s="843"/>
      <c r="G65" s="793"/>
      <c r="H65" s="1521"/>
    </row>
    <row r="66" spans="1:8" s="2" customFormat="1" ht="27" customHeight="1" thickBot="1" x14ac:dyDescent="0.3">
      <c r="A66" s="1924"/>
      <c r="B66" s="1523"/>
      <c r="C66" s="212" t="str">
        <f>T!C211</f>
        <v>Within or near the AA, there is an interpretive center, trails with interpretive signs or brochures, and/or regular guided interpretive tours.</v>
      </c>
      <c r="D66" s="198">
        <f>T!D211</f>
        <v>0</v>
      </c>
      <c r="E66" s="193"/>
      <c r="F66" s="1299"/>
      <c r="G66" s="1168"/>
      <c r="H66" s="1523"/>
    </row>
    <row r="67" spans="1:8" ht="60" customHeight="1" thickBot="1" x14ac:dyDescent="0.35">
      <c r="A67" s="1922" t="str">
        <f>T!A212</f>
        <v>T39</v>
      </c>
      <c r="B67" s="1521" t="str">
        <f>T!B212</f>
        <v>Core Area 1 (VisitNoT)</v>
      </c>
      <c r="C67" s="4" t="str">
        <f>T!C212</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67" s="865"/>
      <c r="E67" s="866"/>
      <c r="F67" s="866"/>
      <c r="G67" s="857">
        <f>MAX(F68:F73)/MAX(E68:E73)</f>
        <v>0</v>
      </c>
      <c r="H67" s="1521" t="s">
        <v>15</v>
      </c>
    </row>
    <row r="68" spans="1:8" ht="16.2" customHeight="1" x14ac:dyDescent="0.3">
      <c r="A68" s="1923"/>
      <c r="B68" s="1521"/>
      <c r="C68" s="236" t="str">
        <f>T!C213</f>
        <v>&lt;5% and no inhabited building is within 300 ft of the AA.</v>
      </c>
      <c r="D68" s="44">
        <f>T!D213</f>
        <v>0</v>
      </c>
      <c r="E68" s="843">
        <v>4</v>
      </c>
      <c r="F68" s="843">
        <f t="shared" ref="F68:F73" si="4">D68*E68</f>
        <v>0</v>
      </c>
      <c r="G68" s="792"/>
      <c r="H68" s="1521"/>
    </row>
    <row r="69" spans="1:8" ht="16.2" customHeight="1" x14ac:dyDescent="0.3">
      <c r="A69" s="1923"/>
      <c r="B69" s="1521"/>
      <c r="C69" s="237" t="str">
        <f>T!C214</f>
        <v>&lt;5% and inhabited building is within 300 ft of the AA.</v>
      </c>
      <c r="D69" s="44">
        <f>T!D214</f>
        <v>0</v>
      </c>
      <c r="E69" s="843">
        <v>5</v>
      </c>
      <c r="F69" s="843">
        <f t="shared" si="4"/>
        <v>0</v>
      </c>
      <c r="G69" s="793"/>
      <c r="H69" s="1521"/>
    </row>
    <row r="70" spans="1:8" ht="16.2" customHeight="1" x14ac:dyDescent="0.3">
      <c r="A70" s="1923"/>
      <c r="B70" s="1521"/>
      <c r="C70" s="237" t="str">
        <f>T!C215</f>
        <v>5 &lt;50% and no inhabited building is within 300 ft of the AA.</v>
      </c>
      <c r="D70" s="44">
        <f>T!D215</f>
        <v>0</v>
      </c>
      <c r="E70" s="843">
        <v>2</v>
      </c>
      <c r="F70" s="843">
        <f t="shared" si="4"/>
        <v>0</v>
      </c>
      <c r="G70" s="793"/>
      <c r="H70" s="1521"/>
    </row>
    <row r="71" spans="1:8" ht="16.2" customHeight="1" x14ac:dyDescent="0.3">
      <c r="A71" s="1923"/>
      <c r="B71" s="1521"/>
      <c r="C71" s="237" t="str">
        <f>T!C216</f>
        <v>5 to &lt;50% and inhabited building is within 300 ft of the AA.</v>
      </c>
      <c r="D71" s="44">
        <f>T!D216</f>
        <v>0</v>
      </c>
      <c r="E71" s="843">
        <v>3</v>
      </c>
      <c r="F71" s="843">
        <f t="shared" si="4"/>
        <v>0</v>
      </c>
      <c r="G71" s="793"/>
      <c r="H71" s="1521"/>
    </row>
    <row r="72" spans="1:8" ht="16.2" customHeight="1" x14ac:dyDescent="0.3">
      <c r="A72" s="1923"/>
      <c r="B72" s="1521"/>
      <c r="C72" s="237" t="str">
        <f>T!C217</f>
        <v>50 to 95% with or without inhabited building nearby.</v>
      </c>
      <c r="D72" s="44">
        <f>T!D217</f>
        <v>0</v>
      </c>
      <c r="E72" s="843">
        <v>1</v>
      </c>
      <c r="F72" s="843">
        <f t="shared" si="4"/>
        <v>0</v>
      </c>
      <c r="G72" s="793"/>
      <c r="H72" s="1521"/>
    </row>
    <row r="73" spans="1:8" ht="16.2" customHeight="1" thickBot="1" x14ac:dyDescent="0.35">
      <c r="A73" s="1924"/>
      <c r="B73" s="1521"/>
      <c r="C73" s="1275" t="str">
        <f>T!C218</f>
        <v>&gt;95% of the AA with or without inhabited building nearby.</v>
      </c>
      <c r="D73" s="17">
        <f>T!D218</f>
        <v>0</v>
      </c>
      <c r="E73" s="844">
        <v>0</v>
      </c>
      <c r="F73" s="844">
        <f t="shared" si="4"/>
        <v>0</v>
      </c>
      <c r="G73" s="800"/>
      <c r="H73" s="1521"/>
    </row>
    <row r="74" spans="1:8" ht="30" customHeight="1" thickBot="1" x14ac:dyDescent="0.35">
      <c r="A74" s="1922" t="str">
        <f>T!A219</f>
        <v>T40</v>
      </c>
      <c r="B74" s="1522" t="str">
        <f>T!B219</f>
        <v>Core Area 2 (VisitOftenT)</v>
      </c>
      <c r="C74" s="4" t="str">
        <f>T!C219</f>
        <v>The part of the AA visited by humans almost daily for several weeks during an average growing season probably comprises:  [The Note in the preceding question applies here as well].</v>
      </c>
      <c r="D74" s="856"/>
      <c r="E74" s="1287"/>
      <c r="F74" s="1287"/>
      <c r="G74" s="857">
        <f>MAX(F75:F78)/MAX(E75:E78)</f>
        <v>0</v>
      </c>
      <c r="H74" s="1522" t="s">
        <v>124</v>
      </c>
    </row>
    <row r="75" spans="1:8" ht="16.2" customHeight="1" x14ac:dyDescent="0.3">
      <c r="A75" s="1923"/>
      <c r="B75" s="1521"/>
      <c r="C75" s="236" t="str">
        <f>T!C220</f>
        <v>&lt;5%.</v>
      </c>
      <c r="D75" s="44">
        <f>T!D220</f>
        <v>0</v>
      </c>
      <c r="E75" s="843">
        <v>1</v>
      </c>
      <c r="F75" s="843">
        <f>D75*E75</f>
        <v>0</v>
      </c>
      <c r="G75" s="792"/>
      <c r="H75" s="1521"/>
    </row>
    <row r="76" spans="1:8" ht="16.2" customHeight="1" x14ac:dyDescent="0.3">
      <c r="A76" s="1923"/>
      <c r="B76" s="1521"/>
      <c r="C76" s="237" t="str">
        <f>T!C221</f>
        <v>5 to &lt;50%.</v>
      </c>
      <c r="D76" s="44">
        <f>T!D221</f>
        <v>0</v>
      </c>
      <c r="E76" s="843">
        <v>2</v>
      </c>
      <c r="F76" s="843">
        <f>D76*E76</f>
        <v>0</v>
      </c>
      <c r="G76" s="793"/>
      <c r="H76" s="1521"/>
    </row>
    <row r="77" spans="1:8" ht="16.2" customHeight="1" x14ac:dyDescent="0.3">
      <c r="A77" s="1923"/>
      <c r="B77" s="1521"/>
      <c r="C77" s="237" t="str">
        <f>T!C222</f>
        <v>50 to 95%.</v>
      </c>
      <c r="D77" s="44">
        <f>T!D222</f>
        <v>0</v>
      </c>
      <c r="E77" s="843">
        <v>3</v>
      </c>
      <c r="F77" s="843">
        <f>D77*E77</f>
        <v>0</v>
      </c>
      <c r="G77" s="793"/>
      <c r="H77" s="1521"/>
    </row>
    <row r="78" spans="1:8" ht="16.2" customHeight="1" thickBot="1" x14ac:dyDescent="0.35">
      <c r="A78" s="1924"/>
      <c r="B78" s="1523"/>
      <c r="C78" s="212" t="str">
        <f>T!C223</f>
        <v>&gt;95% of the AA.</v>
      </c>
      <c r="D78" s="198">
        <f>T!D223</f>
        <v>0</v>
      </c>
      <c r="E78" s="1299">
        <v>4</v>
      </c>
      <c r="F78" s="1299">
        <f>D78*E78</f>
        <v>0</v>
      </c>
      <c r="G78" s="1168"/>
      <c r="H78" s="1523"/>
    </row>
    <row r="79" spans="1:8" ht="30" customHeight="1" thickBot="1" x14ac:dyDescent="0.35">
      <c r="A79" s="1922" t="str">
        <f>T!A224</f>
        <v>T41</v>
      </c>
      <c r="B79" s="1521" t="str">
        <f>T!B224</f>
        <v>Consumptive Uses (Provisioning Services) (UsesT)</v>
      </c>
      <c r="C79" s="4" t="str">
        <f>T!C224</f>
        <v>Recent evidence was found within the AA of the following potentially-sustainable consumptive uses.  Select all that apply.</v>
      </c>
      <c r="D79" s="865"/>
      <c r="E79" s="866"/>
      <c r="F79" s="866"/>
      <c r="G79" s="857">
        <f>MAX(F80:F83)/MAX(E80:E83)</f>
        <v>0</v>
      </c>
      <c r="H79" s="1521" t="s">
        <v>724</v>
      </c>
    </row>
    <row r="80" spans="1:8" ht="16.2" customHeight="1" x14ac:dyDescent="0.3">
      <c r="A80" s="1923"/>
      <c r="B80" s="1521"/>
      <c r="C80" s="236" t="str">
        <f>T!C225</f>
        <v>Commercial or traditional-use harvesting of native plants, their fruits, or mushrooms.</v>
      </c>
      <c r="D80" s="44">
        <f>T!D225</f>
        <v>0</v>
      </c>
      <c r="E80" s="843">
        <v>1</v>
      </c>
      <c r="F80" s="843">
        <f>D80*E80</f>
        <v>0</v>
      </c>
      <c r="G80" s="792"/>
      <c r="H80" s="1521"/>
    </row>
    <row r="81" spans="1:8" ht="16.2" customHeight="1" x14ac:dyDescent="0.3">
      <c r="A81" s="1923"/>
      <c r="B81" s="1521"/>
      <c r="C81" s="237" t="str">
        <f>T!C226</f>
        <v>Waterfowl hunting or furbearer trapping.</v>
      </c>
      <c r="D81" s="44">
        <f>T!D226</f>
        <v>0</v>
      </c>
      <c r="E81" s="843">
        <v>1</v>
      </c>
      <c r="F81" s="843">
        <f>D81*E81</f>
        <v>0</v>
      </c>
      <c r="G81" s="793"/>
      <c r="H81" s="1521"/>
    </row>
    <row r="82" spans="1:8" ht="16.2" customHeight="1" x14ac:dyDescent="0.3">
      <c r="A82" s="1923"/>
      <c r="B82" s="1521"/>
      <c r="C82" s="237" t="str">
        <f>T!C227</f>
        <v>Fishing.</v>
      </c>
      <c r="D82" s="44">
        <f>T!D227</f>
        <v>0</v>
      </c>
      <c r="E82" s="843">
        <v>1</v>
      </c>
      <c r="F82" s="843">
        <f>D82*E82</f>
        <v>0</v>
      </c>
      <c r="G82" s="793"/>
      <c r="H82" s="1521"/>
    </row>
    <row r="83" spans="1:8" ht="16.2" customHeight="1" thickBot="1" x14ac:dyDescent="0.35">
      <c r="A83" s="1924"/>
      <c r="B83" s="1521"/>
      <c r="C83" s="1275" t="str">
        <f>T!C228</f>
        <v>None of the above.</v>
      </c>
      <c r="D83" s="17">
        <f>T!D228</f>
        <v>0</v>
      </c>
      <c r="E83" s="844">
        <v>0</v>
      </c>
      <c r="F83" s="844">
        <f>D83*E83</f>
        <v>0</v>
      </c>
      <c r="G83" s="800"/>
      <c r="H83" s="1521"/>
    </row>
    <row r="84" spans="1:8" ht="21" customHeight="1" thickBot="1" x14ac:dyDescent="0.35">
      <c r="A84" s="1922" t="str">
        <f>T!A229</f>
        <v>T42</v>
      </c>
      <c r="B84" s="1522" t="str">
        <f>T!B229</f>
        <v>Ownership (OwnershipT)</v>
      </c>
      <c r="C84" s="4" t="str">
        <f>T!C229</f>
        <v>Most of the AA  is:</v>
      </c>
      <c r="D84" s="856"/>
      <c r="E84" s="1287"/>
      <c r="F84" s="1287"/>
      <c r="G84" s="857">
        <f>MAX(F85:F87)/MAX(E85:E87)</f>
        <v>0</v>
      </c>
      <c r="H84" s="1599" t="s">
        <v>13</v>
      </c>
    </row>
    <row r="85" spans="1:8" ht="16.2" customHeight="1" x14ac:dyDescent="0.3">
      <c r="A85" s="1923"/>
      <c r="B85" s="1521"/>
      <c r="C85" s="236" t="str">
        <f>T!C230</f>
        <v xml:space="preserve">Publicly owned (municipal, county, state, federal). </v>
      </c>
      <c r="D85" s="44">
        <f>T!D230</f>
        <v>0</v>
      </c>
      <c r="E85" s="843">
        <v>3</v>
      </c>
      <c r="F85" s="843">
        <f t="shared" ref="F85:F91" si="5">D85*E85</f>
        <v>0</v>
      </c>
      <c r="G85" s="792"/>
      <c r="H85" s="1582"/>
    </row>
    <row r="86" spans="1:8" ht="16.2" customHeight="1" x14ac:dyDescent="0.3">
      <c r="A86" s="1923"/>
      <c r="B86" s="1521"/>
      <c r="C86" s="237" t="str">
        <f>T!C231</f>
        <v>Non-profit conservation organization that allows public access to this AA.</v>
      </c>
      <c r="D86" s="44">
        <f>T!D231</f>
        <v>0</v>
      </c>
      <c r="E86" s="843">
        <v>2</v>
      </c>
      <c r="F86" s="843">
        <f t="shared" si="5"/>
        <v>0</v>
      </c>
      <c r="G86" s="793"/>
      <c r="H86" s="1582"/>
    </row>
    <row r="87" spans="1:8" ht="16.2" customHeight="1" thickBot="1" x14ac:dyDescent="0.35">
      <c r="A87" s="1924"/>
      <c r="B87" s="1523"/>
      <c r="C87" s="212" t="str">
        <f>T!C232</f>
        <v>Other private ownership, including tribal.  Enter 1, if true and SKIP to T44.</v>
      </c>
      <c r="D87" s="198">
        <f>T!D232</f>
        <v>0</v>
      </c>
      <c r="E87" s="1299">
        <v>1</v>
      </c>
      <c r="F87" s="1299">
        <f t="shared" si="5"/>
        <v>0</v>
      </c>
      <c r="G87" s="1168"/>
      <c r="H87" s="1600"/>
    </row>
    <row r="88" spans="1:8" ht="45" customHeight="1" thickBot="1" x14ac:dyDescent="0.35">
      <c r="A88" s="1415" t="str">
        <f>T!A233</f>
        <v>T43</v>
      </c>
      <c r="B88" s="712" t="str">
        <f>T!B233</f>
        <v>Special Protected Area Designation (DesigT)</v>
      </c>
      <c r="C88" s="393" t="str">
        <f>T!C233</f>
        <v>The AA is part of an area designated as a Bureau of Land Management Area of Critical Environmental Concern (ACEC) or Outstanding Natural Area (ONA), Federal Research Natural Area (RNA) or Special Interest Area (SIA), or Natural Heritage Conservation Area (NHCA).</v>
      </c>
      <c r="D88" s="559">
        <f>T!D233</f>
        <v>0</v>
      </c>
      <c r="E88" s="1207"/>
      <c r="F88" s="1207">
        <f t="shared" si="5"/>
        <v>0</v>
      </c>
      <c r="G88" s="857">
        <f>IF((PrivateOwnT=1),"",D88)</f>
        <v>0</v>
      </c>
      <c r="H88" s="712" t="s">
        <v>735</v>
      </c>
    </row>
    <row r="89" spans="1:8" ht="45" customHeight="1" thickBot="1" x14ac:dyDescent="0.35">
      <c r="A89" s="1415" t="str">
        <f>T!A234</f>
        <v>T44</v>
      </c>
      <c r="B89" s="4" t="str">
        <f>T!B234</f>
        <v>Conservation Investment (ConsInvestT)</v>
      </c>
      <c r="C89" s="1278" t="str">
        <f>T!C234</f>
        <v>The AA is on private lands and is not a mitigation wetland, but public funds have been spent to preserve, create, restore, or enhance functions of the wetland.  Enter 1, if true.   If unknown, leave 0).</v>
      </c>
      <c r="D89" s="220">
        <f>T!D234</f>
        <v>0</v>
      </c>
      <c r="E89" s="1205"/>
      <c r="F89" s="1205">
        <f t="shared" si="5"/>
        <v>0</v>
      </c>
      <c r="G89" s="857">
        <f>IF((D89=""),"",D89)</f>
        <v>0</v>
      </c>
      <c r="H89" s="4" t="s">
        <v>19</v>
      </c>
    </row>
    <row r="90" spans="1:8" ht="33" customHeight="1" thickBot="1" x14ac:dyDescent="0.35">
      <c r="A90" s="1415" t="str">
        <f>T!A235</f>
        <v>T45</v>
      </c>
      <c r="B90" s="712" t="str">
        <f>T!B235</f>
        <v>Compensation Wetland (MitWetT)</v>
      </c>
      <c r="C90" s="393" t="str">
        <f>T!C235</f>
        <v>The AA is all or part of a compensation site used explicitly to offset impacts elsewhere.  
Enter 1, if true.   If unknown, leave 0)</v>
      </c>
      <c r="D90" s="559">
        <f>T!D235</f>
        <v>0</v>
      </c>
      <c r="E90" s="1207"/>
      <c r="F90" s="1207">
        <f t="shared" si="5"/>
        <v>0</v>
      </c>
      <c r="G90" s="857">
        <f>IF((D90=""),"",D90)</f>
        <v>0</v>
      </c>
      <c r="H90" s="712" t="s">
        <v>18</v>
      </c>
    </row>
    <row r="91" spans="1:8" ht="60" customHeight="1" thickBot="1" x14ac:dyDescent="0.35">
      <c r="A91" s="1415" t="str">
        <f>T!A236</f>
        <v>T46</v>
      </c>
      <c r="B91" s="4" t="str">
        <f>T!B236</f>
        <v>Sustained Scientific Use (SciUseT)</v>
      </c>
      <c r="C91" s="1278" t="str">
        <f>T!C236</f>
        <v>Plants, animals, or water in the AA have been monitored for &gt;2 years, unrelated to any regulatory requirements, and data are available to the public.  Or the AA is part of an area that has been designated by an agency or institution as a benchmark, reference, or status-trends monitoring area.  Enter 1, if true.   If unknown, leave 0)</v>
      </c>
      <c r="D91" s="220">
        <f>T!D236</f>
        <v>0</v>
      </c>
      <c r="E91" s="1205"/>
      <c r="F91" s="1205">
        <f t="shared" si="5"/>
        <v>0</v>
      </c>
      <c r="G91" s="857">
        <f>IF((D91=""),"",IF((MitSiteT=1),"",D91))</f>
        <v>0</v>
      </c>
      <c r="H91" s="4" t="s">
        <v>17</v>
      </c>
    </row>
    <row r="92" spans="1:8" ht="21" customHeight="1" thickBot="1" x14ac:dyDescent="0.35">
      <c r="G92" s="1338"/>
    </row>
    <row r="93" spans="1:8" s="2" customFormat="1" ht="30" customHeight="1" x14ac:dyDescent="0.25">
      <c r="C93" s="1834"/>
      <c r="D93" s="2162" t="s">
        <v>657</v>
      </c>
      <c r="E93" s="2162"/>
      <c r="F93" s="2162"/>
      <c r="G93" s="897">
        <f>IF((Tidal=1),AVERAGE(VisitNoT17v,VisitOftenT17v,UsesT17v,RecPotenT), (AVERAGE(VisitNo17v, VisitOften17v,Zoning17v,Consumables17v,RecPoten17v,DistRd17v,Visibil17v,OWareaDry17v)))</f>
        <v>0</v>
      </c>
      <c r="H93" s="253" t="s">
        <v>1203</v>
      </c>
    </row>
    <row r="94" spans="1:8" s="2" customFormat="1" ht="28.5" customHeight="1" thickBot="1" x14ac:dyDescent="0.3">
      <c r="C94" s="1963"/>
      <c r="D94" s="2161" t="s">
        <v>163</v>
      </c>
      <c r="E94" s="2161"/>
      <c r="F94" s="2161"/>
      <c r="G94" s="898">
        <f>IF((Tidal=1),MAX(DesigT17v,MitWetT17v,ConsInvestT17v,SciUseT17v), MAX(Desig17v,MitWet17v,ConsInvest17v,SciUse17v))</f>
        <v>0</v>
      </c>
      <c r="H94" s="1285" t="s">
        <v>658</v>
      </c>
    </row>
    <row r="95" spans="1:8" s="2" customFormat="1" ht="33" customHeight="1" thickBot="1" x14ac:dyDescent="0.3">
      <c r="A95" s="15"/>
      <c r="C95" s="1807" t="s">
        <v>616</v>
      </c>
      <c r="D95" s="1808"/>
      <c r="E95" s="1808"/>
      <c r="F95" s="1809"/>
      <c r="G95" s="1416">
        <f>10*(IF((Tidal=1), AVERAGE(OwnershipT17v,AVERAGE(Conven,Invest,Zoning17v)), AVERAGE(Ownership17v,AVERAGE(Conven,Invest,Zoning17v))))</f>
        <v>0</v>
      </c>
      <c r="H95" s="251" t="s">
        <v>2246</v>
      </c>
    </row>
  </sheetData>
  <sheetProtection password="C74A" sheet="1" objects="1" scenarios="1" formatCells="0" formatColumns="0" formatRows="0"/>
  <customSheetViews>
    <customSheetView guid="{B8E02330-2419-4DE6-AD01-7ACC7A5D18DD}" scale="75">
      <pageMargins left="0.75" right="0.75" top="1" bottom="1" header="0.5" footer="0.5"/>
      <pageSetup orientation="portrait" r:id="rId1"/>
      <headerFooter alignWithMargins="0"/>
    </customSheetView>
  </customSheetViews>
  <mergeCells count="48">
    <mergeCell ref="E1:H1"/>
    <mergeCell ref="C93:C94"/>
    <mergeCell ref="C95:F95"/>
    <mergeCell ref="A54:A60"/>
    <mergeCell ref="H54:H60"/>
    <mergeCell ref="B62:B66"/>
    <mergeCell ref="H62:H66"/>
    <mergeCell ref="A62:A66"/>
    <mergeCell ref="A67:A73"/>
    <mergeCell ref="A74:A78"/>
    <mergeCell ref="A79:A83"/>
    <mergeCell ref="A84:A87"/>
    <mergeCell ref="H67:H73"/>
    <mergeCell ref="H74:H78"/>
    <mergeCell ref="H79:H83"/>
    <mergeCell ref="H84:H87"/>
    <mergeCell ref="B49:B53"/>
    <mergeCell ref="B67:B73"/>
    <mergeCell ref="B74:B78"/>
    <mergeCell ref="B79:B83"/>
    <mergeCell ref="B84:B87"/>
    <mergeCell ref="B54:B60"/>
    <mergeCell ref="H3:H9"/>
    <mergeCell ref="H42:H48"/>
    <mergeCell ref="A37:A41"/>
    <mergeCell ref="H33:H36"/>
    <mergeCell ref="H37:H41"/>
    <mergeCell ref="B42:B48"/>
    <mergeCell ref="B10:B14"/>
    <mergeCell ref="B25:B28"/>
    <mergeCell ref="B33:B36"/>
    <mergeCell ref="B37:B41"/>
    <mergeCell ref="A1:B1"/>
    <mergeCell ref="D94:F94"/>
    <mergeCell ref="H15:H24"/>
    <mergeCell ref="A25:A28"/>
    <mergeCell ref="D93:F93"/>
    <mergeCell ref="A15:A24"/>
    <mergeCell ref="H25:H28"/>
    <mergeCell ref="A33:A36"/>
    <mergeCell ref="H49:H53"/>
    <mergeCell ref="A42:A48"/>
    <mergeCell ref="H10:H14"/>
    <mergeCell ref="A10:A14"/>
    <mergeCell ref="A3:A9"/>
    <mergeCell ref="A49:A53"/>
    <mergeCell ref="B3:B9"/>
    <mergeCell ref="B15:B24"/>
  </mergeCells>
  <phoneticPr fontId="3" type="noConversion"/>
  <pageMargins left="0.75" right="0.75" top="1" bottom="1" header="0.5" footer="0.5"/>
  <pageSetup orientation="portrait" r:id="rId2"/>
  <headerFooter alignWithMargins="0"/>
  <ignoredErrors>
    <ignoredError sqref="G54"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indexed="51"/>
  </sheetPr>
  <dimension ref="A1:H276"/>
  <sheetViews>
    <sheetView zoomScaleNormal="100" workbookViewId="0">
      <selection activeCell="G241" sqref="G241:G246"/>
    </sheetView>
  </sheetViews>
  <sheetFormatPr defaultColWidth="9.33203125" defaultRowHeight="13.8" x14ac:dyDescent="0.25"/>
  <cols>
    <col min="1" max="1" width="5.77734375" style="2" customWidth="1"/>
    <col min="2" max="2" width="18.77734375" style="2" customWidth="1"/>
    <col min="3" max="3" width="75.77734375" style="3" customWidth="1"/>
    <col min="4" max="4" width="8.44140625" style="48" customWidth="1"/>
    <col min="5" max="5" width="8.33203125" style="48" customWidth="1"/>
    <col min="6" max="6" width="9.6640625" style="48" customWidth="1"/>
    <col min="7" max="7" width="13.109375" style="8" customWidth="1"/>
    <col min="8" max="8" width="75.77734375" style="11" customWidth="1"/>
    <col min="9" max="9" width="15.109375" style="3" customWidth="1"/>
    <col min="10" max="16384" width="9.33203125" style="3"/>
  </cols>
  <sheetData>
    <row r="1" spans="1:8" s="100" customFormat="1" ht="51" customHeight="1" thickBot="1" x14ac:dyDescent="0.3">
      <c r="A1" s="1826" t="s">
        <v>595</v>
      </c>
      <c r="B1" s="1827"/>
      <c r="C1" s="1417" t="s">
        <v>594</v>
      </c>
      <c r="D1" s="1418" t="s">
        <v>1196</v>
      </c>
      <c r="E1" s="2189"/>
      <c r="F1" s="2189"/>
      <c r="G1" s="2189"/>
      <c r="H1" s="2189"/>
    </row>
    <row r="2" spans="1:8" s="372" customFormat="1" ht="45" customHeight="1" thickBot="1" x14ac:dyDescent="0.3">
      <c r="A2" s="1419" t="s">
        <v>126</v>
      </c>
      <c r="B2" s="1419" t="s">
        <v>1491</v>
      </c>
      <c r="C2" s="1420" t="s">
        <v>1271</v>
      </c>
      <c r="D2" s="1419" t="s">
        <v>115</v>
      </c>
      <c r="E2" s="1421" t="s">
        <v>771</v>
      </c>
      <c r="F2" s="1419" t="s">
        <v>1462</v>
      </c>
      <c r="G2" s="1422" t="s">
        <v>1273</v>
      </c>
      <c r="H2" s="1419" t="s">
        <v>772</v>
      </c>
    </row>
    <row r="3" spans="1:8" ht="30" customHeight="1" thickBot="1" x14ac:dyDescent="0.3">
      <c r="A3" s="1591" t="str">
        <f>OF!A4</f>
        <v>OF1</v>
      </c>
      <c r="B3" s="1582" t="str">
        <f>OF!B4</f>
        <v>Distance to Extensive Perennial Cover (DistPerCov)</v>
      </c>
      <c r="C3" s="4" t="str">
        <f>OF!C4</f>
        <v>The distance from the AA edge to the edge of the closest patch or corridor of perennial cover (see definition in column E) larger than 100 acres is:</v>
      </c>
      <c r="D3" s="65"/>
      <c r="E3" s="46"/>
      <c r="F3" s="963"/>
      <c r="G3" s="1423">
        <f>(MAX(F4:F9)/MAX(E4:E9))</f>
        <v>0</v>
      </c>
      <c r="H3" s="1521" t="s">
        <v>260</v>
      </c>
    </row>
    <row r="4" spans="1:8" ht="16.2" customHeight="1" x14ac:dyDescent="0.25">
      <c r="A4" s="1592"/>
      <c r="B4" s="1582"/>
      <c r="C4" s="393" t="str">
        <f>OF!C5</f>
        <v>&lt;100 ft.</v>
      </c>
      <c r="D4" s="1306">
        <f>OF!D5</f>
        <v>0</v>
      </c>
      <c r="E4" s="843">
        <v>0</v>
      </c>
      <c r="F4" s="1122">
        <f t="shared" ref="F4:F9" si="0">D4*E4</f>
        <v>0</v>
      </c>
      <c r="G4" s="956"/>
      <c r="H4" s="1521"/>
    </row>
    <row r="5" spans="1:8" ht="16.2" customHeight="1" x14ac:dyDescent="0.25">
      <c r="A5" s="1592"/>
      <c r="B5" s="1582"/>
      <c r="C5" s="1275" t="str">
        <f>OF!C6</f>
        <v>100 to &lt;300 ft.</v>
      </c>
      <c r="D5" s="1276">
        <f>OF!D6</f>
        <v>0</v>
      </c>
      <c r="E5" s="843">
        <v>2</v>
      </c>
      <c r="F5" s="1122">
        <f t="shared" si="0"/>
        <v>0</v>
      </c>
      <c r="G5" s="957"/>
      <c r="H5" s="1521"/>
    </row>
    <row r="6" spans="1:8" ht="16.2" customHeight="1" x14ac:dyDescent="0.25">
      <c r="A6" s="1592"/>
      <c r="B6" s="1582"/>
      <c r="C6" s="1275" t="str">
        <f>OF!C7</f>
        <v>300 to &lt;1000 ft.</v>
      </c>
      <c r="D6" s="1276">
        <f>OF!D7</f>
        <v>0</v>
      </c>
      <c r="E6" s="843">
        <v>3</v>
      </c>
      <c r="F6" s="1122">
        <f t="shared" si="0"/>
        <v>0</v>
      </c>
      <c r="G6" s="957"/>
      <c r="H6" s="1521"/>
    </row>
    <row r="7" spans="1:8" ht="16.2" customHeight="1" x14ac:dyDescent="0.25">
      <c r="A7" s="1592"/>
      <c r="B7" s="1582"/>
      <c r="C7" s="1275" t="str">
        <f>OF!C8</f>
        <v>1000 ft. to &lt;0.5 mile.</v>
      </c>
      <c r="D7" s="1276">
        <f>OF!D8</f>
        <v>0</v>
      </c>
      <c r="E7" s="843">
        <v>4</v>
      </c>
      <c r="F7" s="1122">
        <f t="shared" si="0"/>
        <v>0</v>
      </c>
      <c r="G7" s="957"/>
      <c r="H7" s="1521"/>
    </row>
    <row r="8" spans="1:8" ht="16.2" customHeight="1" x14ac:dyDescent="0.25">
      <c r="A8" s="1592"/>
      <c r="B8" s="1582"/>
      <c r="C8" s="1275" t="str">
        <f>OF!C9</f>
        <v>0.5 mile to 2 miles.</v>
      </c>
      <c r="D8" s="1276">
        <f>OF!D9</f>
        <v>0</v>
      </c>
      <c r="E8" s="843">
        <v>5</v>
      </c>
      <c r="F8" s="1122">
        <f t="shared" si="0"/>
        <v>0</v>
      </c>
      <c r="G8" s="957"/>
      <c r="H8" s="1521"/>
    </row>
    <row r="9" spans="1:8" ht="16.2" customHeight="1" thickBot="1" x14ac:dyDescent="0.3">
      <c r="A9" s="1593"/>
      <c r="B9" s="1582"/>
      <c r="C9" s="1275" t="str">
        <f>OF!C10</f>
        <v>&gt; 2 miles.</v>
      </c>
      <c r="D9" s="1276">
        <f>OF!D10</f>
        <v>0</v>
      </c>
      <c r="E9" s="844">
        <v>6</v>
      </c>
      <c r="F9" s="1140">
        <f t="shared" si="0"/>
        <v>0</v>
      </c>
      <c r="G9" s="959"/>
      <c r="H9" s="1521"/>
    </row>
    <row r="10" spans="1:8" ht="30" customHeight="1" thickBot="1" x14ac:dyDescent="0.3">
      <c r="A10" s="2174" t="str">
        <f>OF!A15</f>
        <v>OF3</v>
      </c>
      <c r="B10" s="1599" t="str">
        <f>OF!B15</f>
        <v>Distance to Ponded Water (DistPond)</v>
      </c>
      <c r="C10" s="114" t="str">
        <f>OF!C15</f>
        <v>The distance from the AA edge to the closest (but separate) body of nontidal fresh water (wetland, pond, or lake) that  is ponded all or most of the year is:</v>
      </c>
      <c r="D10" s="1044"/>
      <c r="E10" s="1044"/>
      <c r="F10" s="955"/>
      <c r="G10" s="1424">
        <f>(MAX(F11:F16)/MAX(E11:E16))</f>
        <v>0</v>
      </c>
      <c r="H10" s="1522" t="s">
        <v>725</v>
      </c>
    </row>
    <row r="11" spans="1:8" ht="16.2" customHeight="1" x14ac:dyDescent="0.25">
      <c r="A11" s="2175"/>
      <c r="B11" s="1582"/>
      <c r="C11" s="1310" t="str">
        <f>OF!C16</f>
        <v>&lt;100 ft.</v>
      </c>
      <c r="D11" s="1304">
        <f>OF!D16</f>
        <v>0</v>
      </c>
      <c r="E11" s="843">
        <v>0</v>
      </c>
      <c r="F11" s="1122">
        <f t="shared" ref="F11:F16" si="1">D11*E11</f>
        <v>0</v>
      </c>
      <c r="G11" s="957"/>
      <c r="H11" s="1521"/>
    </row>
    <row r="12" spans="1:8" ht="16.2" customHeight="1" x14ac:dyDescent="0.25">
      <c r="A12" s="2175"/>
      <c r="B12" s="1582"/>
      <c r="C12" s="1311" t="str">
        <f>OF!C17</f>
        <v>100 to &lt;300 ft.</v>
      </c>
      <c r="D12" s="1081">
        <f>OF!D17</f>
        <v>0</v>
      </c>
      <c r="E12" s="843">
        <v>2</v>
      </c>
      <c r="F12" s="1122">
        <f t="shared" si="1"/>
        <v>0</v>
      </c>
      <c r="G12" s="957"/>
      <c r="H12" s="1521"/>
    </row>
    <row r="13" spans="1:8" ht="16.2" customHeight="1" x14ac:dyDescent="0.25">
      <c r="A13" s="2175"/>
      <c r="B13" s="1582"/>
      <c r="C13" s="1311" t="str">
        <f>OF!C18</f>
        <v>300 to &lt;1000 ft.</v>
      </c>
      <c r="D13" s="1081">
        <f>OF!D18</f>
        <v>0</v>
      </c>
      <c r="E13" s="843">
        <v>3</v>
      </c>
      <c r="F13" s="1122">
        <f t="shared" si="1"/>
        <v>0</v>
      </c>
      <c r="G13" s="957"/>
      <c r="H13" s="1521"/>
    </row>
    <row r="14" spans="1:8" ht="16.2" customHeight="1" x14ac:dyDescent="0.25">
      <c r="A14" s="2175"/>
      <c r="B14" s="1582"/>
      <c r="C14" s="1311" t="str">
        <f>OF!C19</f>
        <v>1000 ft. to &lt; 0.5 mile.</v>
      </c>
      <c r="D14" s="1081">
        <f>OF!D19</f>
        <v>0</v>
      </c>
      <c r="E14" s="843">
        <v>4</v>
      </c>
      <c r="F14" s="1122">
        <f t="shared" si="1"/>
        <v>0</v>
      </c>
      <c r="G14" s="957"/>
      <c r="H14" s="1521"/>
    </row>
    <row r="15" spans="1:8" ht="16.2" customHeight="1" x14ac:dyDescent="0.25">
      <c r="A15" s="2175"/>
      <c r="B15" s="1582"/>
      <c r="C15" s="1311" t="str">
        <f>OF!C20</f>
        <v>0.5 mile to 2 miles.</v>
      </c>
      <c r="D15" s="1081">
        <f>OF!D20</f>
        <v>0</v>
      </c>
      <c r="E15" s="843">
        <v>5</v>
      </c>
      <c r="F15" s="1122">
        <f t="shared" si="1"/>
        <v>0</v>
      </c>
      <c r="G15" s="957"/>
      <c r="H15" s="1521"/>
    </row>
    <row r="16" spans="1:8" ht="16.2" customHeight="1" thickBot="1" x14ac:dyDescent="0.3">
      <c r="A16" s="2176"/>
      <c r="B16" s="1600"/>
      <c r="C16" s="1308" t="str">
        <f>OF!C21</f>
        <v>&gt;2 miles.</v>
      </c>
      <c r="D16" s="213">
        <f>OF!D21</f>
        <v>0</v>
      </c>
      <c r="E16" s="845">
        <v>6</v>
      </c>
      <c r="F16" s="1124">
        <f t="shared" si="1"/>
        <v>0</v>
      </c>
      <c r="G16" s="958"/>
      <c r="H16" s="1523"/>
    </row>
    <row r="17" spans="1:8" ht="30" customHeight="1" thickBot="1" x14ac:dyDescent="0.3">
      <c r="A17" s="2177" t="str">
        <f>OF!A40</f>
        <v>OF7</v>
      </c>
      <c r="B17" s="1582" t="str">
        <f>OF!B40</f>
        <v>Size of Largest Nearby Patch of Perennial Cover (SizePerenn)</v>
      </c>
      <c r="C17" s="4" t="str">
        <f>OF!C40</f>
        <v>Including the AA's vegetated area, the largest patch or corridor that is perennial cover and is contiguous with vegetation in the AA , occupies:</v>
      </c>
      <c r="D17" s="1044"/>
      <c r="E17" s="46"/>
      <c r="F17" s="963"/>
      <c r="G17" s="1423">
        <f>(MAX(F18:F24)/MAX(E18:E24))</f>
        <v>0</v>
      </c>
      <c r="H17" s="1521" t="s">
        <v>145</v>
      </c>
    </row>
    <row r="18" spans="1:8" ht="16.2" customHeight="1" x14ac:dyDescent="0.25">
      <c r="A18" s="2177"/>
      <c r="B18" s="1582"/>
      <c r="C18" s="393" t="str">
        <f>OF!C41</f>
        <v>&lt;.01 acre.</v>
      </c>
      <c r="D18" s="1306">
        <f>OF!D41</f>
        <v>0</v>
      </c>
      <c r="E18" s="843">
        <v>10</v>
      </c>
      <c r="F18" s="1122">
        <f>D18*E18</f>
        <v>0</v>
      </c>
      <c r="G18" s="956"/>
      <c r="H18" s="1521"/>
    </row>
    <row r="19" spans="1:8" ht="16.2" customHeight="1" x14ac:dyDescent="0.25">
      <c r="A19" s="2177"/>
      <c r="B19" s="1582"/>
      <c r="C19" s="1275" t="str">
        <f>OF!C42</f>
        <v>.01 to &lt; 1 acre.</v>
      </c>
      <c r="D19" s="1276">
        <f>OF!D42</f>
        <v>0</v>
      </c>
      <c r="E19" s="843">
        <v>7</v>
      </c>
      <c r="F19" s="1122">
        <f>D19*E19</f>
        <v>0</v>
      </c>
      <c r="G19" s="957"/>
      <c r="H19" s="1521"/>
    </row>
    <row r="20" spans="1:8" ht="16.2" customHeight="1" x14ac:dyDescent="0.25">
      <c r="A20" s="2177"/>
      <c r="B20" s="1582"/>
      <c r="C20" s="1275" t="str">
        <f>OF!C43</f>
        <v>1 to &lt;10 acres.</v>
      </c>
      <c r="D20" s="1276">
        <f>OF!D43</f>
        <v>0</v>
      </c>
      <c r="E20" s="843">
        <v>5</v>
      </c>
      <c r="F20" s="1122">
        <f>D20*E20</f>
        <v>0</v>
      </c>
      <c r="G20" s="957"/>
      <c r="H20" s="1521"/>
    </row>
    <row r="21" spans="1:8" ht="16.2" customHeight="1" x14ac:dyDescent="0.25">
      <c r="A21" s="2177"/>
      <c r="B21" s="1582"/>
      <c r="C21" s="1275" t="str">
        <f>OF!C44</f>
        <v>10 to &lt;100 acres.</v>
      </c>
      <c r="D21" s="1276">
        <f>OF!D44</f>
        <v>0</v>
      </c>
      <c r="E21" s="843">
        <v>4</v>
      </c>
      <c r="F21" s="1122">
        <f>D21*E21</f>
        <v>0</v>
      </c>
      <c r="G21" s="957"/>
      <c r="H21" s="1521"/>
    </row>
    <row r="22" spans="1:8" ht="16.2" customHeight="1" x14ac:dyDescent="0.25">
      <c r="A22" s="2177"/>
      <c r="B22" s="1582"/>
      <c r="C22" s="1275" t="str">
        <f>OF!C45</f>
        <v>100 to &lt;1000 acres.</v>
      </c>
      <c r="D22" s="1276">
        <f>OF!D45</f>
        <v>0</v>
      </c>
      <c r="E22" s="843">
        <v>3</v>
      </c>
      <c r="F22" s="1122">
        <f t="shared" ref="F22:F35" si="2">D22*E22</f>
        <v>0</v>
      </c>
      <c r="G22" s="959"/>
      <c r="H22" s="1521"/>
    </row>
    <row r="23" spans="1:8" ht="16.2" customHeight="1" x14ac:dyDescent="0.25">
      <c r="A23" s="2177"/>
      <c r="B23" s="1582"/>
      <c r="C23" s="1275" t="str">
        <f>OF!C46</f>
        <v>1000 to 10,000 acres.</v>
      </c>
      <c r="D23" s="1276">
        <f>OF!D46</f>
        <v>0</v>
      </c>
      <c r="E23" s="843">
        <v>2</v>
      </c>
      <c r="F23" s="1122">
        <f t="shared" si="2"/>
        <v>0</v>
      </c>
      <c r="G23" s="959"/>
      <c r="H23" s="1521"/>
    </row>
    <row r="24" spans="1:8" ht="16.2" customHeight="1" thickBot="1" x14ac:dyDescent="0.3">
      <c r="A24" s="2177"/>
      <c r="B24" s="1582"/>
      <c r="C24" s="1275" t="str">
        <f>OF!C47</f>
        <v>&gt;10,000 acres.</v>
      </c>
      <c r="D24" s="1276">
        <f>OF!D47</f>
        <v>0</v>
      </c>
      <c r="E24" s="844">
        <v>1</v>
      </c>
      <c r="F24" s="1140">
        <f t="shared" si="2"/>
        <v>0</v>
      </c>
      <c r="G24" s="959"/>
      <c r="H24" s="1521"/>
    </row>
    <row r="25" spans="1:8" ht="44.25" customHeight="1" thickBot="1" x14ac:dyDescent="0.3">
      <c r="A25" s="2174" t="str">
        <f>OF!A48</f>
        <v>OF8</v>
      </c>
      <c r="B25" s="1599" t="str">
        <f>OF!B48</f>
        <v>Wetland Type Local Uniqueness (UniqPatch)</v>
      </c>
      <c r="C25" s="114" t="str">
        <f>OF!C48</f>
        <v xml:space="preserve"> Select EACH of the vegetation types below that comprise more than 10% of the AA AND less than
 10% of a 0.5 mile radius around the AA. (See Column E).</v>
      </c>
      <c r="D25" s="1044"/>
      <c r="E25" s="192"/>
      <c r="F25" s="241"/>
      <c r="G25" s="1424">
        <f>(SUM(D26:D28)/3 + MAX(D26:D28))/2</f>
        <v>0</v>
      </c>
      <c r="H25" s="1522" t="s">
        <v>234</v>
      </c>
    </row>
    <row r="26" spans="1:8" ht="27" customHeight="1" x14ac:dyDescent="0.25">
      <c r="A26" s="2175"/>
      <c r="B26" s="1582"/>
      <c r="C26" s="1305" t="str">
        <f>OF!C49</f>
        <v>Herbaceous vegetation (perennial grasses, sedges, forbs; not under a woody canopy; not crops).</v>
      </c>
      <c r="D26" s="1306">
        <f>OF!D49</f>
        <v>0</v>
      </c>
      <c r="E26" s="45">
        <v>1</v>
      </c>
      <c r="F26" s="54">
        <f>D25*E25</f>
        <v>0</v>
      </c>
      <c r="G26" s="792"/>
      <c r="H26" s="1521"/>
    </row>
    <row r="27" spans="1:8" ht="16.2" customHeight="1" x14ac:dyDescent="0.25">
      <c r="A27" s="2175"/>
      <c r="B27" s="1582"/>
      <c r="C27" s="1307" t="str">
        <f>OF!C50</f>
        <v>Unshaded shrubland (woody plants shorter than 20 ft).</v>
      </c>
      <c r="D27" s="1276">
        <f>OF!D50</f>
        <v>0</v>
      </c>
      <c r="E27" s="45">
        <v>1</v>
      </c>
      <c r="F27" s="54">
        <f>D26*E26</f>
        <v>0</v>
      </c>
      <c r="G27" s="793"/>
      <c r="H27" s="1521"/>
    </row>
    <row r="28" spans="1:8" ht="16.2" customHeight="1" x14ac:dyDescent="0.25">
      <c r="A28" s="2175"/>
      <c r="B28" s="1582"/>
      <c r="C28" s="1307" t="str">
        <f>OF!C51</f>
        <v>Trees (woody plants taller than 20 ft).</v>
      </c>
      <c r="D28" s="1276">
        <f>OF!D51</f>
        <v>0</v>
      </c>
      <c r="E28" s="45">
        <v>1</v>
      </c>
      <c r="F28" s="54">
        <f>D27*E27</f>
        <v>0</v>
      </c>
      <c r="G28" s="793"/>
      <c r="H28" s="1521"/>
    </row>
    <row r="29" spans="1:8" ht="16.2" customHeight="1" thickBot="1" x14ac:dyDescent="0.3">
      <c r="A29" s="2176"/>
      <c r="B29" s="1600"/>
      <c r="C29" s="1308" t="str">
        <f>OF!C52</f>
        <v>None of above.</v>
      </c>
      <c r="D29" s="213">
        <f>OF!D52</f>
        <v>0</v>
      </c>
      <c r="E29" s="193"/>
      <c r="F29" s="193"/>
      <c r="G29" s="909"/>
      <c r="H29" s="1523"/>
    </row>
    <row r="30" spans="1:8" ht="30" customHeight="1" thickBot="1" x14ac:dyDescent="0.3">
      <c r="A30" s="2177" t="str">
        <f>OF!A53</f>
        <v>OF9</v>
      </c>
      <c r="B30" s="1582" t="str">
        <f>OF!B53</f>
        <v>Perennial Cover Percentage (PerCovPct)</v>
      </c>
      <c r="C30" s="114" t="str">
        <f>OF!C53</f>
        <v>Within a 2-mile radius of the AA center, the percentage of land that has perennial cover is:</v>
      </c>
      <c r="D30" s="1044"/>
      <c r="E30" s="866"/>
      <c r="F30" s="1152"/>
      <c r="G30" s="1423">
        <f>MAX(F31:F35)/MAX(E31:E35)</f>
        <v>0</v>
      </c>
      <c r="H30" s="1521" t="s">
        <v>260</v>
      </c>
    </row>
    <row r="31" spans="1:8" ht="16.2" customHeight="1" x14ac:dyDescent="0.25">
      <c r="A31" s="2177"/>
      <c r="B31" s="1582"/>
      <c r="C31" s="1305" t="str">
        <f>OF!C54</f>
        <v>&lt;5% of the land.</v>
      </c>
      <c r="D31" s="1306">
        <f>OF!D54</f>
        <v>0</v>
      </c>
      <c r="E31" s="866">
        <v>6</v>
      </c>
      <c r="F31" s="1122">
        <f t="shared" si="2"/>
        <v>0</v>
      </c>
      <c r="G31" s="957"/>
      <c r="H31" s="1521"/>
    </row>
    <row r="32" spans="1:8" ht="16.2" customHeight="1" x14ac:dyDescent="0.25">
      <c r="A32" s="2177"/>
      <c r="B32" s="1582"/>
      <c r="C32" s="1307" t="str">
        <f>OF!C55</f>
        <v>5 to &lt;20% of the land.</v>
      </c>
      <c r="D32" s="1276">
        <f>OF!D55</f>
        <v>0</v>
      </c>
      <c r="E32" s="866">
        <v>5</v>
      </c>
      <c r="F32" s="1122">
        <f t="shared" si="2"/>
        <v>0</v>
      </c>
      <c r="G32" s="957"/>
      <c r="H32" s="1521"/>
    </row>
    <row r="33" spans="1:8" ht="16.2" customHeight="1" x14ac:dyDescent="0.25">
      <c r="A33" s="2177"/>
      <c r="B33" s="1582"/>
      <c r="C33" s="1307" t="str">
        <f>OF!C56</f>
        <v>20 to &lt;60% of the land.</v>
      </c>
      <c r="D33" s="1276">
        <f>OF!D56</f>
        <v>0</v>
      </c>
      <c r="E33" s="866">
        <v>4</v>
      </c>
      <c r="F33" s="1122">
        <f t="shared" si="2"/>
        <v>0</v>
      </c>
      <c r="G33" s="957"/>
      <c r="H33" s="1521"/>
    </row>
    <row r="34" spans="1:8" ht="16.2" customHeight="1" x14ac:dyDescent="0.25">
      <c r="A34" s="2177"/>
      <c r="B34" s="1582"/>
      <c r="C34" s="1307" t="str">
        <f>OF!C57</f>
        <v>60 to 90% of the land.</v>
      </c>
      <c r="D34" s="1276">
        <f>OF!D57</f>
        <v>0</v>
      </c>
      <c r="E34" s="866">
        <v>3</v>
      </c>
      <c r="F34" s="1122">
        <f t="shared" si="2"/>
        <v>0</v>
      </c>
      <c r="G34" s="957"/>
      <c r="H34" s="1521"/>
    </row>
    <row r="35" spans="1:8" ht="16.2" customHeight="1" thickBot="1" x14ac:dyDescent="0.3">
      <c r="A35" s="2177"/>
      <c r="B35" s="1582"/>
      <c r="C35" s="1307" t="str">
        <f>OF!C58</f>
        <v>&gt;90% of the land.</v>
      </c>
      <c r="D35" s="1276">
        <f>OF!D58</f>
        <v>0</v>
      </c>
      <c r="E35" s="1207">
        <v>2</v>
      </c>
      <c r="F35" s="1140">
        <f t="shared" si="2"/>
        <v>0</v>
      </c>
      <c r="G35" s="959"/>
      <c r="H35" s="1521"/>
    </row>
    <row r="36" spans="1:8" ht="21" customHeight="1" thickBot="1" x14ac:dyDescent="0.3">
      <c r="A36" s="2174" t="str">
        <f>OF!A71</f>
        <v>OF12</v>
      </c>
      <c r="B36" s="1599" t="str">
        <f>OF!B71</f>
        <v>Landscape Wetland Connectivity (ConnScapeW)</v>
      </c>
      <c r="C36" s="4" t="str">
        <f>OF!C71</f>
        <v xml:space="preserve">Within a 2-mile radius of the AA center: </v>
      </c>
      <c r="D36" s="1044"/>
      <c r="E36" s="192"/>
      <c r="F36" s="955"/>
      <c r="G36" s="1424">
        <f>MAX(F37:F40)/MAX(E37:E40)</f>
        <v>0</v>
      </c>
      <c r="H36" s="1522" t="s">
        <v>261</v>
      </c>
    </row>
    <row r="37" spans="1:8" ht="16.2" customHeight="1" x14ac:dyDescent="0.25">
      <c r="A37" s="2175"/>
      <c r="B37" s="1582"/>
      <c r="C37" s="393" t="str">
        <f>OF!C72</f>
        <v>There are NO other wetlands.</v>
      </c>
      <c r="D37" s="1306">
        <f>OF!D72</f>
        <v>0</v>
      </c>
      <c r="E37" s="843">
        <v>3</v>
      </c>
      <c r="F37" s="1122">
        <f t="shared" ref="F37:F50" si="3">D37*E37</f>
        <v>0</v>
      </c>
      <c r="G37" s="956"/>
      <c r="H37" s="1521"/>
    </row>
    <row r="38" spans="1:8" ht="42" customHeight="1" x14ac:dyDescent="0.25">
      <c r="A38" s="2175"/>
      <c r="B38" s="1582"/>
      <c r="C38" s="1275" t="str">
        <f>OF!C73</f>
        <v>There are other wetlands (or a wetland), but NONE are connected to the AA by a corridor of perennial vegetation.  The corridor must be at least 150 ft wide along its entire length and not interrupted by roads with regular traffic.</v>
      </c>
      <c r="D38" s="1276">
        <f>OF!D73</f>
        <v>0</v>
      </c>
      <c r="E38" s="843">
        <v>2</v>
      </c>
      <c r="F38" s="1122">
        <f t="shared" si="3"/>
        <v>0</v>
      </c>
      <c r="G38" s="956"/>
      <c r="H38" s="1521"/>
    </row>
    <row r="39" spans="1:8" ht="28.5" customHeight="1" x14ac:dyDescent="0.25">
      <c r="A39" s="2175"/>
      <c r="B39" s="1582"/>
      <c r="C39" s="1275" t="str">
        <f>OF!C74</f>
        <v>There are other wetlands (or a wetland), and ALL are connected to the AA by the type of corridor described.</v>
      </c>
      <c r="D39" s="1276">
        <f>OF!D74</f>
        <v>0</v>
      </c>
      <c r="E39" s="843">
        <v>0</v>
      </c>
      <c r="F39" s="1122">
        <f t="shared" si="3"/>
        <v>0</v>
      </c>
      <c r="G39" s="957"/>
      <c r="H39" s="1521"/>
    </row>
    <row r="40" spans="1:8" ht="27" customHeight="1" thickBot="1" x14ac:dyDescent="0.3">
      <c r="A40" s="2176"/>
      <c r="B40" s="1600"/>
      <c r="C40" s="212" t="str">
        <f>OF!C75</f>
        <v>There are other wetlands (or a wetland), and ONE or MORE (but not all) are connected to the AA by the type of corridor described.</v>
      </c>
      <c r="D40" s="213">
        <f>OF!D75</f>
        <v>0</v>
      </c>
      <c r="E40" s="845">
        <v>1</v>
      </c>
      <c r="F40" s="1124">
        <f t="shared" si="3"/>
        <v>0</v>
      </c>
      <c r="G40" s="958"/>
      <c r="H40" s="1523"/>
    </row>
    <row r="41" spans="1:8" ht="21" customHeight="1" thickBot="1" x14ac:dyDescent="0.3">
      <c r="A41" s="2177" t="str">
        <f>OF!A76</f>
        <v>OF13</v>
      </c>
      <c r="B41" s="1582" t="str">
        <f>OF!B76</f>
        <v>Local Wetland Connectivity (ConnLocalW)</v>
      </c>
      <c r="C41" s="4" t="str">
        <f>OF!C76</f>
        <v>Within a 0.5 mile radius of the AA center:</v>
      </c>
      <c r="D41" s="1044"/>
      <c r="E41" s="866"/>
      <c r="F41" s="1152"/>
      <c r="G41" s="1423">
        <f>MAX(F42:F45)/MAX(E42:E45)</f>
        <v>0</v>
      </c>
      <c r="H41" s="1521" t="s">
        <v>334</v>
      </c>
    </row>
    <row r="42" spans="1:8" ht="16.2" customHeight="1" x14ac:dyDescent="0.25">
      <c r="A42" s="2177"/>
      <c r="B42" s="1582"/>
      <c r="C42" s="393" t="str">
        <f>OF!C77</f>
        <v>There are NO other wetlands.</v>
      </c>
      <c r="D42" s="1306">
        <f>OF!D77</f>
        <v>0</v>
      </c>
      <c r="E42" s="843">
        <v>3</v>
      </c>
      <c r="F42" s="1122">
        <f t="shared" si="3"/>
        <v>0</v>
      </c>
      <c r="G42" s="957"/>
      <c r="H42" s="1521"/>
    </row>
    <row r="43" spans="1:8" ht="42" customHeight="1" x14ac:dyDescent="0.25">
      <c r="A43" s="2177"/>
      <c r="B43" s="1582"/>
      <c r="C43" s="1275" t="str">
        <f>OF!C78</f>
        <v>There are other wetlands (or a wetland), but NONE are connected to the AA by a corridor of perennial vegetation.  The corridor must be at least 150 ft wide along its entire length and not interrupted by roads with regular traffic.</v>
      </c>
      <c r="D43" s="1276">
        <f>OF!D78</f>
        <v>0</v>
      </c>
      <c r="E43" s="843">
        <v>2</v>
      </c>
      <c r="F43" s="1122">
        <f t="shared" si="3"/>
        <v>0</v>
      </c>
      <c r="G43" s="957"/>
      <c r="H43" s="1521"/>
    </row>
    <row r="44" spans="1:8" ht="30.75" customHeight="1" x14ac:dyDescent="0.25">
      <c r="A44" s="2177"/>
      <c r="B44" s="1582"/>
      <c r="C44" s="1275" t="str">
        <f>OF!C79</f>
        <v>There are other wetlands (or a wetland), and ALL are connected to the AA by the type of corridor described.</v>
      </c>
      <c r="D44" s="1276">
        <f>OF!D79</f>
        <v>0</v>
      </c>
      <c r="E44" s="843">
        <v>0</v>
      </c>
      <c r="F44" s="1122">
        <f t="shared" si="3"/>
        <v>0</v>
      </c>
      <c r="G44" s="957"/>
      <c r="H44" s="1521"/>
    </row>
    <row r="45" spans="1:8" ht="27" customHeight="1" thickBot="1" x14ac:dyDescent="0.3">
      <c r="A45" s="2177"/>
      <c r="B45" s="1582"/>
      <c r="C45" s="1275" t="str">
        <f>OF!C80</f>
        <v>There are other wetlands (or a wetland), and ONE or MORE (but not all) are connected to the AA by the type of corridor described.</v>
      </c>
      <c r="D45" s="1276">
        <f>OF!D80</f>
        <v>0</v>
      </c>
      <c r="E45" s="844">
        <v>1</v>
      </c>
      <c r="F45" s="1140">
        <f t="shared" si="3"/>
        <v>0</v>
      </c>
      <c r="G45" s="959"/>
      <c r="H45" s="1521"/>
    </row>
    <row r="46" spans="1:8" ht="60" customHeight="1" thickBot="1" x14ac:dyDescent="0.3">
      <c r="A46" s="2174" t="str">
        <f>OF!A81</f>
        <v>OF14</v>
      </c>
      <c r="B46" s="1599" t="str">
        <f>OF!B81</f>
        <v>Wetland Number &amp; Diversity Uniqueness (HUCbest)</v>
      </c>
      <c r="C46" s="114" t="str">
        <f>OF!C81</f>
        <v>According to the ORWAP Report, this AA is located in one of the HUCs that are listed as having a large diversity, area, or number of wetlands relative to the area of the HUC.   Select All of the following that are true:</v>
      </c>
      <c r="D46" s="1044"/>
      <c r="E46" s="1044"/>
      <c r="F46" s="1139"/>
      <c r="G46" s="1424">
        <f>IF((D51=1),"",MAX(F47:F50)/MAX(E47:E50))</f>
        <v>0</v>
      </c>
      <c r="H46" s="1522" t="s">
        <v>726</v>
      </c>
    </row>
    <row r="47" spans="1:8" ht="16.2" customHeight="1" x14ac:dyDescent="0.25">
      <c r="A47" s="2175"/>
      <c r="B47" s="1582"/>
      <c r="C47" s="1310" t="str">
        <f>OF!C82</f>
        <v xml:space="preserve">Yes, for the HUC8 watershed               
</v>
      </c>
      <c r="D47" s="1304">
        <f>OF!D82</f>
        <v>0</v>
      </c>
      <c r="E47" s="866">
        <v>0</v>
      </c>
      <c r="F47" s="1122">
        <f t="shared" si="3"/>
        <v>0</v>
      </c>
      <c r="G47" s="957"/>
      <c r="H47" s="1521"/>
    </row>
    <row r="48" spans="1:8" ht="16.2" customHeight="1" x14ac:dyDescent="0.25">
      <c r="A48" s="2175"/>
      <c r="B48" s="1582"/>
      <c r="C48" s="1311" t="str">
        <f>OF!C83</f>
        <v xml:space="preserve">Yes, for the HUC10 watershed </v>
      </c>
      <c r="D48" s="1081">
        <f>OF!D83</f>
        <v>0</v>
      </c>
      <c r="E48" s="866">
        <v>0</v>
      </c>
      <c r="F48" s="1122">
        <f t="shared" si="3"/>
        <v>0</v>
      </c>
      <c r="G48" s="957"/>
      <c r="H48" s="1521"/>
    </row>
    <row r="49" spans="1:8" ht="16.2" customHeight="1" x14ac:dyDescent="0.25">
      <c r="A49" s="2175"/>
      <c r="B49" s="1582"/>
      <c r="C49" s="1311" t="str">
        <f>OF!C84</f>
        <v xml:space="preserve">Yes, for the HUC12 watershed </v>
      </c>
      <c r="D49" s="1081">
        <f>OF!D84</f>
        <v>0</v>
      </c>
      <c r="E49" s="866">
        <v>0</v>
      </c>
      <c r="F49" s="1122">
        <f t="shared" si="3"/>
        <v>0</v>
      </c>
      <c r="G49" s="957"/>
      <c r="H49" s="1521"/>
    </row>
    <row r="50" spans="1:8" ht="16.2" customHeight="1" x14ac:dyDescent="0.25">
      <c r="A50" s="2175"/>
      <c r="B50" s="1582"/>
      <c r="C50" s="1311" t="str">
        <f>OF!C85</f>
        <v>None of above.</v>
      </c>
      <c r="D50" s="1081">
        <f>OF!D85</f>
        <v>0</v>
      </c>
      <c r="E50" s="866">
        <v>1</v>
      </c>
      <c r="F50" s="1122">
        <f t="shared" si="3"/>
        <v>0</v>
      </c>
      <c r="G50" s="957"/>
      <c r="H50" s="1521"/>
    </row>
    <row r="51" spans="1:8" ht="16.2" customHeight="1" thickBot="1" x14ac:dyDescent="0.3">
      <c r="A51" s="2176"/>
      <c r="B51" s="1600"/>
      <c r="C51" s="1308" t="str">
        <f>OF!C86</f>
        <v>Data are inadequate (NWI mapping not completed in HUC).</v>
      </c>
      <c r="D51" s="213">
        <f>OF!D86</f>
        <v>0</v>
      </c>
      <c r="E51" s="1233"/>
      <c r="F51" s="1124"/>
      <c r="G51" s="958"/>
      <c r="H51" s="1523"/>
    </row>
    <row r="52" spans="1:8" ht="30" customHeight="1" thickBot="1" x14ac:dyDescent="0.3">
      <c r="A52" s="2177" t="str">
        <f>OF!A145</f>
        <v>OF27</v>
      </c>
      <c r="B52" s="1582" t="str">
        <f>OF!B145</f>
        <v>Hydrologic Landscape (Arid)</v>
      </c>
      <c r="C52" s="114" t="str">
        <f>OF!C145</f>
        <v>According to the ORWAP Report,  the wetland is in a hydrologic landscape unit classified as:</v>
      </c>
      <c r="D52" s="1044"/>
      <c r="E52" s="866"/>
      <c r="F52" s="963"/>
      <c r="G52" s="1423">
        <f>MAX(F53:F58)/MAX(E53:E58)</f>
        <v>0</v>
      </c>
      <c r="H52" s="1521" t="s">
        <v>257</v>
      </c>
    </row>
    <row r="53" spans="1:8" ht="16.2" customHeight="1" x14ac:dyDescent="0.25">
      <c r="A53" s="2177"/>
      <c r="B53" s="1582"/>
      <c r="C53" s="1305" t="str">
        <f>OF!C146</f>
        <v>Arid.</v>
      </c>
      <c r="D53" s="1306">
        <f>OF!D146</f>
        <v>0</v>
      </c>
      <c r="E53" s="866">
        <v>6</v>
      </c>
      <c r="F53" s="1122">
        <f t="shared" ref="F53:F58" si="4">D53*E53</f>
        <v>0</v>
      </c>
      <c r="G53" s="963"/>
      <c r="H53" s="1521"/>
    </row>
    <row r="54" spans="1:8" ht="16.2" customHeight="1" x14ac:dyDescent="0.25">
      <c r="A54" s="2177"/>
      <c r="B54" s="1582"/>
      <c r="C54" s="1307" t="str">
        <f>OF!C147</f>
        <v>Semi-arid.</v>
      </c>
      <c r="D54" s="1276">
        <f>OF!D147</f>
        <v>0</v>
      </c>
      <c r="E54" s="866">
        <v>5</v>
      </c>
      <c r="F54" s="1122">
        <f t="shared" si="4"/>
        <v>0</v>
      </c>
      <c r="G54" s="963"/>
      <c r="H54" s="1521"/>
    </row>
    <row r="55" spans="1:8" ht="16.2" customHeight="1" x14ac:dyDescent="0.25">
      <c r="A55" s="2177"/>
      <c r="B55" s="1582"/>
      <c r="C55" s="1307" t="str">
        <f>OF!C148</f>
        <v>Dry.</v>
      </c>
      <c r="D55" s="1276">
        <f>OF!D148</f>
        <v>0</v>
      </c>
      <c r="E55" s="866">
        <v>4</v>
      </c>
      <c r="F55" s="1122">
        <f t="shared" si="4"/>
        <v>0</v>
      </c>
      <c r="G55" s="963"/>
      <c r="H55" s="1521"/>
    </row>
    <row r="56" spans="1:8" ht="16.2" customHeight="1" x14ac:dyDescent="0.25">
      <c r="A56" s="2177"/>
      <c r="B56" s="1582"/>
      <c r="C56" s="1307" t="str">
        <f>OF!C149</f>
        <v>Moist.</v>
      </c>
      <c r="D56" s="1276">
        <f>OF!D149</f>
        <v>0</v>
      </c>
      <c r="E56" s="866">
        <v>3</v>
      </c>
      <c r="F56" s="1122">
        <f t="shared" si="4"/>
        <v>0</v>
      </c>
      <c r="G56" s="963"/>
      <c r="H56" s="1521"/>
    </row>
    <row r="57" spans="1:8" ht="16.2" customHeight="1" x14ac:dyDescent="0.25">
      <c r="A57" s="2177"/>
      <c r="B57" s="1582"/>
      <c r="C57" s="1307" t="str">
        <f>OF!C150</f>
        <v>Wet.</v>
      </c>
      <c r="D57" s="1276">
        <f>OF!D150</f>
        <v>0</v>
      </c>
      <c r="E57" s="866">
        <v>2</v>
      </c>
      <c r="F57" s="1122">
        <f t="shared" si="4"/>
        <v>0</v>
      </c>
      <c r="G57" s="963"/>
      <c r="H57" s="1521"/>
    </row>
    <row r="58" spans="1:8" ht="16.2" customHeight="1" thickBot="1" x14ac:dyDescent="0.3">
      <c r="A58" s="2177"/>
      <c r="B58" s="1582"/>
      <c r="C58" s="1307" t="str">
        <f>OF!C151</f>
        <v>Very Wet.</v>
      </c>
      <c r="D58" s="1276">
        <f>OF!D151</f>
        <v>0</v>
      </c>
      <c r="E58" s="1207">
        <v>1</v>
      </c>
      <c r="F58" s="1140">
        <f t="shared" si="4"/>
        <v>0</v>
      </c>
      <c r="G58" s="1141"/>
      <c r="H58" s="1521"/>
    </row>
    <row r="59" spans="1:8" ht="30" customHeight="1" thickBot="1" x14ac:dyDescent="0.3">
      <c r="A59" s="2174" t="str">
        <f>OF!A183</f>
        <v>OF34</v>
      </c>
      <c r="B59" s="1599" t="str">
        <f>OF!B183</f>
        <v>Relative Elevation in Watershed (Elev)</v>
      </c>
      <c r="C59" s="4" t="str">
        <f>OF!C183</f>
        <v>In the ORWAP Map Viewer, based on the Hydrologic Boundaries 4th Level (HUC 8) layer (under Watersheds), determine if the AA is:          (See Column E)</v>
      </c>
      <c r="D59" s="1044"/>
      <c r="E59" s="192"/>
      <c r="F59" s="955"/>
      <c r="G59" s="1424">
        <f>MAX(F60:F62)/MAX(E60:E62)</f>
        <v>0</v>
      </c>
      <c r="H59" s="1522" t="s">
        <v>344</v>
      </c>
    </row>
    <row r="60" spans="1:8" ht="16.2" customHeight="1" x14ac:dyDescent="0.25">
      <c r="A60" s="2175"/>
      <c r="B60" s="1582"/>
      <c r="C60" s="393" t="str">
        <f>OF!C184</f>
        <v>In the upper one-third of its watershed.</v>
      </c>
      <c r="D60" s="1306">
        <f>OF!D184</f>
        <v>0</v>
      </c>
      <c r="E60" s="45">
        <v>3</v>
      </c>
      <c r="F60" s="1122">
        <f>D60*E60</f>
        <v>0</v>
      </c>
      <c r="G60" s="956"/>
      <c r="H60" s="1521"/>
    </row>
    <row r="61" spans="1:8" ht="16.2" customHeight="1" x14ac:dyDescent="0.25">
      <c r="A61" s="2175"/>
      <c r="B61" s="1582"/>
      <c r="C61" s="1275" t="str">
        <f>OF!C185</f>
        <v>In the middle one-third of its watershed.</v>
      </c>
      <c r="D61" s="1276">
        <f>OF!D185</f>
        <v>0</v>
      </c>
      <c r="E61" s="45">
        <v>2</v>
      </c>
      <c r="F61" s="1122">
        <f>D61*E61</f>
        <v>0</v>
      </c>
      <c r="G61" s="957"/>
      <c r="H61" s="1521"/>
    </row>
    <row r="62" spans="1:8" ht="16.2" customHeight="1" thickBot="1" x14ac:dyDescent="0.3">
      <c r="A62" s="2176"/>
      <c r="B62" s="1600"/>
      <c r="C62" s="212" t="str">
        <f>OF!C186</f>
        <v>In the lower one-third of its watershed.</v>
      </c>
      <c r="D62" s="213">
        <f>OF!D186</f>
        <v>0</v>
      </c>
      <c r="E62" s="193">
        <v>1</v>
      </c>
      <c r="F62" s="1124">
        <f>D62*E62</f>
        <v>0</v>
      </c>
      <c r="G62" s="958"/>
      <c r="H62" s="1523"/>
    </row>
    <row r="63" spans="1:8" ht="30" customHeight="1" thickBot="1" x14ac:dyDescent="0.3">
      <c r="A63" s="2177" t="str">
        <f>OF!A192</f>
        <v>OF36</v>
      </c>
      <c r="B63" s="1582" t="str">
        <f>OF!B192</f>
        <v>Unvegetated % in the RCA (ImpervRCA)</v>
      </c>
      <c r="C63" s="114" t="str">
        <f>OF!C192</f>
        <v>The proportion of the RCA comprised of buildings, roads, parking lots, exposed bedrock, and other surface that is usually unvegetated at the time of peak annual runoff is about:</v>
      </c>
      <c r="D63" s="1044"/>
      <c r="E63" s="866"/>
      <c r="F63" s="963"/>
      <c r="G63" s="1423">
        <f>IF((NoRCA=1),"",MAX(F64:F66)/MAX(E64:E66))</f>
        <v>0</v>
      </c>
      <c r="H63" s="1521" t="s">
        <v>262</v>
      </c>
    </row>
    <row r="64" spans="1:8" ht="16.2" customHeight="1" x14ac:dyDescent="0.25">
      <c r="A64" s="2177"/>
      <c r="B64" s="1582"/>
      <c r="C64" s="1305" t="str">
        <f>OF!C193</f>
        <v>&lt;10%.</v>
      </c>
      <c r="D64" s="1306">
        <f>OF!D193</f>
        <v>0</v>
      </c>
      <c r="E64" s="843">
        <v>0</v>
      </c>
      <c r="F64" s="1122">
        <f>D64*E64</f>
        <v>0</v>
      </c>
      <c r="G64" s="957"/>
      <c r="H64" s="1521"/>
    </row>
    <row r="65" spans="1:8" ht="16.2" customHeight="1" x14ac:dyDescent="0.25">
      <c r="A65" s="2177"/>
      <c r="B65" s="1582"/>
      <c r="C65" s="1307" t="str">
        <f>OF!C194</f>
        <v>10 to 25%.</v>
      </c>
      <c r="D65" s="1276">
        <f>OF!D194</f>
        <v>0</v>
      </c>
      <c r="E65" s="843">
        <v>2</v>
      </c>
      <c r="F65" s="1122">
        <f>D65*E65</f>
        <v>0</v>
      </c>
      <c r="G65" s="957"/>
      <c r="H65" s="1521"/>
    </row>
    <row r="66" spans="1:8" ht="16.2" customHeight="1" thickBot="1" x14ac:dyDescent="0.3">
      <c r="A66" s="2177"/>
      <c r="B66" s="1582"/>
      <c r="C66" s="1307" t="str">
        <f>OF!C195</f>
        <v>&gt;25%.</v>
      </c>
      <c r="D66" s="1276">
        <f>OF!D195</f>
        <v>0</v>
      </c>
      <c r="E66" s="844">
        <v>3</v>
      </c>
      <c r="F66" s="1140">
        <f>D66*E66</f>
        <v>0</v>
      </c>
      <c r="G66" s="959"/>
      <c r="H66" s="1521"/>
    </row>
    <row r="67" spans="1:8" ht="21" customHeight="1" thickBot="1" x14ac:dyDescent="0.3">
      <c r="A67" s="2178" t="str">
        <f>OF!A216</f>
        <v>OF41</v>
      </c>
      <c r="B67" s="1522" t="str">
        <f>OF!B216</f>
        <v>Upland Edge Shape Complexity (EdgeShape)</v>
      </c>
      <c r="C67" s="1313" t="str">
        <f>OF!C216</f>
        <v>Most of the edge between the AA's wetland and upland is (select one):</v>
      </c>
      <c r="D67" s="1044"/>
      <c r="E67" s="1044"/>
      <c r="F67" s="1139"/>
      <c r="G67" s="1425">
        <f>MAX(F68:F70)/MAX(E68:E70)</f>
        <v>0</v>
      </c>
      <c r="H67" s="1911" t="s">
        <v>209</v>
      </c>
    </row>
    <row r="68" spans="1:8" ht="30.75" customHeight="1" x14ac:dyDescent="0.25">
      <c r="A68" s="2179"/>
      <c r="B68" s="1521"/>
      <c r="C68" s="1310" t="str">
        <f>OF!C217</f>
        <v>Linear: a significant proportion of the wetland's upland edge is straight, as in wetlands bounded partly or wholly by dikes or roads, or the AA is entirely surrounded by water or other wetlands.</v>
      </c>
      <c r="D68" s="1304">
        <f>OF!D217</f>
        <v>0</v>
      </c>
      <c r="E68" s="843">
        <v>1</v>
      </c>
      <c r="F68" s="1122">
        <f>D68*E68</f>
        <v>0</v>
      </c>
      <c r="G68" s="1426"/>
      <c r="H68" s="1912"/>
    </row>
    <row r="69" spans="1:8" ht="27" customHeight="1" x14ac:dyDescent="0.25">
      <c r="A69" s="2179"/>
      <c r="B69" s="1521"/>
      <c r="C69" s="1311" t="str">
        <f>OF!C218</f>
        <v>Intermediate: Wetland's shape is (a) ovoid, or (b) mildly ragged edge, and/or (c) contains a lesser amount of artificially straight edge.</v>
      </c>
      <c r="D69" s="1081">
        <f>OF!D218</f>
        <v>0</v>
      </c>
      <c r="E69" s="843">
        <v>2</v>
      </c>
      <c r="F69" s="1122">
        <f>D69*E69</f>
        <v>0</v>
      </c>
      <c r="G69" s="1426"/>
      <c r="H69" s="1912"/>
    </row>
    <row r="70" spans="1:8" ht="27" customHeight="1" thickBot="1" x14ac:dyDescent="0.3">
      <c r="A70" s="2180"/>
      <c r="B70" s="1523"/>
      <c r="C70" s="1308" t="str">
        <f>OF!C219</f>
        <v>Convoluted: Wetland perimeter is many times longer than maximum width of the wetland, with many alcoves and indentations ("fingers").</v>
      </c>
      <c r="D70" s="213">
        <f>OF!D219</f>
        <v>0</v>
      </c>
      <c r="E70" s="845">
        <v>3</v>
      </c>
      <c r="F70" s="1124">
        <f>D70*E70</f>
        <v>0</v>
      </c>
      <c r="G70" s="1427"/>
      <c r="H70" s="1913"/>
    </row>
    <row r="71" spans="1:8" ht="30" customHeight="1" thickBot="1" x14ac:dyDescent="0.3">
      <c r="A71" s="2175" t="str">
        <f>OF!A225</f>
        <v>OF43</v>
      </c>
      <c r="B71" s="1582" t="str">
        <f>OF!B225</f>
        <v>Growing Degree Days (GDD)</v>
      </c>
      <c r="C71" s="727" t="str">
        <f>OF!C225</f>
        <v xml:space="preserve">According to ORWAP Map Viewer's Growing Degree Days layer,  the long term normal Growing Degree Days category at the approximate location of the AA is: </v>
      </c>
      <c r="D71" s="1044"/>
      <c r="E71" s="866"/>
      <c r="F71" s="963"/>
      <c r="G71" s="1423">
        <f>MAX(F72:F78)/MAX(E72:E78)</f>
        <v>0</v>
      </c>
      <c r="H71" s="1521" t="s">
        <v>436</v>
      </c>
    </row>
    <row r="72" spans="1:8" ht="16.2" customHeight="1" x14ac:dyDescent="0.25">
      <c r="A72" s="2175"/>
      <c r="B72" s="1582"/>
      <c r="C72" s="1305" t="str">
        <f>OF!C226</f>
        <v>&lt;256.</v>
      </c>
      <c r="D72" s="1306">
        <f>OF!D226</f>
        <v>0</v>
      </c>
      <c r="E72" s="866">
        <v>7</v>
      </c>
      <c r="F72" s="1122">
        <f t="shared" ref="F72:F78" si="5">D72*E72</f>
        <v>0</v>
      </c>
      <c r="G72" s="963"/>
      <c r="H72" s="1521"/>
    </row>
    <row r="73" spans="1:8" ht="16.2" customHeight="1" x14ac:dyDescent="0.25">
      <c r="A73" s="2175"/>
      <c r="B73" s="1582"/>
      <c r="C73" s="1307" t="str">
        <f>OF!C227</f>
        <v>256 - 1020.</v>
      </c>
      <c r="D73" s="1276">
        <f>OF!D227</f>
        <v>0</v>
      </c>
      <c r="E73" s="866">
        <v>6</v>
      </c>
      <c r="F73" s="1122">
        <f t="shared" si="5"/>
        <v>0</v>
      </c>
      <c r="G73" s="963"/>
      <c r="H73" s="1521"/>
    </row>
    <row r="74" spans="1:8" ht="16.2" customHeight="1" x14ac:dyDescent="0.25">
      <c r="A74" s="2175"/>
      <c r="B74" s="1582"/>
      <c r="C74" s="1307" t="str">
        <f>OF!C228</f>
        <v>1021-1785.</v>
      </c>
      <c r="D74" s="1276">
        <f>OF!D228</f>
        <v>0</v>
      </c>
      <c r="E74" s="866">
        <v>5</v>
      </c>
      <c r="F74" s="1122">
        <f t="shared" si="5"/>
        <v>0</v>
      </c>
      <c r="G74" s="963"/>
      <c r="H74" s="1521"/>
    </row>
    <row r="75" spans="1:8" ht="16.2" customHeight="1" x14ac:dyDescent="0.25">
      <c r="A75" s="2175"/>
      <c r="B75" s="1582"/>
      <c r="C75" s="1307" t="str">
        <f>OF!C229</f>
        <v>1786 - 2550.</v>
      </c>
      <c r="D75" s="1276">
        <f>OF!D229</f>
        <v>0</v>
      </c>
      <c r="E75" s="866">
        <v>4</v>
      </c>
      <c r="F75" s="1122">
        <f t="shared" si="5"/>
        <v>0</v>
      </c>
      <c r="G75" s="963"/>
      <c r="H75" s="1521"/>
    </row>
    <row r="76" spans="1:8" ht="16.2" customHeight="1" x14ac:dyDescent="0.25">
      <c r="A76" s="2175"/>
      <c r="B76" s="1582"/>
      <c r="C76" s="1307" t="str">
        <f>OF!C230</f>
        <v>2551 - 3315.</v>
      </c>
      <c r="D76" s="1276">
        <f>OF!D230</f>
        <v>0</v>
      </c>
      <c r="E76" s="866">
        <v>3</v>
      </c>
      <c r="F76" s="1122">
        <f t="shared" si="5"/>
        <v>0</v>
      </c>
      <c r="G76" s="963"/>
      <c r="H76" s="1521"/>
    </row>
    <row r="77" spans="1:8" ht="16.2" customHeight="1" x14ac:dyDescent="0.25">
      <c r="A77" s="2175"/>
      <c r="B77" s="1582"/>
      <c r="C77" s="1307" t="str">
        <f>OF!C231</f>
        <v>3316 - 4079.</v>
      </c>
      <c r="D77" s="1276">
        <f>OF!D231</f>
        <v>0</v>
      </c>
      <c r="E77" s="866">
        <v>2</v>
      </c>
      <c r="F77" s="1122">
        <f t="shared" si="5"/>
        <v>0</v>
      </c>
      <c r="G77" s="963"/>
      <c r="H77" s="1521"/>
    </row>
    <row r="78" spans="1:8" ht="16.2" customHeight="1" thickBot="1" x14ac:dyDescent="0.3">
      <c r="A78" s="2176"/>
      <c r="B78" s="1600"/>
      <c r="C78" s="1308" t="str">
        <f>OF!C232</f>
        <v>&gt; 4079.</v>
      </c>
      <c r="D78" s="213">
        <f>OF!D232</f>
        <v>0</v>
      </c>
      <c r="E78" s="1233">
        <v>1</v>
      </c>
      <c r="F78" s="1124">
        <f t="shared" si="5"/>
        <v>0</v>
      </c>
      <c r="G78" s="1138"/>
      <c r="H78" s="1523"/>
    </row>
    <row r="79" spans="1:8" ht="30" customHeight="1" thickBot="1" x14ac:dyDescent="0.3">
      <c r="A79" s="2182" t="str">
        <f>F!A18</f>
        <v>F5</v>
      </c>
      <c r="B79" s="1599" t="str">
        <f>F!B18</f>
        <v>Depth Class (Predominant)  (DepthDom)</v>
      </c>
      <c r="C79" s="4" t="str">
        <f>F!C18</f>
        <v>When water is present in the AA, the depth most of the time in most of inundated area is: 
[Note: NOT necessarily the maximum spatial or annual depth]</v>
      </c>
      <c r="D79" s="1044"/>
      <c r="E79" s="192"/>
      <c r="F79" s="955"/>
      <c r="G79" s="1428">
        <f>IF((NeverWater+TempWet&gt;0),"",IF((TempWet=1),"",MAX(F79:F84)/MAX(E79:E84)))</f>
        <v>0</v>
      </c>
      <c r="H79" s="1522" t="s">
        <v>1672</v>
      </c>
    </row>
    <row r="80" spans="1:8" ht="16.2" customHeight="1" x14ac:dyDescent="0.25">
      <c r="A80" s="2183"/>
      <c r="B80" s="1582"/>
      <c r="C80" s="236" t="str">
        <f>F!C19</f>
        <v>&gt;0 to &lt;0.5 ft.</v>
      </c>
      <c r="D80" s="1304">
        <f>F!D19</f>
        <v>0</v>
      </c>
      <c r="E80" s="843">
        <v>10</v>
      </c>
      <c r="F80" s="1122">
        <f>D80*E80</f>
        <v>0</v>
      </c>
      <c r="G80" s="956"/>
      <c r="H80" s="1521"/>
    </row>
    <row r="81" spans="1:8" ht="16.2" customHeight="1" x14ac:dyDescent="0.25">
      <c r="A81" s="2183"/>
      <c r="B81" s="1582"/>
      <c r="C81" s="237" t="str">
        <f>F!C20</f>
        <v>0.5 to &lt; 1 ft deep.</v>
      </c>
      <c r="D81" s="1081">
        <f>F!D20</f>
        <v>0</v>
      </c>
      <c r="E81" s="843">
        <v>6</v>
      </c>
      <c r="F81" s="1122">
        <f>D81*E81</f>
        <v>0</v>
      </c>
      <c r="G81" s="957"/>
      <c r="H81" s="1521"/>
    </row>
    <row r="82" spans="1:8" ht="16.2" customHeight="1" x14ac:dyDescent="0.25">
      <c r="A82" s="2183"/>
      <c r="B82" s="1582"/>
      <c r="C82" s="237" t="str">
        <f>F!C21</f>
        <v>1 to &lt;3 ft deep.</v>
      </c>
      <c r="D82" s="1081">
        <f>F!D21</f>
        <v>0</v>
      </c>
      <c r="E82" s="843">
        <v>4</v>
      </c>
      <c r="F82" s="1122">
        <f>D82*E82</f>
        <v>0</v>
      </c>
      <c r="G82" s="957"/>
      <c r="H82" s="1521"/>
    </row>
    <row r="83" spans="1:8" ht="16.2" customHeight="1" x14ac:dyDescent="0.25">
      <c r="A83" s="2183"/>
      <c r="B83" s="1582"/>
      <c r="C83" s="237" t="str">
        <f>F!C22</f>
        <v>3 to 6 ft deep.</v>
      </c>
      <c r="D83" s="1081">
        <f>F!D22</f>
        <v>0</v>
      </c>
      <c r="E83" s="843">
        <v>2</v>
      </c>
      <c r="F83" s="1122">
        <f>D83*E83</f>
        <v>0</v>
      </c>
      <c r="G83" s="957"/>
      <c r="H83" s="1521"/>
    </row>
    <row r="84" spans="1:8" ht="16.2" customHeight="1" thickBot="1" x14ac:dyDescent="0.3">
      <c r="A84" s="2184"/>
      <c r="B84" s="1600"/>
      <c r="C84" s="212" t="str">
        <f>F!C23</f>
        <v>&gt;6 ft deep.</v>
      </c>
      <c r="D84" s="213">
        <f>F!D23</f>
        <v>0</v>
      </c>
      <c r="E84" s="845">
        <v>1</v>
      </c>
      <c r="F84" s="1124">
        <f>D84*E84</f>
        <v>0</v>
      </c>
      <c r="G84" s="958"/>
      <c r="H84" s="1523"/>
    </row>
    <row r="85" spans="1:8" ht="54" customHeight="1" thickBot="1" x14ac:dyDescent="0.3">
      <c r="A85" s="2181" t="str">
        <f>F!A76</f>
        <v>F15</v>
      </c>
      <c r="B85" s="1582" t="str">
        <f>F!B76</f>
        <v>Width of Vegetated Zone - Wettest  (WidthWet)</v>
      </c>
      <c r="C85" s="4" t="str">
        <f>F!C76</f>
        <v>When water levels are highest, during a normal year, the width of the vegetated wetland  that separates the largest patch of open water within or bordering the AA from the closest adjacent uplands, is predominantly: 
[Note: This is not asking for the maximum width.]</v>
      </c>
      <c r="D85" s="1044"/>
      <c r="E85" s="46"/>
      <c r="F85" s="963"/>
      <c r="G85" s="1429">
        <f>IF((NeverWater+TempWet&gt;0),"",IF((NoPond=1),"",MAX(F86:F91)/MAX(E86:E91)))</f>
        <v>0</v>
      </c>
      <c r="H85" s="1521" t="s">
        <v>1673</v>
      </c>
    </row>
    <row r="86" spans="1:8" ht="24" customHeight="1" x14ac:dyDescent="0.25">
      <c r="A86" s="2181"/>
      <c r="B86" s="1582"/>
      <c r="C86" s="393" t="str">
        <f>F!C77</f>
        <v>&lt;5 ft, or no vegetation between upland and open water.</v>
      </c>
      <c r="D86" s="1306">
        <f>F!D77</f>
        <v>0</v>
      </c>
      <c r="E86" s="843">
        <v>10</v>
      </c>
      <c r="F86" s="1122">
        <f t="shared" ref="F86:F91" si="6">D86*E86</f>
        <v>0</v>
      </c>
      <c r="G86" s="956"/>
      <c r="H86" s="1521"/>
    </row>
    <row r="87" spans="1:8" ht="24" customHeight="1" x14ac:dyDescent="0.25">
      <c r="A87" s="2181"/>
      <c r="B87" s="1582"/>
      <c r="C87" s="1275" t="str">
        <f>F!C78</f>
        <v>5 to &lt;30 ft.</v>
      </c>
      <c r="D87" s="1276">
        <f>F!D78</f>
        <v>0</v>
      </c>
      <c r="E87" s="843">
        <v>7</v>
      </c>
      <c r="F87" s="1122">
        <f t="shared" si="6"/>
        <v>0</v>
      </c>
      <c r="G87" s="957"/>
      <c r="H87" s="1521"/>
    </row>
    <row r="88" spans="1:8" ht="24" customHeight="1" x14ac:dyDescent="0.25">
      <c r="A88" s="2181"/>
      <c r="B88" s="1582"/>
      <c r="C88" s="1275" t="str">
        <f>F!C79</f>
        <v>30 to &lt;50 ft.</v>
      </c>
      <c r="D88" s="1276">
        <f>F!D79</f>
        <v>0</v>
      </c>
      <c r="E88" s="843">
        <v>6</v>
      </c>
      <c r="F88" s="1122">
        <f t="shared" si="6"/>
        <v>0</v>
      </c>
      <c r="G88" s="957"/>
      <c r="H88" s="1521"/>
    </row>
    <row r="89" spans="1:8" ht="24" customHeight="1" x14ac:dyDescent="0.25">
      <c r="A89" s="2181"/>
      <c r="B89" s="1582"/>
      <c r="C89" s="1275" t="str">
        <f>F!C80</f>
        <v>50 to &lt;100 ft.</v>
      </c>
      <c r="D89" s="1276">
        <f>F!D80</f>
        <v>0</v>
      </c>
      <c r="E89" s="843">
        <v>4</v>
      </c>
      <c r="F89" s="1122">
        <f t="shared" si="6"/>
        <v>0</v>
      </c>
      <c r="G89" s="957"/>
      <c r="H89" s="1521"/>
    </row>
    <row r="90" spans="1:8" ht="24" customHeight="1" x14ac:dyDescent="0.25">
      <c r="A90" s="2181"/>
      <c r="B90" s="1582"/>
      <c r="C90" s="1275" t="str">
        <f>F!C81</f>
        <v>100 to 300 ft.</v>
      </c>
      <c r="D90" s="1276">
        <f>F!D81</f>
        <v>0</v>
      </c>
      <c r="E90" s="843">
        <v>2</v>
      </c>
      <c r="F90" s="1122">
        <f t="shared" si="6"/>
        <v>0</v>
      </c>
      <c r="G90" s="957"/>
      <c r="H90" s="1521"/>
    </row>
    <row r="91" spans="1:8" ht="42" customHeight="1" thickBot="1" x14ac:dyDescent="0.3">
      <c r="A91" s="2181"/>
      <c r="B91" s="1582"/>
      <c r="C91" s="1275" t="str">
        <f>F!C82</f>
        <v>&gt; 300 ft.</v>
      </c>
      <c r="D91" s="1276">
        <f>F!D82</f>
        <v>0</v>
      </c>
      <c r="E91" s="844">
        <v>1</v>
      </c>
      <c r="F91" s="1140">
        <f t="shared" si="6"/>
        <v>0</v>
      </c>
      <c r="G91" s="959"/>
      <c r="H91" s="1521"/>
    </row>
    <row r="92" spans="1:8" ht="45" customHeight="1" thickBot="1" x14ac:dyDescent="0.3">
      <c r="A92" s="2182" t="str">
        <f>F!A83</f>
        <v>F16</v>
      </c>
      <c r="B92" s="1599" t="str">
        <f>F!B83</f>
        <v>All Ponded Water as a Percentage (Driest)  (PondWpctDry)</v>
      </c>
      <c r="C92" s="4" t="str">
        <f>F!C83</f>
        <v>When water levels are lowest, during a normal year, but surface water still occupies &gt;1,076 sq feet (100 sq meter) OR  &gt;1% of the AA (whichever is more), the water that is ponded (either visible or concealed by vegetation) in the AA occupies:</v>
      </c>
      <c r="D92" s="1044"/>
      <c r="E92" s="192"/>
      <c r="F92" s="955"/>
      <c r="G92" s="1428">
        <f>IF((NeverWater+TempWet&gt;0),"",IF((NoPond=1),"",MAX(F93:F98)/MAX(E93:E98)))</f>
        <v>0</v>
      </c>
      <c r="H92" s="1522" t="s">
        <v>1674</v>
      </c>
    </row>
    <row r="93" spans="1:8" ht="30.75" customHeight="1" x14ac:dyDescent="0.25">
      <c r="A93" s="2183"/>
      <c r="B93" s="1582"/>
      <c r="C93" s="236" t="str">
        <f>F!C84</f>
        <v xml:space="preserve">&lt;1% or none. Surface water is completely or nearly absent then, or is entirely flowing. Enter 1 and SKIP TO F22. </v>
      </c>
      <c r="D93" s="1304">
        <f>F!D84</f>
        <v>0</v>
      </c>
      <c r="E93" s="45">
        <v>6</v>
      </c>
      <c r="F93" s="1122">
        <f t="shared" ref="F93:F98" si="7">D93*E93</f>
        <v>0</v>
      </c>
      <c r="G93" s="957"/>
      <c r="H93" s="1521"/>
    </row>
    <row r="94" spans="1:8" ht="16.2" customHeight="1" x14ac:dyDescent="0.25">
      <c r="A94" s="2183"/>
      <c r="B94" s="1582"/>
      <c r="C94" s="236" t="str">
        <f>F!C85</f>
        <v>1 to 5% of the AA.</v>
      </c>
      <c r="D94" s="1304">
        <f>F!D85</f>
        <v>0</v>
      </c>
      <c r="E94" s="45">
        <v>5</v>
      </c>
      <c r="F94" s="1122">
        <f t="shared" si="7"/>
        <v>0</v>
      </c>
      <c r="G94" s="957"/>
      <c r="H94" s="1521"/>
    </row>
    <row r="95" spans="1:8" ht="16.2" customHeight="1" x14ac:dyDescent="0.25">
      <c r="A95" s="2183"/>
      <c r="B95" s="1582"/>
      <c r="C95" s="236" t="str">
        <f>F!C86</f>
        <v>5 to &lt;30% of the AA.</v>
      </c>
      <c r="D95" s="1304">
        <f>F!D86</f>
        <v>0</v>
      </c>
      <c r="E95" s="45">
        <v>4</v>
      </c>
      <c r="F95" s="1122">
        <f t="shared" si="7"/>
        <v>0</v>
      </c>
      <c r="G95" s="957"/>
      <c r="H95" s="1521"/>
    </row>
    <row r="96" spans="1:8" ht="16.2" customHeight="1" x14ac:dyDescent="0.25">
      <c r="A96" s="2183"/>
      <c r="B96" s="1582"/>
      <c r="C96" s="236" t="str">
        <f>F!C87</f>
        <v>30 to &lt;70% of the AA.</v>
      </c>
      <c r="D96" s="1304">
        <f>F!D87</f>
        <v>0</v>
      </c>
      <c r="E96" s="45">
        <v>3</v>
      </c>
      <c r="F96" s="1122">
        <f t="shared" si="7"/>
        <v>0</v>
      </c>
      <c r="G96" s="957"/>
      <c r="H96" s="1521"/>
    </row>
    <row r="97" spans="1:8" ht="16.2" customHeight="1" x14ac:dyDescent="0.25">
      <c r="A97" s="2183"/>
      <c r="B97" s="1582"/>
      <c r="C97" s="236" t="str">
        <f>F!C88</f>
        <v>70 to 95% of the AA.</v>
      </c>
      <c r="D97" s="1304">
        <f>F!D88</f>
        <v>0</v>
      </c>
      <c r="E97" s="45">
        <v>2</v>
      </c>
      <c r="F97" s="1122">
        <f t="shared" si="7"/>
        <v>0</v>
      </c>
      <c r="G97" s="957"/>
      <c r="H97" s="1521"/>
    </row>
    <row r="98" spans="1:8" ht="16.2" customHeight="1" thickBot="1" x14ac:dyDescent="0.3">
      <c r="A98" s="2184"/>
      <c r="B98" s="1600"/>
      <c r="C98" s="246" t="str">
        <f>F!C89</f>
        <v>&gt;95% of the AA.</v>
      </c>
      <c r="D98" s="1321">
        <f>F!D89</f>
        <v>0</v>
      </c>
      <c r="E98" s="193">
        <v>1</v>
      </c>
      <c r="F98" s="1124">
        <f t="shared" si="7"/>
        <v>0</v>
      </c>
      <c r="G98" s="958"/>
      <c r="H98" s="1523"/>
    </row>
    <row r="99" spans="1:8" ht="21" customHeight="1" thickBot="1" x14ac:dyDescent="0.3">
      <c r="A99" s="2181" t="str">
        <f>F!A120</f>
        <v>F22</v>
      </c>
      <c r="B99" s="1582" t="str">
        <f>F!B120</f>
        <v>Beaver (Beaver)</v>
      </c>
      <c r="C99" s="4" t="str">
        <f>F!C120</f>
        <v>Use of the AA by beaver during the past 5 years is:  Select most applicable ONE.</v>
      </c>
      <c r="D99" s="1044"/>
      <c r="E99" s="46"/>
      <c r="F99" s="963"/>
      <c r="G99" s="1429">
        <f>IF((NeverWater+TempWet&gt;0),"",IF((NoPondOW2=1),"",MAX(F100:F104)/MAX(E100:E104)))</f>
        <v>0</v>
      </c>
      <c r="H99" s="1521" t="s">
        <v>1675</v>
      </c>
    </row>
    <row r="100" spans="1:8" ht="21" customHeight="1" x14ac:dyDescent="0.25">
      <c r="A100" s="2181"/>
      <c r="B100" s="1582"/>
      <c r="C100" s="236" t="str">
        <f>F!C121</f>
        <v>Evident from direct observation or presence of gnawed limbs, dams, tracks, dens, or lodges.</v>
      </c>
      <c r="D100" s="1304">
        <f>F!D121</f>
        <v>0</v>
      </c>
      <c r="E100" s="45">
        <v>5</v>
      </c>
      <c r="F100" s="1140">
        <f>D100*E100</f>
        <v>0</v>
      </c>
      <c r="G100" s="956"/>
      <c r="H100" s="1521"/>
    </row>
    <row r="101" spans="1:8" ht="67.5" customHeight="1" x14ac:dyDescent="0.25">
      <c r="A101" s="2181"/>
      <c r="B101" s="1582"/>
      <c r="C101" s="237" t="str">
        <f>F!C122</f>
        <v>Very likely based on known occurrence in this part of the region and proximity to ALL of the following (a) a persistent freshwater wetland, pond, or lake, or a perennial low-gradient (&lt;5%) channel, and (b) average valley width is &gt; 150 ft and (c) &gt;20% cumulative cover of aspen, cottonwood, alder, and willow in vegetated areas within 150 ft of the AA's edge.  Or there is evidence of beaver just outside the AA.</v>
      </c>
      <c r="D101" s="1081">
        <f>F!D122</f>
        <v>0</v>
      </c>
      <c r="E101" s="45">
        <v>3</v>
      </c>
      <c r="F101" s="1140">
        <f>D101*E101</f>
        <v>0</v>
      </c>
      <c r="G101" s="957"/>
      <c r="H101" s="1521"/>
    </row>
    <row r="102" spans="1:8" ht="57" customHeight="1" x14ac:dyDescent="0.25">
      <c r="A102" s="2181"/>
      <c r="B102" s="1582"/>
      <c r="C102" s="237" t="str">
        <f>F!C123</f>
        <v>Somewhat likely based on known occurrence in this part of the region and proximity to ALL of the following (a) a persistent freshwater wetland, pond, or lake, or a perennial low or mid-gradient (&lt;10%) channel, and (b) average valley width is &gt;50 ft, and (c) &gt;20% cumulative cover of hardwood trees and shrubs in vegetated areas within 150 ft of the AA's edge.</v>
      </c>
      <c r="D102" s="1081">
        <f>F!D123</f>
        <v>0</v>
      </c>
      <c r="E102" s="45">
        <v>2</v>
      </c>
      <c r="F102" s="1140">
        <f>D102*E102</f>
        <v>0</v>
      </c>
      <c r="G102" s="957"/>
      <c r="H102" s="1521"/>
    </row>
    <row r="103" spans="1:8" ht="27" customHeight="1" x14ac:dyDescent="0.25">
      <c r="A103" s="2181"/>
      <c r="B103" s="1582"/>
      <c r="C103" s="237" t="str">
        <f>F!C124</f>
        <v>Unlikely because site characteristics above are deficient, and/or this is an area where beaver are routinely removed.  But beaver occur within 2 miles.</v>
      </c>
      <c r="D103" s="1081">
        <f>F!D124</f>
        <v>0</v>
      </c>
      <c r="E103" s="45">
        <v>1</v>
      </c>
      <c r="F103" s="1140">
        <f>D103*E103</f>
        <v>0</v>
      </c>
      <c r="G103" s="957"/>
      <c r="H103" s="1521"/>
    </row>
    <row r="104" spans="1:8" ht="16.2" customHeight="1" thickBot="1" x14ac:dyDescent="0.3">
      <c r="A104" s="2181"/>
      <c r="B104" s="1582"/>
      <c r="C104" s="1275" t="str">
        <f>F!C125</f>
        <v>None.  Beaver are absent from this part of the region.</v>
      </c>
      <c r="D104" s="1276">
        <f>F!D125</f>
        <v>0</v>
      </c>
      <c r="E104" s="54">
        <v>0</v>
      </c>
      <c r="F104" s="1140">
        <f>D104*E104</f>
        <v>0</v>
      </c>
      <c r="G104" s="959"/>
      <c r="H104" s="1521"/>
    </row>
    <row r="105" spans="1:8" ht="45" customHeight="1" thickBot="1" x14ac:dyDescent="0.3">
      <c r="A105" s="2182" t="str">
        <f>F!A134</f>
        <v>F26</v>
      </c>
      <c r="B105" s="1599" t="str">
        <f>F!B134</f>
        <v>% Only Saturated or Seasonally Flooded (SeasPct)</v>
      </c>
      <c r="C105" s="4"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105" s="1044"/>
      <c r="E105" s="192"/>
      <c r="F105" s="955"/>
      <c r="G105" s="1428">
        <f>MAX(F106:F110)/MAX(E106:E110)</f>
        <v>0</v>
      </c>
      <c r="H105" s="1522" t="s">
        <v>87</v>
      </c>
    </row>
    <row r="106" spans="1:8" ht="16.2" customHeight="1" x14ac:dyDescent="0.25">
      <c r="A106" s="2183"/>
      <c r="B106" s="1582"/>
      <c r="C106" s="393" t="str">
        <f>F!C135</f>
        <v>&lt;5% of the AA, or none (i.e., all water persists for &gt;4 months).</v>
      </c>
      <c r="D106" s="1306">
        <f>F!D135</f>
        <v>0</v>
      </c>
      <c r="E106" s="45">
        <v>1</v>
      </c>
      <c r="F106" s="1122">
        <f>D106*E106</f>
        <v>0</v>
      </c>
      <c r="G106" s="956"/>
      <c r="H106" s="1521"/>
    </row>
    <row r="107" spans="1:8" ht="16.2" customHeight="1" x14ac:dyDescent="0.25">
      <c r="A107" s="2183"/>
      <c r="B107" s="1582"/>
      <c r="C107" s="1275" t="str">
        <f>F!C136</f>
        <v>5 to &lt;25% of the AA.</v>
      </c>
      <c r="D107" s="1276">
        <f>F!D136</f>
        <v>0</v>
      </c>
      <c r="E107" s="45">
        <v>2</v>
      </c>
      <c r="F107" s="1122">
        <f>D107*E107</f>
        <v>0</v>
      </c>
      <c r="G107" s="957"/>
      <c r="H107" s="1521"/>
    </row>
    <row r="108" spans="1:8" ht="16.2" customHeight="1" x14ac:dyDescent="0.25">
      <c r="A108" s="2183"/>
      <c r="B108" s="1582"/>
      <c r="C108" s="1275" t="str">
        <f>F!C137</f>
        <v>25 to &lt;50% of the AA.</v>
      </c>
      <c r="D108" s="1276">
        <f>F!D137</f>
        <v>0</v>
      </c>
      <c r="E108" s="45">
        <v>3</v>
      </c>
      <c r="F108" s="1122">
        <f>D108*E108</f>
        <v>0</v>
      </c>
      <c r="G108" s="957"/>
      <c r="H108" s="1521"/>
    </row>
    <row r="109" spans="1:8" ht="16.2" customHeight="1" x14ac:dyDescent="0.25">
      <c r="A109" s="2183"/>
      <c r="B109" s="1582"/>
      <c r="C109" s="1275" t="str">
        <f>F!C138</f>
        <v>50 to 75% of the AA.</v>
      </c>
      <c r="D109" s="1276">
        <f>F!D138</f>
        <v>0</v>
      </c>
      <c r="E109" s="45">
        <v>4</v>
      </c>
      <c r="F109" s="1122">
        <f>D109*E109</f>
        <v>0</v>
      </c>
      <c r="G109" s="957"/>
      <c r="H109" s="1521"/>
    </row>
    <row r="110" spans="1:8" ht="16.2" customHeight="1" thickBot="1" x14ac:dyDescent="0.3">
      <c r="A110" s="2184"/>
      <c r="B110" s="1600"/>
      <c r="C110" s="212" t="str">
        <f>F!C139</f>
        <v>&gt;75% of the AA.</v>
      </c>
      <c r="D110" s="213">
        <f>F!D139</f>
        <v>0</v>
      </c>
      <c r="E110" s="193">
        <v>5</v>
      </c>
      <c r="F110" s="1124">
        <f>D110*E110</f>
        <v>0</v>
      </c>
      <c r="G110" s="958"/>
      <c r="H110" s="1523"/>
    </row>
    <row r="111" spans="1:8" ht="85.5" customHeight="1" thickBot="1" x14ac:dyDescent="0.3">
      <c r="A111" s="2181" t="str">
        <f>F!A162</f>
        <v>F31</v>
      </c>
      <c r="B111" s="1582" t="str">
        <f>F!B162</f>
        <v>Outflow Duration (OutDura)</v>
      </c>
      <c r="C111" s="4"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111" s="1044"/>
      <c r="E111" s="46"/>
      <c r="F111" s="963"/>
      <c r="G111" s="1429">
        <f>MAX(F112:F115)/MAX(E112:E115)</f>
        <v>0</v>
      </c>
      <c r="H111" s="1521" t="s">
        <v>190</v>
      </c>
    </row>
    <row r="112" spans="1:8" ht="16.2" customHeight="1" x14ac:dyDescent="0.25">
      <c r="A112" s="2181"/>
      <c r="B112" s="1582"/>
      <c r="C112" s="236" t="str">
        <f>F!C163</f>
        <v>Persistent (&gt;9 months/year).</v>
      </c>
      <c r="D112" s="1304">
        <f>F!D163</f>
        <v>0</v>
      </c>
      <c r="E112" s="843">
        <v>1</v>
      </c>
      <c r="F112" s="1122">
        <f>D112*E112</f>
        <v>0</v>
      </c>
      <c r="G112" s="956"/>
      <c r="H112" s="1521"/>
    </row>
    <row r="113" spans="1:8" ht="16.2" customHeight="1" x14ac:dyDescent="0.25">
      <c r="A113" s="2181"/>
      <c r="B113" s="1582"/>
      <c r="C113" s="237" t="str">
        <f>F!C164</f>
        <v>Seasonal (14 days to 9 months/year, not necessarily consecutive).</v>
      </c>
      <c r="D113" s="1081">
        <f>F!D164</f>
        <v>0</v>
      </c>
      <c r="E113" s="843">
        <v>2</v>
      </c>
      <c r="F113" s="1122">
        <f>D113*E113</f>
        <v>0</v>
      </c>
      <c r="G113" s="957"/>
      <c r="H113" s="1521"/>
    </row>
    <row r="114" spans="1:8" ht="16.2" customHeight="1" x14ac:dyDescent="0.25">
      <c r="A114" s="2181"/>
      <c r="B114" s="1582"/>
      <c r="C114" s="237" t="str">
        <f>F!C165</f>
        <v>Temporary (&lt;14 days, not necessarily consecutive).</v>
      </c>
      <c r="D114" s="1081">
        <f>F!D165</f>
        <v>0</v>
      </c>
      <c r="E114" s="843">
        <v>3</v>
      </c>
      <c r="F114" s="1122">
        <f>D114*E114</f>
        <v>0</v>
      </c>
      <c r="G114" s="957"/>
      <c r="H114" s="1521"/>
    </row>
    <row r="115" spans="1:8" ht="42" customHeight="1" thickBot="1" x14ac:dyDescent="0.3">
      <c r="A115" s="2181"/>
      <c r="B115" s="1582"/>
      <c r="C115" s="95" t="str">
        <f>F!C166</f>
        <v xml:space="preserve">None -- no surface water flows out of the wetland except possibly during extreme events (&lt;once per 10 years). Or, water flows only into a wetland, ditch, or lake that lacks an outlet. Enter 1  and SKIP TO F33. </v>
      </c>
      <c r="D115" s="44">
        <f>F!D166</f>
        <v>0</v>
      </c>
      <c r="E115" s="868">
        <v>6</v>
      </c>
      <c r="F115" s="1140">
        <f>D115*E115</f>
        <v>0</v>
      </c>
      <c r="G115" s="959"/>
      <c r="H115" s="1521"/>
    </row>
    <row r="116" spans="1:8" ht="21" customHeight="1" thickBot="1" x14ac:dyDescent="0.3">
      <c r="A116" s="2182" t="str">
        <f>F!A167</f>
        <v>F32</v>
      </c>
      <c r="B116" s="1599" t="str">
        <f>F!B167</f>
        <v>Outflow Confinement (Constric)</v>
      </c>
      <c r="C116" s="4" t="str">
        <f>F!C167</f>
        <v>During major runoff events, in the places described above where surface water exits the AA, it:</v>
      </c>
      <c r="D116" s="866"/>
      <c r="E116" s="192"/>
      <c r="F116" s="955"/>
      <c r="G116" s="1428">
        <f>IF((NeverWater+TempWet&gt;0),"", IF((NoOutlet=1),"", (MAX(F117:F119)/MAX(E117:E119))))</f>
        <v>0</v>
      </c>
      <c r="H116" s="1522" t="s">
        <v>1728</v>
      </c>
    </row>
    <row r="117" spans="1:8" ht="27" customHeight="1" x14ac:dyDescent="0.25">
      <c r="A117" s="2183"/>
      <c r="B117" s="1582"/>
      <c r="C117" s="236" t="str">
        <f>F!C168</f>
        <v>Is impeded as it mostly passes through a pipe, culvert, tidegate, narrowly breached dike, berm, beaver dam, or other partial obstruction (other than natural topography).</v>
      </c>
      <c r="D117" s="1304">
        <f>F!D168</f>
        <v>0</v>
      </c>
      <c r="E117" s="843">
        <v>2</v>
      </c>
      <c r="F117" s="1029">
        <f>D117*E117</f>
        <v>0</v>
      </c>
      <c r="G117" s="956"/>
      <c r="H117" s="1521"/>
    </row>
    <row r="118" spans="1:8" ht="27" customHeight="1" x14ac:dyDescent="0.25">
      <c r="A118" s="2183"/>
      <c r="B118" s="1582"/>
      <c r="C118" s="237" t="str">
        <f>F!C169</f>
        <v>Leaves mainly through natural surface exits, not largely through artificial or temporary features which impede or accelerate outflow.</v>
      </c>
      <c r="D118" s="1081">
        <f>F!D169</f>
        <v>0</v>
      </c>
      <c r="E118" s="843">
        <v>1</v>
      </c>
      <c r="F118" s="1029">
        <f>D118*E118</f>
        <v>0</v>
      </c>
      <c r="G118" s="957"/>
      <c r="H118" s="1521"/>
    </row>
    <row r="119" spans="1:8" ht="28.95" customHeight="1" thickBot="1" x14ac:dyDescent="0.3">
      <c r="A119" s="2184"/>
      <c r="B119" s="1600"/>
      <c r="C119" s="212" t="str">
        <f>F!C170</f>
        <v>Is exported more quickly than usual as it mostly passes through ditches or pipes intended to accelerate drainage.  They may be within the AA or connected to its outlet or within 30 ft of the AA's edge.</v>
      </c>
      <c r="D119" s="213">
        <f>F!D170</f>
        <v>0</v>
      </c>
      <c r="E119" s="845">
        <v>0</v>
      </c>
      <c r="F119" s="1124">
        <f>D119*E119</f>
        <v>0</v>
      </c>
      <c r="G119" s="958"/>
      <c r="H119" s="1523"/>
    </row>
    <row r="120" spans="1:8" ht="42" customHeight="1" thickBot="1" x14ac:dyDescent="0.3">
      <c r="A120" s="2182" t="str">
        <f>F!A205</f>
        <v>F40</v>
      </c>
      <c r="B120" s="1599" t="str">
        <f>F!B205</f>
        <v>Species Dominance - Herbaceous (HerbDom)</v>
      </c>
      <c r="C120" s="4" t="str">
        <f>F!C205</f>
        <v>Determine which two native herbaceous (forb, fern, and graminoid) species comprise the greatest portion of the herbaceous cover that is unshaded by a woody canopy.  Then select one:</v>
      </c>
      <c r="D120" s="1044"/>
      <c r="E120" s="1044"/>
      <c r="F120" s="1139"/>
      <c r="G120" s="1428">
        <f>IF((NoHerb=1),"",MAX(F121:F122)/MAX(E121:E122))</f>
        <v>0</v>
      </c>
      <c r="H120" s="1547" t="s">
        <v>1736</v>
      </c>
    </row>
    <row r="121" spans="1:8" ht="42" customHeight="1" x14ac:dyDescent="0.25">
      <c r="A121" s="2183"/>
      <c r="B121" s="1582"/>
      <c r="C121" s="236" t="str">
        <f>F!C206</f>
        <v>Those species together comprise more than half of the areal cover of native herbaceous plants at any time during the year, i.e., one dominant species or two co-dominants.  Also mark this if &lt;20% of the vegetated cover is native species.</v>
      </c>
      <c r="D121" s="1304">
        <f>F!D206</f>
        <v>0</v>
      </c>
      <c r="E121" s="843">
        <v>1</v>
      </c>
      <c r="F121" s="1122">
        <f>D121*E121</f>
        <v>0</v>
      </c>
      <c r="G121" s="957"/>
      <c r="H121" s="1548"/>
    </row>
    <row r="122" spans="1:8" ht="27" customHeight="1" thickBot="1" x14ac:dyDescent="0.3">
      <c r="A122" s="2184"/>
      <c r="B122" s="1600"/>
      <c r="C122" s="212" t="str">
        <f>F!C207</f>
        <v>Those species together comprise less than half of the areal cover of native herbaceous plants at any time during the year.</v>
      </c>
      <c r="D122" s="213">
        <f>F!D207</f>
        <v>0</v>
      </c>
      <c r="E122" s="845">
        <v>2</v>
      </c>
      <c r="F122" s="1124">
        <f>D122*E122</f>
        <v>0</v>
      </c>
      <c r="G122" s="958"/>
      <c r="H122" s="1549"/>
    </row>
    <row r="123" spans="1:8" ht="21" customHeight="1" thickBot="1" x14ac:dyDescent="0.3">
      <c r="A123" s="2181" t="str">
        <f>F!A208</f>
        <v>F41</v>
      </c>
      <c r="B123" s="1582" t="str">
        <f>F!B208</f>
        <v>Invasive or Non-native - % of Vegetative Cover (Invas)</v>
      </c>
      <c r="C123" s="4" t="str">
        <f>F!C208</f>
        <v>Vegetative cover (annual maximum) is:</v>
      </c>
      <c r="D123" s="1044"/>
      <c r="E123" s="877"/>
      <c r="F123" s="1141"/>
      <c r="G123" s="1429">
        <f>IF((NoHerb=1),"",MAX(F124:F127)/MAX(E124:E127))</f>
        <v>0</v>
      </c>
      <c r="H123" s="1576" t="s">
        <v>1747</v>
      </c>
    </row>
    <row r="124" spans="1:8" ht="27" customHeight="1" x14ac:dyDescent="0.25">
      <c r="A124" s="2181"/>
      <c r="B124" s="1582"/>
      <c r="C124" s="236" t="str">
        <f>F!C209</f>
        <v>Overwhelmingly (&gt;80% cover) non-native species AND &gt;10% of the herbaceous cover is invasive species.  
(See ORWAP SuppInfo file for species designations).</v>
      </c>
      <c r="D124" s="1304">
        <f>F!D209</f>
        <v>0</v>
      </c>
      <c r="E124" s="45">
        <v>0</v>
      </c>
      <c r="F124" s="1122">
        <f>D124*E124</f>
        <v>0</v>
      </c>
      <c r="G124" s="956"/>
      <c r="H124" s="1548"/>
    </row>
    <row r="125" spans="1:8" ht="29.4" customHeight="1" x14ac:dyDescent="0.25">
      <c r="A125" s="2181"/>
      <c r="B125" s="1582"/>
      <c r="C125" s="237" t="str">
        <f>F!C210</f>
        <v xml:space="preserve">Overwhelmingly (&gt;80% cover) non-native species AND &lt;10% of the herbaceous cover is invasive species; 
OR 50-80% of cover is non-native species regardless of invasiveness. </v>
      </c>
      <c r="D125" s="1081">
        <f>F!D208</f>
        <v>0</v>
      </c>
      <c r="E125" s="866">
        <v>1</v>
      </c>
      <c r="F125" s="1152">
        <f>D125*E125</f>
        <v>0</v>
      </c>
      <c r="G125" s="956"/>
      <c r="H125" s="1548"/>
    </row>
    <row r="126" spans="1:8" ht="16.2" customHeight="1" x14ac:dyDescent="0.25">
      <c r="A126" s="2181"/>
      <c r="B126" s="1582"/>
      <c r="C126" s="237" t="str">
        <f>F!C211</f>
        <v>Mostly (50-80%) native species.</v>
      </c>
      <c r="D126" s="1081">
        <f>F!D211</f>
        <v>0</v>
      </c>
      <c r="E126" s="843">
        <v>2</v>
      </c>
      <c r="F126" s="1122">
        <f>D126*E126</f>
        <v>0</v>
      </c>
      <c r="G126" s="957"/>
      <c r="H126" s="1548"/>
    </row>
    <row r="127" spans="1:8" ht="16.2" customHeight="1" thickBot="1" x14ac:dyDescent="0.3">
      <c r="A127" s="2181"/>
      <c r="B127" s="1582"/>
      <c r="C127" s="1275" t="str">
        <f>F!C212</f>
        <v>Overwhelmingly (&gt;80%) native species.</v>
      </c>
      <c r="D127" s="1276">
        <f>F!D212</f>
        <v>0</v>
      </c>
      <c r="E127" s="844">
        <v>3</v>
      </c>
      <c r="F127" s="1140">
        <f>D127*E127</f>
        <v>0</v>
      </c>
      <c r="G127" s="959"/>
      <c r="H127" s="1818"/>
    </row>
    <row r="128" spans="1:8" ht="60" customHeight="1" thickBot="1" x14ac:dyDescent="0.3">
      <c r="A128" s="1430" t="str">
        <f>F!A220</f>
        <v>F44</v>
      </c>
      <c r="B128" s="4" t="str">
        <f>F!B220</f>
        <v>Moss Wetland (Moss)</v>
      </c>
      <c r="C128" s="1381" t="str">
        <f>F!C220</f>
        <v>The AA's ground cover is primarily a deep layer of moss, and/or soils are mainly peat or organic muck. Also, the soil remains water-saturated to within 3 inches of the surface during most of a normal year.   Surface water within the AA often is absent or confined to small scattered pools or ditches.  Enter 1, if true.</v>
      </c>
      <c r="D128" s="1279">
        <f>F!D220</f>
        <v>0</v>
      </c>
      <c r="E128" s="1431"/>
      <c r="F128" s="1154"/>
      <c r="G128" s="1428">
        <f>D128</f>
        <v>0</v>
      </c>
      <c r="H128" s="114" t="s">
        <v>258</v>
      </c>
    </row>
    <row r="129" spans="1:8" ht="30" customHeight="1" thickBot="1" x14ac:dyDescent="0.3">
      <c r="A129" s="2182" t="str">
        <f>F!A221</f>
        <v>F45</v>
      </c>
      <c r="B129" s="1599" t="str">
        <f>F!B221</f>
        <v>Woody Extent (WoodyPct)</v>
      </c>
      <c r="C129" s="4" t="str">
        <f>F!C221</f>
        <v>Within the vegetated part of the AA, woody vegetation (trees, shrubs, robust vines) taller than 3 ft occupies:</v>
      </c>
      <c r="D129" s="1044"/>
      <c r="E129" s="192"/>
      <c r="F129" s="955"/>
      <c r="G129" s="1428">
        <f>IF((HistOpenland=1),"",MAX(F129:F135)/MAX(E129:E135))</f>
        <v>0</v>
      </c>
      <c r="H129" s="1547" t="s">
        <v>56</v>
      </c>
    </row>
    <row r="130" spans="1:8" ht="16.2" customHeight="1" x14ac:dyDescent="0.25">
      <c r="A130" s="2183"/>
      <c r="B130" s="1582"/>
      <c r="C130" s="236" t="str">
        <f>F!C222</f>
        <v>&lt;5% of the vegetated AA, and fewer than 10 trees are present.  Enter 1 and SKIP to F51.</v>
      </c>
      <c r="D130" s="1304">
        <f>F!D222</f>
        <v>0</v>
      </c>
      <c r="E130" s="67">
        <v>0</v>
      </c>
      <c r="F130" s="1122">
        <f t="shared" ref="F130:F135" si="8">D130*E130</f>
        <v>0</v>
      </c>
      <c r="G130" s="994"/>
      <c r="H130" s="1548"/>
    </row>
    <row r="131" spans="1:8" ht="16.2" customHeight="1" x14ac:dyDescent="0.25">
      <c r="A131" s="2183"/>
      <c r="B131" s="1582"/>
      <c r="C131" s="237" t="str">
        <f>F!C223</f>
        <v xml:space="preserve">&lt;5% of the vegetated AA, but more than 10 trees are present. </v>
      </c>
      <c r="D131" s="1081">
        <f>F!D223</f>
        <v>0</v>
      </c>
      <c r="E131" s="67">
        <v>1</v>
      </c>
      <c r="F131" s="1122">
        <f t="shared" si="8"/>
        <v>0</v>
      </c>
      <c r="G131" s="959"/>
      <c r="H131" s="1548"/>
    </row>
    <row r="132" spans="1:8" ht="16.2" customHeight="1" x14ac:dyDescent="0.25">
      <c r="A132" s="2183"/>
      <c r="B132" s="1582"/>
      <c r="C132" s="237" t="str">
        <f>F!C224</f>
        <v>5 to &lt;25% of the vegetated AA.</v>
      </c>
      <c r="D132" s="1081">
        <f>F!D224</f>
        <v>0</v>
      </c>
      <c r="E132" s="67">
        <v>2</v>
      </c>
      <c r="F132" s="1122">
        <f t="shared" si="8"/>
        <v>0</v>
      </c>
      <c r="G132" s="959"/>
      <c r="H132" s="1548"/>
    </row>
    <row r="133" spans="1:8" ht="16.2" customHeight="1" x14ac:dyDescent="0.25">
      <c r="A133" s="2183"/>
      <c r="B133" s="1582"/>
      <c r="C133" s="237" t="str">
        <f>F!C225</f>
        <v>25 to &lt;50% of the vegetated AA.</v>
      </c>
      <c r="D133" s="1081">
        <f>F!D225</f>
        <v>0</v>
      </c>
      <c r="E133" s="67">
        <v>3</v>
      </c>
      <c r="F133" s="1122">
        <f t="shared" si="8"/>
        <v>0</v>
      </c>
      <c r="G133" s="959"/>
      <c r="H133" s="1548"/>
    </row>
    <row r="134" spans="1:8" ht="16.2" customHeight="1" x14ac:dyDescent="0.25">
      <c r="A134" s="2183"/>
      <c r="B134" s="1582"/>
      <c r="C134" s="237" t="str">
        <f>F!C226</f>
        <v>50 to 95% of the vegetated AA.</v>
      </c>
      <c r="D134" s="1081">
        <f>F!D226</f>
        <v>0</v>
      </c>
      <c r="E134" s="67">
        <v>4</v>
      </c>
      <c r="F134" s="1122">
        <f t="shared" si="8"/>
        <v>0</v>
      </c>
      <c r="G134" s="959"/>
      <c r="H134" s="1548"/>
    </row>
    <row r="135" spans="1:8" ht="16.2" customHeight="1" thickBot="1" x14ac:dyDescent="0.3">
      <c r="A135" s="2184"/>
      <c r="B135" s="1600"/>
      <c r="C135" s="212" t="str">
        <f>F!C227</f>
        <v>&gt;95% of the vegetated part of the AA.</v>
      </c>
      <c r="D135" s="213">
        <f>F!D227</f>
        <v>0</v>
      </c>
      <c r="E135" s="245">
        <v>5</v>
      </c>
      <c r="F135" s="1124">
        <f t="shared" si="8"/>
        <v>0</v>
      </c>
      <c r="G135" s="958"/>
      <c r="H135" s="1549"/>
    </row>
    <row r="136" spans="1:8" ht="30" customHeight="1" thickBot="1" x14ac:dyDescent="0.3">
      <c r="A136" s="2181" t="str">
        <f>F!A228</f>
        <v>F46</v>
      </c>
      <c r="B136" s="1582" t="str">
        <f>F!B228</f>
        <v>Woody Diameter Classes (TreeDiams)</v>
      </c>
      <c r="C136" s="4" t="str">
        <f>F!C228</f>
        <v>Select All the types that comprise &gt;5% of the woody canopy cover in the AA or &gt;5% of its wooded upland edge if any:</v>
      </c>
      <c r="D136" s="1044"/>
      <c r="E136" s="46"/>
      <c r="F136" s="963"/>
      <c r="G136" s="1429">
        <f>IF((NoWoody=1),"",IF((HistOpenland=1),"",MAX(F137:F144)/MAX(E137:E144)))</f>
        <v>0</v>
      </c>
      <c r="H136" s="1576" t="s">
        <v>1762</v>
      </c>
    </row>
    <row r="137" spans="1:8" ht="16.2" customHeight="1" x14ac:dyDescent="0.25">
      <c r="A137" s="2181"/>
      <c r="B137" s="1582"/>
      <c r="C137" s="236" t="str">
        <f>F!C229</f>
        <v>Deciduous 1-4" diameter (DBH) and &gt;3 ft tall.</v>
      </c>
      <c r="D137" s="1304">
        <f>F!D229</f>
        <v>0</v>
      </c>
      <c r="E137" s="843">
        <v>0</v>
      </c>
      <c r="F137" s="1122">
        <f t="shared" ref="F137:F144" si="9">D137*E137</f>
        <v>0</v>
      </c>
      <c r="G137" s="956"/>
      <c r="H137" s="1548"/>
    </row>
    <row r="138" spans="1:8" ht="16.2" customHeight="1" x14ac:dyDescent="0.25">
      <c r="A138" s="2181"/>
      <c r="B138" s="1582"/>
      <c r="C138" s="237" t="str">
        <f>F!C230</f>
        <v>Evergreen 1-4" diameter and &gt;3 ft tall.</v>
      </c>
      <c r="D138" s="1081">
        <f>F!D230</f>
        <v>0</v>
      </c>
      <c r="E138" s="843">
        <v>0</v>
      </c>
      <c r="F138" s="1122">
        <f t="shared" si="9"/>
        <v>0</v>
      </c>
      <c r="G138" s="957"/>
      <c r="H138" s="1548"/>
    </row>
    <row r="139" spans="1:8" ht="16.2" customHeight="1" x14ac:dyDescent="0.25">
      <c r="A139" s="2181"/>
      <c r="B139" s="1582"/>
      <c r="C139" s="237" t="str">
        <f>F!C231</f>
        <v>Deciduous 4-9" diameter.</v>
      </c>
      <c r="D139" s="1081">
        <f>F!D231</f>
        <v>0</v>
      </c>
      <c r="E139" s="843">
        <v>1</v>
      </c>
      <c r="F139" s="1122">
        <f t="shared" si="9"/>
        <v>0</v>
      </c>
      <c r="G139" s="957"/>
      <c r="H139" s="1548"/>
    </row>
    <row r="140" spans="1:8" ht="16.2" customHeight="1" x14ac:dyDescent="0.25">
      <c r="A140" s="2181"/>
      <c r="B140" s="1582"/>
      <c r="C140" s="237" t="str">
        <f>F!C232</f>
        <v>Evergreen 4-9" diameter.</v>
      </c>
      <c r="D140" s="1081">
        <f>F!D232</f>
        <v>0</v>
      </c>
      <c r="E140" s="843">
        <v>1</v>
      </c>
      <c r="F140" s="1122">
        <f t="shared" si="9"/>
        <v>0</v>
      </c>
      <c r="G140" s="957"/>
      <c r="H140" s="1548"/>
    </row>
    <row r="141" spans="1:8" ht="16.2" customHeight="1" x14ac:dyDescent="0.25">
      <c r="A141" s="2181"/>
      <c r="B141" s="1582"/>
      <c r="C141" s="237" t="str">
        <f>F!C233</f>
        <v>Deciduous 9-21" diameter.</v>
      </c>
      <c r="D141" s="1081">
        <f>F!D233</f>
        <v>0</v>
      </c>
      <c r="E141" s="843">
        <v>2</v>
      </c>
      <c r="F141" s="1122">
        <f t="shared" si="9"/>
        <v>0</v>
      </c>
      <c r="G141" s="957"/>
      <c r="H141" s="1548"/>
    </row>
    <row r="142" spans="1:8" ht="16.2" customHeight="1" x14ac:dyDescent="0.25">
      <c r="A142" s="2181"/>
      <c r="B142" s="1582"/>
      <c r="C142" s="237" t="str">
        <f>F!C234</f>
        <v>Evergreen 9-21" diameter.</v>
      </c>
      <c r="D142" s="1081">
        <f>F!D234</f>
        <v>0</v>
      </c>
      <c r="E142" s="843">
        <v>2</v>
      </c>
      <c r="F142" s="1122">
        <f t="shared" si="9"/>
        <v>0</v>
      </c>
      <c r="G142" s="957"/>
      <c r="H142" s="1548"/>
    </row>
    <row r="143" spans="1:8" ht="16.2" customHeight="1" x14ac:dyDescent="0.25">
      <c r="A143" s="2181"/>
      <c r="B143" s="1582"/>
      <c r="C143" s="237" t="str">
        <f>F!C235</f>
        <v>Deciduous &gt;21" diameter.</v>
      </c>
      <c r="D143" s="1081">
        <f>F!D235</f>
        <v>0</v>
      </c>
      <c r="E143" s="843">
        <v>3</v>
      </c>
      <c r="F143" s="1122">
        <f t="shared" si="9"/>
        <v>0</v>
      </c>
      <c r="G143" s="957"/>
      <c r="H143" s="1548"/>
    </row>
    <row r="144" spans="1:8" ht="16.2" customHeight="1" thickBot="1" x14ac:dyDescent="0.3">
      <c r="A144" s="2181"/>
      <c r="B144" s="1582"/>
      <c r="C144" s="1275" t="str">
        <f>F!C236</f>
        <v>Evergreen &gt;21" diameter.</v>
      </c>
      <c r="D144" s="1276">
        <f>F!D236</f>
        <v>0</v>
      </c>
      <c r="E144" s="844">
        <v>3</v>
      </c>
      <c r="F144" s="1140">
        <f t="shared" si="9"/>
        <v>0</v>
      </c>
      <c r="G144" s="959"/>
      <c r="H144" s="1818"/>
    </row>
    <row r="145" spans="1:8" ht="45" customHeight="1" thickBot="1" x14ac:dyDescent="0.3">
      <c r="A145" s="2182" t="str">
        <f>F!A253</f>
        <v>F51</v>
      </c>
      <c r="B145" s="1599" t="str">
        <f>F!B253</f>
        <v>N Fixers (Nfix)</v>
      </c>
      <c r="C145" s="4" t="str">
        <f>F!C253</f>
        <v>The percentage of the vegetated area in the AA or along its water edge (whichever has more) that contains nitrogen-fixing plants (e.g., alder, baltic rush, scotch broom, lupine, clover, alfalfa, other legumes) is:</v>
      </c>
      <c r="D145" s="1044"/>
      <c r="E145" s="1287"/>
      <c r="F145" s="955"/>
      <c r="G145" s="1428">
        <f>MAX(F146:F150)/MAX(E146:E150)</f>
        <v>0</v>
      </c>
      <c r="H145" s="1547" t="s">
        <v>119</v>
      </c>
    </row>
    <row r="146" spans="1:8" ht="16.2" customHeight="1" x14ac:dyDescent="0.25">
      <c r="A146" s="2183"/>
      <c r="B146" s="1582"/>
      <c r="C146" s="236" t="str">
        <f>F!C254</f>
        <v>&lt;1% or none.</v>
      </c>
      <c r="D146" s="1304">
        <f>F!D254</f>
        <v>0</v>
      </c>
      <c r="E146" s="843">
        <v>5</v>
      </c>
      <c r="F146" s="1122">
        <f>D146*E146</f>
        <v>0</v>
      </c>
      <c r="G146" s="956"/>
      <c r="H146" s="1548"/>
    </row>
    <row r="147" spans="1:8" ht="16.2" customHeight="1" x14ac:dyDescent="0.25">
      <c r="A147" s="2183"/>
      <c r="B147" s="1582"/>
      <c r="C147" s="237" t="str">
        <f>F!C255</f>
        <v>1 to &lt;25%.</v>
      </c>
      <c r="D147" s="1081">
        <f>F!D255</f>
        <v>0</v>
      </c>
      <c r="E147" s="843">
        <v>4</v>
      </c>
      <c r="F147" s="1122">
        <f>D147*E147</f>
        <v>0</v>
      </c>
      <c r="G147" s="957"/>
      <c r="H147" s="1548"/>
    </row>
    <row r="148" spans="1:8" ht="16.2" customHeight="1" x14ac:dyDescent="0.25">
      <c r="A148" s="2183"/>
      <c r="B148" s="1582"/>
      <c r="C148" s="237" t="str">
        <f>F!C256</f>
        <v>25 to &lt;50%.</v>
      </c>
      <c r="D148" s="1081">
        <f>F!D256</f>
        <v>0</v>
      </c>
      <c r="E148" s="843">
        <v>3</v>
      </c>
      <c r="F148" s="1122">
        <f>D148*E148</f>
        <v>0</v>
      </c>
      <c r="G148" s="957"/>
      <c r="H148" s="1548"/>
    </row>
    <row r="149" spans="1:8" ht="16.2" customHeight="1" x14ac:dyDescent="0.25">
      <c r="A149" s="2183"/>
      <c r="B149" s="1582"/>
      <c r="C149" s="237" t="str">
        <f>F!C257</f>
        <v>50 to 75%.</v>
      </c>
      <c r="D149" s="1081">
        <f>F!D257</f>
        <v>0</v>
      </c>
      <c r="E149" s="843">
        <v>2</v>
      </c>
      <c r="F149" s="1122">
        <f>D149*E149</f>
        <v>0</v>
      </c>
      <c r="G149" s="957"/>
      <c r="H149" s="1548"/>
    </row>
    <row r="150" spans="1:8" ht="16.2" customHeight="1" thickBot="1" x14ac:dyDescent="0.3">
      <c r="A150" s="2184"/>
      <c r="B150" s="1600"/>
      <c r="C150" s="212" t="str">
        <f>F!C258</f>
        <v>&gt;75%.</v>
      </c>
      <c r="D150" s="213">
        <f>F!D258</f>
        <v>0</v>
      </c>
      <c r="E150" s="1299">
        <v>1</v>
      </c>
      <c r="F150" s="1124">
        <f>D150*E150</f>
        <v>0</v>
      </c>
      <c r="G150" s="958"/>
      <c r="H150" s="1549"/>
    </row>
    <row r="151" spans="1:8" ht="30" customHeight="1" thickBot="1" x14ac:dyDescent="0.3">
      <c r="A151" s="2181" t="str">
        <f>F!A260</f>
        <v>F52</v>
      </c>
      <c r="B151" s="1582" t="str">
        <f>F!B260</f>
        <v>Upland Perennial Cover - % of Perimeter (PerimPctPer)</v>
      </c>
      <c r="C151" s="4" t="str">
        <f>F!C260</f>
        <v xml:space="preserve">The percentage of the AA's edge (perimeter) that is comprised of a band of upland perennial cover wider than 10 ft and taller than 6 inches, during most of the growing season is:  </v>
      </c>
      <c r="D151" s="1044"/>
      <c r="E151" s="46"/>
      <c r="F151" s="1152"/>
      <c r="G151" s="1429">
        <f>(MAX(F152:F157)/MAX(E152:E157))</f>
        <v>0</v>
      </c>
      <c r="H151" s="1521" t="s">
        <v>260</v>
      </c>
    </row>
    <row r="152" spans="1:8" ht="16.2" customHeight="1" x14ac:dyDescent="0.25">
      <c r="A152" s="2181"/>
      <c r="B152" s="1582"/>
      <c r="C152" s="236" t="str">
        <f>F!C261</f>
        <v>&lt;5%.</v>
      </c>
      <c r="D152" s="1304">
        <f>F!D261</f>
        <v>0</v>
      </c>
      <c r="E152" s="45">
        <v>5</v>
      </c>
      <c r="F152" s="1122">
        <f t="shared" ref="F152:F157" si="10">D152*E152</f>
        <v>0</v>
      </c>
      <c r="G152" s="957"/>
      <c r="H152" s="1521"/>
    </row>
    <row r="153" spans="1:8" ht="16.2" customHeight="1" x14ac:dyDescent="0.25">
      <c r="A153" s="2181"/>
      <c r="B153" s="1582"/>
      <c r="C153" s="237" t="str">
        <f>F!C262</f>
        <v>5 to &lt;25%.</v>
      </c>
      <c r="D153" s="1081">
        <f>F!D262</f>
        <v>0</v>
      </c>
      <c r="E153" s="45">
        <v>4</v>
      </c>
      <c r="F153" s="1122">
        <f t="shared" si="10"/>
        <v>0</v>
      </c>
      <c r="G153" s="957"/>
      <c r="H153" s="1521"/>
    </row>
    <row r="154" spans="1:8" ht="16.2" customHeight="1" x14ac:dyDescent="0.25">
      <c r="A154" s="2181"/>
      <c r="B154" s="1582"/>
      <c r="C154" s="237" t="str">
        <f>F!C263</f>
        <v>25 to &lt;50%.</v>
      </c>
      <c r="D154" s="1081">
        <f>F!D263</f>
        <v>0</v>
      </c>
      <c r="E154" s="45">
        <v>3</v>
      </c>
      <c r="F154" s="1122">
        <f t="shared" si="10"/>
        <v>0</v>
      </c>
      <c r="G154" s="957"/>
      <c r="H154" s="1521"/>
    </row>
    <row r="155" spans="1:8" ht="16.2" customHeight="1" x14ac:dyDescent="0.25">
      <c r="A155" s="2181"/>
      <c r="B155" s="1582"/>
      <c r="C155" s="237" t="str">
        <f>F!C264</f>
        <v>50 to &lt;75%.</v>
      </c>
      <c r="D155" s="1081">
        <f>F!D264</f>
        <v>0</v>
      </c>
      <c r="E155" s="45">
        <v>2</v>
      </c>
      <c r="F155" s="1122">
        <f t="shared" si="10"/>
        <v>0</v>
      </c>
      <c r="G155" s="957"/>
      <c r="H155" s="1521"/>
    </row>
    <row r="156" spans="1:8" ht="16.2" customHeight="1" x14ac:dyDescent="0.25">
      <c r="A156" s="2181"/>
      <c r="B156" s="1582"/>
      <c r="C156" s="237" t="str">
        <f>F!C265</f>
        <v>75 to 95%.</v>
      </c>
      <c r="D156" s="1081">
        <f>F!D265</f>
        <v>0</v>
      </c>
      <c r="E156" s="45">
        <v>1</v>
      </c>
      <c r="F156" s="1122">
        <f t="shared" si="10"/>
        <v>0</v>
      </c>
      <c r="G156" s="957"/>
      <c r="H156" s="1521"/>
    </row>
    <row r="157" spans="1:8" ht="16.2" customHeight="1" thickBot="1" x14ac:dyDescent="0.3">
      <c r="A157" s="2181"/>
      <c r="B157" s="1582"/>
      <c r="C157" s="1275" t="str">
        <f>F!C266</f>
        <v>&gt;95%.</v>
      </c>
      <c r="D157" s="1276">
        <f>F!D266</f>
        <v>0</v>
      </c>
      <c r="E157" s="54">
        <v>0</v>
      </c>
      <c r="F157" s="1140">
        <f t="shared" si="10"/>
        <v>0</v>
      </c>
      <c r="G157" s="959"/>
      <c r="H157" s="1521"/>
    </row>
    <row r="158" spans="1:8" ht="68.25" customHeight="1" thickBot="1" x14ac:dyDescent="0.3">
      <c r="A158" s="2182" t="str">
        <f>F!A267</f>
        <v>F53</v>
      </c>
      <c r="B158" s="1599" t="str">
        <f>F!B267</f>
        <v>Upland Perennial Cover - Width (Buffer)  (BuffWidth)</v>
      </c>
      <c r="C158" s="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58" s="1044"/>
      <c r="E158" s="192"/>
      <c r="F158" s="1139"/>
      <c r="G158" s="1428">
        <f>(MAX(F159:F164)/MAX(E159:E164))</f>
        <v>0</v>
      </c>
      <c r="H158" s="1522" t="s">
        <v>259</v>
      </c>
    </row>
    <row r="159" spans="1:8" ht="16.2" customHeight="1" x14ac:dyDescent="0.25">
      <c r="A159" s="2183"/>
      <c r="B159" s="1582"/>
      <c r="C159" s="236" t="str">
        <f>F!C268</f>
        <v xml:space="preserve">&lt; 5 ft, or none.  </v>
      </c>
      <c r="D159" s="1304">
        <f>F!D268</f>
        <v>0</v>
      </c>
      <c r="E159" s="45">
        <v>5</v>
      </c>
      <c r="F159" s="1122">
        <f t="shared" ref="F159:F164" si="11">D159*E159</f>
        <v>0</v>
      </c>
      <c r="G159" s="957"/>
      <c r="H159" s="1521"/>
    </row>
    <row r="160" spans="1:8" ht="16.2" customHeight="1" x14ac:dyDescent="0.25">
      <c r="A160" s="2183"/>
      <c r="B160" s="1582"/>
      <c r="C160" s="237" t="str">
        <f>F!C269</f>
        <v>5 to &lt;30 ft.</v>
      </c>
      <c r="D160" s="1081">
        <f>F!D269</f>
        <v>0</v>
      </c>
      <c r="E160" s="45">
        <v>4</v>
      </c>
      <c r="F160" s="1122">
        <f t="shared" si="11"/>
        <v>0</v>
      </c>
      <c r="G160" s="957"/>
      <c r="H160" s="1521"/>
    </row>
    <row r="161" spans="1:8" ht="16.2" customHeight="1" x14ac:dyDescent="0.25">
      <c r="A161" s="2183"/>
      <c r="B161" s="1582"/>
      <c r="C161" s="237" t="str">
        <f>F!C270</f>
        <v>30 to &lt;50 ft.</v>
      </c>
      <c r="D161" s="1081">
        <f>F!D270</f>
        <v>0</v>
      </c>
      <c r="E161" s="45">
        <v>3</v>
      </c>
      <c r="F161" s="1122">
        <f t="shared" si="11"/>
        <v>0</v>
      </c>
      <c r="G161" s="957"/>
      <c r="H161" s="1521"/>
    </row>
    <row r="162" spans="1:8" ht="16.2" customHeight="1" x14ac:dyDescent="0.25">
      <c r="A162" s="2183"/>
      <c r="B162" s="1582"/>
      <c r="C162" s="237" t="str">
        <f>F!C271</f>
        <v>50 to &lt;100 ft.</v>
      </c>
      <c r="D162" s="1081">
        <f>F!D271</f>
        <v>0</v>
      </c>
      <c r="E162" s="45">
        <v>2</v>
      </c>
      <c r="F162" s="1122">
        <f t="shared" si="11"/>
        <v>0</v>
      </c>
      <c r="G162" s="957"/>
      <c r="H162" s="1521"/>
    </row>
    <row r="163" spans="1:8" ht="16.2" customHeight="1" x14ac:dyDescent="0.25">
      <c r="A163" s="2183"/>
      <c r="B163" s="1582"/>
      <c r="C163" s="237" t="str">
        <f>F!C272</f>
        <v>100  to 300 ft.</v>
      </c>
      <c r="D163" s="1081">
        <f>F!D272</f>
        <v>0</v>
      </c>
      <c r="E163" s="45">
        <v>1</v>
      </c>
      <c r="F163" s="1122">
        <f t="shared" si="11"/>
        <v>0</v>
      </c>
      <c r="G163" s="957"/>
      <c r="H163" s="1521"/>
    </row>
    <row r="164" spans="1:8" ht="16.2" customHeight="1" thickBot="1" x14ac:dyDescent="0.3">
      <c r="A164" s="2184"/>
      <c r="B164" s="1600"/>
      <c r="C164" s="212" t="str">
        <f>F!C273</f>
        <v xml:space="preserve">&gt; 300 ft. </v>
      </c>
      <c r="D164" s="213">
        <f>F!D273</f>
        <v>0</v>
      </c>
      <c r="E164" s="193">
        <v>0</v>
      </c>
      <c r="F164" s="1124">
        <f t="shared" si="11"/>
        <v>0</v>
      </c>
      <c r="G164" s="958"/>
      <c r="H164" s="1523"/>
    </row>
    <row r="165" spans="1:8" ht="48.75" customHeight="1" thickBot="1" x14ac:dyDescent="0.3">
      <c r="A165" s="2181" t="str">
        <f>F!A288</f>
        <v>F56</v>
      </c>
      <c r="B165" s="1582" t="str">
        <f>F!B288</f>
        <v>Bare Ground &amp; Accumulated Plant Litter (Gcover)</v>
      </c>
      <c r="C165" s="4" t="str">
        <f>F!C288</f>
        <v>Consider the parts of the AA that go dry during a normal year. Viewed from 6 inches above the soil surface, the condition in most of that area just before the year's longest inundation period begins is:</v>
      </c>
      <c r="D165" s="1044"/>
      <c r="E165" s="46"/>
      <c r="F165" s="963"/>
      <c r="G165" s="1429">
        <f>IF((D170=1),"",MAX(F166:F169)/MAX(E166:E169))</f>
        <v>0</v>
      </c>
      <c r="H165" s="1521" t="s">
        <v>20</v>
      </c>
    </row>
    <row r="166" spans="1:8" ht="54" customHeight="1" x14ac:dyDescent="0.25">
      <c r="A166" s="2181"/>
      <c r="B166" s="1582"/>
      <c r="C166" s="236"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166" s="1304">
        <f>F!D289</f>
        <v>0</v>
      </c>
      <c r="E166" s="843">
        <v>1</v>
      </c>
      <c r="F166" s="1122">
        <f>D166*E166</f>
        <v>0</v>
      </c>
      <c r="G166" s="956"/>
      <c r="H166" s="1521"/>
    </row>
    <row r="167" spans="1:8" ht="27" customHeight="1" x14ac:dyDescent="0.25">
      <c r="A167" s="2181"/>
      <c r="B167" s="1582"/>
      <c r="C167" s="237" t="str">
        <f>F!C290</f>
        <v>Some (5-20%) bare ground or remaining thatch is visible.  Herbaceous plants have moderate stem densities and do not closely hug the ground.</v>
      </c>
      <c r="D167" s="1081">
        <f>F!D290</f>
        <v>0</v>
      </c>
      <c r="E167" s="843">
        <v>2</v>
      </c>
      <c r="F167" s="1122">
        <f>D167*E167</f>
        <v>0</v>
      </c>
      <c r="G167" s="957"/>
      <c r="H167" s="1521"/>
    </row>
    <row r="168" spans="1:8" ht="27" customHeight="1" x14ac:dyDescent="0.25">
      <c r="A168" s="2181"/>
      <c r="B168" s="1582"/>
      <c r="C168" s="237" t="str">
        <f>F!C291</f>
        <v>Much (20-50%) bare ground or thatch is visible.  Low stem density and/or tall plants with little living ground cover during early growing season.</v>
      </c>
      <c r="D168" s="1081">
        <f>F!D291</f>
        <v>0</v>
      </c>
      <c r="E168" s="843">
        <v>3</v>
      </c>
      <c r="F168" s="1122">
        <f>D168*E168</f>
        <v>0</v>
      </c>
      <c r="G168" s="957"/>
      <c r="H168" s="1521"/>
    </row>
    <row r="169" spans="1:8" ht="16.2" customHeight="1" x14ac:dyDescent="0.25">
      <c r="A169" s="2181"/>
      <c r="B169" s="1582"/>
      <c r="C169" s="237" t="str">
        <f>F!C292</f>
        <v>Mostly (&gt;50%) bare ground or thatch.</v>
      </c>
      <c r="D169" s="1081">
        <f>F!D292</f>
        <v>0</v>
      </c>
      <c r="E169" s="843">
        <v>4</v>
      </c>
      <c r="F169" s="1122">
        <f>D169*E169</f>
        <v>0</v>
      </c>
      <c r="G169" s="959"/>
      <c r="H169" s="1521"/>
    </row>
    <row r="170" spans="1:8" ht="16.2" customHeight="1" thickBot="1" x14ac:dyDescent="0.3">
      <c r="A170" s="2181"/>
      <c r="B170" s="1582"/>
      <c r="C170" s="1275" t="str">
        <f>F!C293</f>
        <v>Not applicable.  All of the AA is inundated throughout most years.</v>
      </c>
      <c r="D170" s="1276">
        <f>F!D293</f>
        <v>0</v>
      </c>
      <c r="E170" s="844"/>
      <c r="F170" s="1140"/>
      <c r="G170" s="959"/>
      <c r="H170" s="1521"/>
    </row>
    <row r="171" spans="1:8" ht="32.25" customHeight="1" thickBot="1" x14ac:dyDescent="0.3">
      <c r="A171" s="2182" t="str">
        <f>F!A298</f>
        <v>F58</v>
      </c>
      <c r="B171" s="1599" t="str">
        <f>F!B298</f>
        <v>Soil Composition (SoilTex)</v>
      </c>
      <c r="C171" s="4" t="str">
        <f>F!C298</f>
        <v>Based on digging into the substrate and examining the surface layer of the soil (2 inch depth) that was mapped as being predominant, its composition (excluding duff and living roots) is mostly:</v>
      </c>
      <c r="D171" s="1044"/>
      <c r="E171" s="192"/>
      <c r="F171" s="955"/>
      <c r="G171" s="1428">
        <f>MAX(F171:F175)/MAX(E171:E175)</f>
        <v>0</v>
      </c>
      <c r="H171" s="1522" t="s">
        <v>263</v>
      </c>
    </row>
    <row r="172" spans="1:8" ht="16.2" customHeight="1" x14ac:dyDescent="0.25">
      <c r="A172" s="2183"/>
      <c r="B172" s="1582"/>
      <c r="C172" s="236" t="str">
        <f>F!C299</f>
        <v>Loamy: includes silt, silt loam, loam, sandy loam.</v>
      </c>
      <c r="D172" s="1304">
        <f>F!D299</f>
        <v>0</v>
      </c>
      <c r="E172" s="45">
        <v>1</v>
      </c>
      <c r="F172" s="1122">
        <f>D172*E172</f>
        <v>0</v>
      </c>
      <c r="G172" s="956"/>
      <c r="H172" s="1521"/>
    </row>
    <row r="173" spans="1:8" ht="16.2" customHeight="1" x14ac:dyDescent="0.25">
      <c r="A173" s="2183"/>
      <c r="B173" s="1582"/>
      <c r="C173" s="237" t="str">
        <f>F!C300</f>
        <v>Clayey: includes clay, clay loam, silty clay, silty clay loam, sandy clay, sandy clay loam.</v>
      </c>
      <c r="D173" s="1081">
        <f>F!D300</f>
        <v>0</v>
      </c>
      <c r="E173" s="45">
        <v>3</v>
      </c>
      <c r="F173" s="1122">
        <f>D173*E173</f>
        <v>0</v>
      </c>
      <c r="G173" s="957"/>
      <c r="H173" s="1521"/>
    </row>
    <row r="174" spans="1:8" ht="27" customHeight="1" x14ac:dyDescent="0.25">
      <c r="A174" s="2183"/>
      <c r="B174" s="1582"/>
      <c r="C174" s="237" t="str">
        <f>F!C301</f>
        <v>Organic: includes muck, mucky peat, peat, and mucky mineral soils (blackish or grayish).  Exclude live roots unless they are moss.</v>
      </c>
      <c r="D174" s="1081">
        <f>F!D301</f>
        <v>0</v>
      </c>
      <c r="E174" s="45">
        <v>3</v>
      </c>
      <c r="F174" s="1122">
        <f>D174*E174</f>
        <v>0</v>
      </c>
      <c r="G174" s="957"/>
      <c r="H174" s="1521"/>
    </row>
    <row r="175" spans="1:8" ht="28.5" customHeight="1" thickBot="1" x14ac:dyDescent="0.3">
      <c r="A175" s="2184"/>
      <c r="B175" s="1600"/>
      <c r="C175" s="212" t="str">
        <f>F!C302</f>
        <v>Coarse: includes sand, loamy sand, gravel, cobble, stones, boulders, fluvents, fluvaquents, riverwash.</v>
      </c>
      <c r="D175" s="213">
        <f>F!D302</f>
        <v>0</v>
      </c>
      <c r="E175" s="193">
        <v>2</v>
      </c>
      <c r="F175" s="1124">
        <f>D175*E175</f>
        <v>0</v>
      </c>
      <c r="G175" s="958"/>
      <c r="H175" s="1523"/>
    </row>
    <row r="176" spans="1:8" ht="75" customHeight="1" thickBot="1" x14ac:dyDescent="0.3">
      <c r="A176" s="2199" t="str">
        <f>F!A304</f>
        <v>F60</v>
      </c>
      <c r="B176" s="1649" t="str">
        <f>F!B304</f>
        <v>Restored or Created Wetland (NewWet)</v>
      </c>
      <c r="C176" s="4" t="str">
        <f>F!C304</f>
        <v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v>
      </c>
      <c r="D176" s="1044"/>
      <c r="E176" s="46"/>
      <c r="F176" s="963"/>
      <c r="G176" s="1429">
        <f>IF((D182=1),"",MAX(F177:F181)/MAX(E177:E181))</f>
        <v>0</v>
      </c>
      <c r="H176" s="1576" t="s">
        <v>335</v>
      </c>
    </row>
    <row r="177" spans="1:8" ht="16.2" customHeight="1" x14ac:dyDescent="0.25">
      <c r="A177" s="2200"/>
      <c r="B177" s="1582"/>
      <c r="C177" s="1234" t="str">
        <f>F!C305</f>
        <v>Yes, and constructed or restored mostly within last 3 years.</v>
      </c>
      <c r="D177" s="1369">
        <f>F!D305</f>
        <v>0</v>
      </c>
      <c r="E177" s="45">
        <v>4</v>
      </c>
      <c r="F177" s="1122">
        <f>D177*E177</f>
        <v>0</v>
      </c>
      <c r="G177" s="956"/>
      <c r="H177" s="1548"/>
    </row>
    <row r="178" spans="1:8" ht="16.2" customHeight="1" x14ac:dyDescent="0.25">
      <c r="A178" s="2200"/>
      <c r="B178" s="1582"/>
      <c r="C178" s="1235" t="str">
        <f>F!C306</f>
        <v>Yes, and constructed or restored mostly 3-7 years ago.</v>
      </c>
      <c r="D178" s="1370">
        <f>F!D306</f>
        <v>0</v>
      </c>
      <c r="E178" s="45">
        <v>3</v>
      </c>
      <c r="F178" s="1122">
        <f>D178*E178</f>
        <v>0</v>
      </c>
      <c r="G178" s="957"/>
      <c r="H178" s="1548"/>
    </row>
    <row r="179" spans="1:8" ht="16.2" customHeight="1" x14ac:dyDescent="0.25">
      <c r="A179" s="2200"/>
      <c r="B179" s="1582"/>
      <c r="C179" s="1235" t="str">
        <f>F!C307</f>
        <v>Yes, and constructed or restored mostly &gt; 7 years ago.</v>
      </c>
      <c r="D179" s="1370">
        <f>F!D307</f>
        <v>0</v>
      </c>
      <c r="E179" s="45">
        <v>2</v>
      </c>
      <c r="F179" s="1122">
        <f>D179*E179</f>
        <v>0</v>
      </c>
      <c r="G179" s="957"/>
      <c r="H179" s="1548"/>
    </row>
    <row r="180" spans="1:8" ht="16.2" customHeight="1" x14ac:dyDescent="0.25">
      <c r="A180" s="2200"/>
      <c r="B180" s="1582"/>
      <c r="C180" s="1235" t="str">
        <f>F!C308</f>
        <v>Yes, but time of origin or restoration unknown.</v>
      </c>
      <c r="D180" s="1370">
        <f>F!D308</f>
        <v>0</v>
      </c>
      <c r="E180" s="45">
        <v>3</v>
      </c>
      <c r="F180" s="1122">
        <f>D180*E180</f>
        <v>0</v>
      </c>
      <c r="G180" s="957"/>
      <c r="H180" s="1548"/>
    </row>
    <row r="181" spans="1:8" ht="16.2" customHeight="1" x14ac:dyDescent="0.25">
      <c r="A181" s="2200"/>
      <c r="B181" s="1582"/>
      <c r="C181" s="1235" t="str">
        <f>F!C309</f>
        <v>No.</v>
      </c>
      <c r="D181" s="1370">
        <f>F!D309</f>
        <v>0</v>
      </c>
      <c r="E181" s="45">
        <v>1</v>
      </c>
      <c r="F181" s="1122">
        <f>D181*E181</f>
        <v>0</v>
      </c>
      <c r="G181" s="957"/>
      <c r="H181" s="1548"/>
    </row>
    <row r="182" spans="1:8" ht="16.2" customHeight="1" thickBot="1" x14ac:dyDescent="0.3">
      <c r="A182" s="2200"/>
      <c r="B182" s="1582"/>
      <c r="C182" s="1432" t="str">
        <f>F!C310</f>
        <v>Unknown if wetland is constructed, restored, or natural.</v>
      </c>
      <c r="D182" s="1433">
        <f>F!D310</f>
        <v>0</v>
      </c>
      <c r="E182" s="54"/>
      <c r="F182" s="1140"/>
      <c r="G182" s="959"/>
      <c r="H182" s="1818"/>
    </row>
    <row r="183" spans="1:8" ht="45" customHeight="1" thickBot="1" x14ac:dyDescent="0.3">
      <c r="A183" s="2190" t="str">
        <f>F!A351</f>
        <v>F72</v>
      </c>
      <c r="B183" s="1522" t="str">
        <f>F!B351</f>
        <v>Wetland Type of Conservation Concern (RareType)</v>
      </c>
      <c r="C183" s="4" t="str">
        <f>F!C351</f>
        <v xml:space="preserve">Does the AA contain, or is it part of, any of these wetland types?  Select All that apply.  </v>
      </c>
      <c r="D183" s="1044"/>
      <c r="E183" s="1044"/>
      <c r="F183" s="955"/>
      <c r="G183" s="1428">
        <f>MAX(D183:D193)</f>
        <v>0</v>
      </c>
      <c r="H183" s="1522" t="s">
        <v>1163</v>
      </c>
    </row>
    <row r="184" spans="1:8" ht="42" customHeight="1" x14ac:dyDescent="0.25">
      <c r="A184" s="2191"/>
      <c r="B184" s="1521"/>
      <c r="C184" s="236" t="str">
        <f>F!C352</f>
        <v>Mature forested wetland (anywhere): a wetland in which mean diameter of trees (d.b.h., FACW and FAC species only) exceeds 18 inches, and/or the average age of trees exceeds 80 years, or there are &gt;5 trees/acre with diameter &gt;32 inches.</v>
      </c>
      <c r="D184" s="1304">
        <f>F!D352</f>
        <v>0</v>
      </c>
      <c r="E184" s="843"/>
      <c r="F184" s="1140"/>
      <c r="G184" s="956"/>
      <c r="H184" s="1521"/>
    </row>
    <row r="185" spans="1:8" ht="42" customHeight="1" x14ac:dyDescent="0.25">
      <c r="A185" s="2191"/>
      <c r="B185" s="1521"/>
      <c r="C185" s="237" t="str">
        <f>F!C353</f>
        <v>Bog or Fen: contains a sponge-like organic soil layer which covers most of the AA and often has extensive cover of sedges and/or broad-leaved evergreen shrubs (e.g., Ledum).  Often lacks tributaries, being fed mainly by groundwater and/or direct precipitation.</v>
      </c>
      <c r="D185" s="1081">
        <f>F!D353</f>
        <v>0</v>
      </c>
      <c r="E185" s="843"/>
      <c r="F185" s="1140"/>
      <c r="G185" s="957"/>
      <c r="H185" s="1521"/>
    </row>
    <row r="186" spans="1:8" ht="66" customHeight="1" x14ac:dyDescent="0.25">
      <c r="A186" s="2191"/>
      <c r="B186" s="1521"/>
      <c r="C186" s="237" t="str">
        <f>F!C354</f>
        <v xml:space="preserve">Playa, Salt Flat, or Alkaline Lake: a nontidal ponded water body usually having saline (salinity &gt;1 ppt or conductivity &gt;1000 µS ) or alkaline (conductivity &gt;2000 µS and pH &gt;9) conditions and large seasonal water level fluctuations (if inputs-outputs unregulated).  If a playa or salt flat, vegetation cover is sparse and plants typical of saline or alkaline conditions (e.g., Distichlis, Atriplex) are common.  </v>
      </c>
      <c r="D186" s="1081">
        <f>F!D354</f>
        <v>0</v>
      </c>
      <c r="E186" s="843"/>
      <c r="F186" s="1140"/>
      <c r="G186" s="957"/>
      <c r="H186" s="1521"/>
    </row>
    <row r="187" spans="1:8" ht="27" customHeight="1" x14ac:dyDescent="0.25">
      <c r="A187" s="2191"/>
      <c r="B187" s="1521"/>
      <c r="C187" s="237" t="str">
        <f>F!C355</f>
        <v>Hot spring (anywhere in Oregon): a wetland where discharging groundwater in summer is &gt;10 degrees (F) warmer than the expected water temperature.</v>
      </c>
      <c r="D187" s="1081">
        <f>F!D355</f>
        <v>0</v>
      </c>
      <c r="E187" s="843"/>
      <c r="F187" s="1140"/>
      <c r="G187" s="957"/>
      <c r="H187" s="1521"/>
    </row>
    <row r="188" spans="1:8" ht="41.25" customHeight="1" x14ac:dyDescent="0.25">
      <c r="A188" s="2191"/>
      <c r="B188" s="1521"/>
      <c r="C188" s="237" t="str">
        <f>F!C356</f>
        <v>Native wet prairie (west of the Cascade crest): a seasonally inundated wetland, usually without a naturally-occurring  inlet or outlet, and dominated primarily by native graminoids often including species in column E.</v>
      </c>
      <c r="D188" s="1081">
        <f>F!D356</f>
        <v>0</v>
      </c>
      <c r="E188" s="843"/>
      <c r="F188" s="1140"/>
      <c r="G188" s="957"/>
      <c r="H188" s="1521"/>
    </row>
    <row r="189" spans="1:8" ht="54" customHeight="1" x14ac:dyDescent="0.25">
      <c r="A189" s="2191"/>
      <c r="B189" s="1521"/>
      <c r="C189" s="237" t="str">
        <f>F!C357</f>
        <v>Vernal pool (Willamette Valley): a seasonally inundated wetland, underlain by hardpan or claypan, with hummocky micro-relief, usually without a naturally-occurring inlet or outlet, and with native plant species distinctly different from those in slightly higher areas, and often including species in column E.</v>
      </c>
      <c r="D189" s="1081">
        <f>F!D357</f>
        <v>0</v>
      </c>
      <c r="E189" s="843"/>
      <c r="F189" s="1140"/>
      <c r="G189" s="957"/>
      <c r="H189" s="1521"/>
    </row>
    <row r="190" spans="1:8" ht="42" customHeight="1" x14ac:dyDescent="0.25">
      <c r="A190" s="2191"/>
      <c r="B190" s="1521"/>
      <c r="C190" s="237" t="str">
        <f>F!C358</f>
        <v>Vernal pool (Medford area): a seasonally inundated acidic wetland, underlain by hardpan, with hummocky micro-relief, usually without a naturally-occurring inlet or outlet, and having concentric rings of similar native vegetation, often including species in column E.</v>
      </c>
      <c r="D190" s="1081">
        <f>F!D358</f>
        <v>0</v>
      </c>
      <c r="E190" s="843"/>
      <c r="F190" s="1140"/>
      <c r="G190" s="957"/>
      <c r="H190" s="1521"/>
    </row>
    <row r="191" spans="1:8" ht="41.25" customHeight="1" x14ac:dyDescent="0.25">
      <c r="A191" s="2191"/>
      <c r="B191" s="1521"/>
      <c r="C191" s="237" t="str">
        <f>F!C359</f>
        <v>Vernal pool (Modoc basalt &amp; Columbia Plateau): a seasonally inundated wetland, usually without a naturally-occurring inlet or outlet, located on shallow basalt bedrock and often having species in column E.</v>
      </c>
      <c r="D191" s="1081">
        <f>F!D359</f>
        <v>0</v>
      </c>
      <c r="E191" s="843"/>
      <c r="F191" s="1140"/>
      <c r="G191" s="957"/>
      <c r="H191" s="1521"/>
    </row>
    <row r="192" spans="1:8" ht="56.25" customHeight="1" x14ac:dyDescent="0.25">
      <c r="A192" s="2191"/>
      <c r="B192" s="1521"/>
      <c r="C192" s="237" t="str">
        <f>F!C360</f>
        <v>Interdunal wetland (Coastal ecoregion): a seasonally inundated wetland, usually without a naturally-occurring inlet or outlet, located between sand dunes where wind has scoured the sand down to the water table (deflation plain, blowout pond), and often with significant cover of the native species in column E.</v>
      </c>
      <c r="D192" s="1081">
        <f>F!D360</f>
        <v>0</v>
      </c>
      <c r="E192" s="843"/>
      <c r="F192" s="1140"/>
      <c r="G192" s="957"/>
      <c r="H192" s="1521"/>
    </row>
    <row r="193" spans="1:8" ht="42" customHeight="1" x14ac:dyDescent="0.25">
      <c r="A193" s="2191"/>
      <c r="B193" s="1521"/>
      <c r="C193" s="237" t="str">
        <f>F!C361</f>
        <v>Ultramafic soil wetland (mainly southwestern Oregon): a low-elevation wetland, usually with a sponge-like organic soil layer, occurring in an area with exposed serpentine or peridotite rock, and/or in soils with very low Ca:Mg ratios.</v>
      </c>
      <c r="D193" s="1081">
        <f>F!D361</f>
        <v>0</v>
      </c>
      <c r="E193" s="843"/>
      <c r="F193" s="1140"/>
      <c r="G193" s="957"/>
      <c r="H193" s="1521"/>
    </row>
    <row r="194" spans="1:8" ht="16.2" customHeight="1" thickBot="1" x14ac:dyDescent="0.3">
      <c r="A194" s="2192"/>
      <c r="B194" s="1523"/>
      <c r="C194" s="212" t="str">
        <f>F!C362</f>
        <v>None of above.</v>
      </c>
      <c r="D194" s="213">
        <f>F!D362</f>
        <v>0</v>
      </c>
      <c r="E194" s="845"/>
      <c r="F194" s="1124"/>
      <c r="G194" s="958"/>
      <c r="H194" s="1523"/>
    </row>
    <row r="195" spans="1:8" ht="21" customHeight="1" thickBot="1" x14ac:dyDescent="0.3">
      <c r="A195" s="2177" t="s">
        <v>822</v>
      </c>
      <c r="B195" s="1582" t="s">
        <v>620</v>
      </c>
      <c r="C195" s="529" t="s">
        <v>40</v>
      </c>
      <c r="D195" s="65"/>
      <c r="E195" s="46"/>
      <c r="F195" s="963"/>
      <c r="G195" s="1423">
        <f>(AVERAGE(D195:D202) + MAX(D195:D202))/2</f>
        <v>0</v>
      </c>
      <c r="H195" s="1521" t="s">
        <v>1997</v>
      </c>
    </row>
    <row r="196" spans="1:8" ht="16.2" customHeight="1" x14ac:dyDescent="0.25">
      <c r="A196" s="2177"/>
      <c r="B196" s="1582"/>
      <c r="C196" s="236" t="str">
        <f>OF!B103</f>
        <v>Non-anadromous Fish Species of Conservation Concern (RareFR)</v>
      </c>
      <c r="D196" s="44">
        <f>OF!D104</f>
        <v>0</v>
      </c>
      <c r="E196" s="49"/>
      <c r="F196" s="1122"/>
      <c r="G196" s="956"/>
      <c r="H196" s="1521"/>
    </row>
    <row r="197" spans="1:8" ht="16.2" customHeight="1" x14ac:dyDescent="0.25">
      <c r="A197" s="2177"/>
      <c r="B197" s="1582"/>
      <c r="C197" s="237" t="str">
        <f>OF!B108</f>
        <v>Amphibian or Reptile of Conservation Concern (AmphRare)</v>
      </c>
      <c r="D197" s="44">
        <f>OF!D109</f>
        <v>0</v>
      </c>
      <c r="E197" s="49"/>
      <c r="F197" s="1122"/>
      <c r="G197" s="957"/>
      <c r="H197" s="1521"/>
    </row>
    <row r="198" spans="1:8" ht="16.2" customHeight="1" x14ac:dyDescent="0.25">
      <c r="A198" s="2177"/>
      <c r="B198" s="1582"/>
      <c r="C198" s="237" t="str">
        <f>OF!B113</f>
        <v>Feeding (Non-breeding) Waterbird Species of Conservation Concern (RareWBF)</v>
      </c>
      <c r="D198" s="44">
        <f>OF!D114</f>
        <v>0</v>
      </c>
      <c r="E198" s="49"/>
      <c r="F198" s="1122"/>
      <c r="G198" s="957"/>
      <c r="H198" s="1521"/>
    </row>
    <row r="199" spans="1:8" ht="16.2" customHeight="1" x14ac:dyDescent="0.25">
      <c r="A199" s="2177"/>
      <c r="B199" s="1582"/>
      <c r="C199" s="237" t="str">
        <f>OF!B117</f>
        <v>Nesting Waterbird Species of Conservation Concern (RareWBN)</v>
      </c>
      <c r="D199" s="44">
        <f>OF!D118</f>
        <v>0</v>
      </c>
      <c r="E199" s="49"/>
      <c r="F199" s="1122"/>
      <c r="G199" s="957"/>
      <c r="H199" s="1521"/>
    </row>
    <row r="200" spans="1:8" ht="16.2" customHeight="1" x14ac:dyDescent="0.25">
      <c r="A200" s="2177"/>
      <c r="B200" s="1582"/>
      <c r="C200" s="237" t="str">
        <f>OF!B122</f>
        <v>Songbird, Raptor, Mammal Species of Conservation Concern (RareSBM)</v>
      </c>
      <c r="D200" s="44">
        <f>OF!D123</f>
        <v>0</v>
      </c>
      <c r="E200" s="49"/>
      <c r="F200" s="1122"/>
      <c r="G200" s="957"/>
      <c r="H200" s="1521"/>
    </row>
    <row r="201" spans="1:8" ht="16.2" customHeight="1" x14ac:dyDescent="0.25">
      <c r="A201" s="2177"/>
      <c r="B201" s="1582"/>
      <c r="C201" s="237" t="str">
        <f>OF!B127</f>
        <v>Invertebrate Species of Conservation Concern (RareInvert)</v>
      </c>
      <c r="D201" s="44">
        <f>OF!D128</f>
        <v>0</v>
      </c>
      <c r="E201" s="49"/>
      <c r="F201" s="1122"/>
      <c r="G201" s="957"/>
      <c r="H201" s="1521"/>
    </row>
    <row r="202" spans="1:8" ht="16.2" customHeight="1" thickBot="1" x14ac:dyDescent="0.3">
      <c r="A202" s="2177"/>
      <c r="B202" s="1582"/>
      <c r="C202" s="1275" t="str">
        <f>OF!B131</f>
        <v>Plant Species of Conservation Concern (RarePspp)</v>
      </c>
      <c r="D202" s="17">
        <f>OF!D132</f>
        <v>0</v>
      </c>
      <c r="E202" s="67"/>
      <c r="F202" s="1140"/>
      <c r="G202" s="959"/>
      <c r="H202" s="1521"/>
    </row>
    <row r="203" spans="1:8" s="372" customFormat="1" ht="36" customHeight="1" thickBot="1" x14ac:dyDescent="0.3">
      <c r="A203" s="1434" t="s">
        <v>126</v>
      </c>
      <c r="B203" s="1435" t="s">
        <v>1492</v>
      </c>
      <c r="C203" s="1436" t="s">
        <v>1271</v>
      </c>
      <c r="D203" s="1435" t="s">
        <v>115</v>
      </c>
      <c r="E203" s="1437" t="s">
        <v>771</v>
      </c>
      <c r="F203" s="1435" t="s">
        <v>1467</v>
      </c>
      <c r="G203" s="1438" t="s">
        <v>770</v>
      </c>
      <c r="H203" s="1435" t="s">
        <v>772</v>
      </c>
    </row>
    <row r="204" spans="1:8" ht="30" customHeight="1" thickBot="1" x14ac:dyDescent="0.3">
      <c r="A204" s="2185" t="str">
        <f>T!A30</f>
        <v>T5</v>
      </c>
      <c r="B204" s="1599" t="str">
        <f>T!B30</f>
        <v>Width of Vegetated Zone at Daily Low Tide (WidthLoT)</v>
      </c>
      <c r="C204" s="4" t="str">
        <f>T!C30</f>
        <v>At average daily LOW tide condition, the width of the vegetated wetland that separates adjoining uplands (if any) from subtidal water within or adjoining the AA, is predominantly:</v>
      </c>
      <c r="D204" s="1053"/>
      <c r="E204" s="1054"/>
      <c r="F204" s="1054"/>
      <c r="G204" s="1439">
        <f>MAX(F204:F210)/MAX(E204:E210)</f>
        <v>0</v>
      </c>
      <c r="H204" s="1522" t="s">
        <v>736</v>
      </c>
    </row>
    <row r="205" spans="1:8" ht="16.2" customHeight="1" x14ac:dyDescent="0.25">
      <c r="A205" s="2186"/>
      <c r="B205" s="1582"/>
      <c r="C205" s="236" t="str">
        <f>T!C31</f>
        <v>&lt;5 ft, or no vegetation between upland and subtidal water.</v>
      </c>
      <c r="D205" s="44">
        <f>T!D31</f>
        <v>0</v>
      </c>
      <c r="E205" s="1064">
        <v>6</v>
      </c>
      <c r="F205" s="1122">
        <f t="shared" ref="F205:F210" si="12">D205*E205</f>
        <v>0</v>
      </c>
      <c r="G205" s="1042"/>
      <c r="H205" s="1521"/>
    </row>
    <row r="206" spans="1:8" ht="16.2" customHeight="1" x14ac:dyDescent="0.25">
      <c r="A206" s="2186"/>
      <c r="B206" s="1582"/>
      <c r="C206" s="237" t="str">
        <f>T!C32</f>
        <v>5 to &lt;30 ft.</v>
      </c>
      <c r="D206" s="44">
        <f>T!D32</f>
        <v>0</v>
      </c>
      <c r="E206" s="1064">
        <v>4</v>
      </c>
      <c r="F206" s="1122">
        <f t="shared" si="12"/>
        <v>0</v>
      </c>
      <c r="G206" s="1042"/>
      <c r="H206" s="1521"/>
    </row>
    <row r="207" spans="1:8" ht="16.2" customHeight="1" x14ac:dyDescent="0.25">
      <c r="A207" s="2186"/>
      <c r="B207" s="1582"/>
      <c r="C207" s="237" t="str">
        <f>T!C33</f>
        <v>30 to &lt;50 ft.</v>
      </c>
      <c r="D207" s="44">
        <f>T!D33</f>
        <v>0</v>
      </c>
      <c r="E207" s="1064">
        <v>3</v>
      </c>
      <c r="F207" s="1122">
        <f t="shared" si="12"/>
        <v>0</v>
      </c>
      <c r="G207" s="1042"/>
      <c r="H207" s="1521"/>
    </row>
    <row r="208" spans="1:8" ht="16.2" customHeight="1" x14ac:dyDescent="0.25">
      <c r="A208" s="2186"/>
      <c r="B208" s="1582"/>
      <c r="C208" s="237" t="str">
        <f>T!C34</f>
        <v>50 to &lt;100 ft.</v>
      </c>
      <c r="D208" s="44">
        <f>T!D34</f>
        <v>0</v>
      </c>
      <c r="E208" s="1064">
        <v>2</v>
      </c>
      <c r="F208" s="1122">
        <f t="shared" si="12"/>
        <v>0</v>
      </c>
      <c r="G208" s="1042"/>
      <c r="H208" s="1521"/>
    </row>
    <row r="209" spans="1:8" ht="16.2" customHeight="1" x14ac:dyDescent="0.25">
      <c r="A209" s="2186"/>
      <c r="B209" s="1582"/>
      <c r="C209" s="237" t="str">
        <f>T!C35</f>
        <v>100 to 300 ft.</v>
      </c>
      <c r="D209" s="44">
        <f>T!D35</f>
        <v>0</v>
      </c>
      <c r="E209" s="1064">
        <v>1</v>
      </c>
      <c r="F209" s="1122">
        <f t="shared" si="12"/>
        <v>0</v>
      </c>
      <c r="G209" s="1042"/>
      <c r="H209" s="1521"/>
    </row>
    <row r="210" spans="1:8" ht="16.2" customHeight="1" thickBot="1" x14ac:dyDescent="0.3">
      <c r="A210" s="2187"/>
      <c r="B210" s="1600"/>
      <c r="C210" s="212" t="str">
        <f>T!C36</f>
        <v>&gt; 300 ft.</v>
      </c>
      <c r="D210" s="198">
        <f>T!D36</f>
        <v>0</v>
      </c>
      <c r="E210" s="1070">
        <v>0</v>
      </c>
      <c r="F210" s="1124">
        <f t="shared" si="12"/>
        <v>0</v>
      </c>
      <c r="G210" s="1043"/>
      <c r="H210" s="1523"/>
    </row>
    <row r="211" spans="1:8" ht="30" customHeight="1" thickBot="1" x14ac:dyDescent="0.3">
      <c r="A211" s="2188" t="str">
        <f>T!A96</f>
        <v>T17</v>
      </c>
      <c r="B211" s="1582" t="str">
        <f>T!B96</f>
        <v>Vegetation Forms Significantly Present (VegformsT)</v>
      </c>
      <c r="C211" s="4" t="str">
        <f>T!C96</f>
        <v>The living vegetation forms that comprise &gt;5% of the AA's vegetative cover in late summer is: Select all that appy.</v>
      </c>
      <c r="D211" s="1047"/>
      <c r="E211" s="1056"/>
      <c r="F211" s="1056"/>
      <c r="G211" s="1440">
        <f>MAX(F212:F216)/MAX(E212:E216)</f>
        <v>0</v>
      </c>
      <c r="H211" s="1521" t="s">
        <v>737</v>
      </c>
    </row>
    <row r="212" spans="1:8" ht="16.2" customHeight="1" x14ac:dyDescent="0.25">
      <c r="A212" s="2188"/>
      <c r="B212" s="1582"/>
      <c r="C212" s="236" t="str">
        <f>T!C97</f>
        <v>Macroalgae (seaweed).</v>
      </c>
      <c r="D212" s="44">
        <f>T!D97</f>
        <v>0</v>
      </c>
      <c r="E212" s="1064">
        <v>0</v>
      </c>
      <c r="F212" s="1122">
        <f>D212*E212</f>
        <v>0</v>
      </c>
      <c r="G212" s="1042"/>
      <c r="H212" s="1521"/>
    </row>
    <row r="213" spans="1:8" ht="16.2" customHeight="1" x14ac:dyDescent="0.25">
      <c r="A213" s="2188"/>
      <c r="B213" s="1582"/>
      <c r="C213" s="237" t="str">
        <f>T!C98</f>
        <v>Eelgrass.</v>
      </c>
      <c r="D213" s="44">
        <f>T!D98</f>
        <v>0</v>
      </c>
      <c r="E213" s="1064">
        <v>2</v>
      </c>
      <c r="F213" s="1122">
        <f>D213*E213</f>
        <v>0</v>
      </c>
      <c r="G213" s="1042"/>
      <c r="H213" s="1521"/>
    </row>
    <row r="214" spans="1:8" ht="16.2" customHeight="1" x14ac:dyDescent="0.25">
      <c r="A214" s="2188"/>
      <c r="B214" s="1582"/>
      <c r="C214" s="237" t="str">
        <f>T!C99</f>
        <v>Graminoids (other than eelgrass).</v>
      </c>
      <c r="D214" s="44">
        <f>T!D99</f>
        <v>0</v>
      </c>
      <c r="E214" s="1064">
        <v>1</v>
      </c>
      <c r="F214" s="1122">
        <f>D214*E214</f>
        <v>0</v>
      </c>
      <c r="G214" s="1042"/>
      <c r="H214" s="1521"/>
    </row>
    <row r="215" spans="1:8" ht="16.2" customHeight="1" x14ac:dyDescent="0.25">
      <c r="A215" s="2188"/>
      <c r="B215" s="1582"/>
      <c r="C215" s="237" t="str">
        <f>T!C100</f>
        <v>Forbs.</v>
      </c>
      <c r="D215" s="44">
        <f>T!D100</f>
        <v>0</v>
      </c>
      <c r="E215" s="1064">
        <v>1</v>
      </c>
      <c r="F215" s="1122">
        <f>D215*E215</f>
        <v>0</v>
      </c>
      <c r="G215" s="1042"/>
      <c r="H215" s="1521"/>
    </row>
    <row r="216" spans="1:8" ht="16.2" customHeight="1" thickBot="1" x14ac:dyDescent="0.3">
      <c r="A216" s="2188"/>
      <c r="B216" s="1582"/>
      <c r="C216" s="1275" t="str">
        <f>T!C101</f>
        <v>Shrubs and/or trees.</v>
      </c>
      <c r="D216" s="17">
        <f>T!D101</f>
        <v>0</v>
      </c>
      <c r="E216" s="1066">
        <v>3</v>
      </c>
      <c r="F216" s="1140">
        <f>D216*E216</f>
        <v>0</v>
      </c>
      <c r="G216" s="1441"/>
      <c r="H216" s="1521"/>
    </row>
    <row r="217" spans="1:8" ht="30" customHeight="1" thickBot="1" x14ac:dyDescent="0.3">
      <c r="A217" s="2185" t="str">
        <f>T!A112</f>
        <v>T20</v>
      </c>
      <c r="B217" s="1599" t="str">
        <f>T!B112</f>
        <v>Species Dominance (VegSpDomT)</v>
      </c>
      <c r="C217" s="4" t="str">
        <f>T!C112</f>
        <v>Within the form identified as the predominant macrophyte, the 2 most common native species together comprise:</v>
      </c>
      <c r="D217" s="1053"/>
      <c r="E217" s="1054"/>
      <c r="F217" s="1054"/>
      <c r="G217" s="1439">
        <f>MAX(F218:F222)/MAX(E218:E222)</f>
        <v>0</v>
      </c>
      <c r="H217" s="1522" t="s">
        <v>766</v>
      </c>
    </row>
    <row r="218" spans="1:8" ht="16.2" customHeight="1" x14ac:dyDescent="0.25">
      <c r="A218" s="2186"/>
      <c r="B218" s="1582"/>
      <c r="C218" s="236" t="str">
        <f>T!C113</f>
        <v>&lt;20% of the AA's vegetated area (most species-rich, no dominants or co-dominants).</v>
      </c>
      <c r="D218" s="44">
        <f>T!D113</f>
        <v>0</v>
      </c>
      <c r="E218" s="1064">
        <v>5</v>
      </c>
      <c r="F218" s="1122">
        <f>D218*E218</f>
        <v>0</v>
      </c>
      <c r="G218" s="1042"/>
      <c r="H218" s="1521"/>
    </row>
    <row r="219" spans="1:8" ht="16.2" customHeight="1" x14ac:dyDescent="0.25">
      <c r="A219" s="2186"/>
      <c r="B219" s="1582"/>
      <c r="C219" s="237" t="str">
        <f>T!C114</f>
        <v>20 to &lt;40% of the AA's vegetated area.</v>
      </c>
      <c r="D219" s="44">
        <f>T!D114</f>
        <v>0</v>
      </c>
      <c r="E219" s="1064">
        <v>4</v>
      </c>
      <c r="F219" s="1122">
        <f>D219*E219</f>
        <v>0</v>
      </c>
      <c r="G219" s="1042"/>
      <c r="H219" s="1521"/>
    </row>
    <row r="220" spans="1:8" ht="16.2" customHeight="1" x14ac:dyDescent="0.25">
      <c r="A220" s="2186"/>
      <c r="B220" s="1582"/>
      <c r="C220" s="237" t="str">
        <f>T!C115</f>
        <v>40 to &lt;60% of the AA's vegetated area.</v>
      </c>
      <c r="D220" s="44">
        <f>T!D115</f>
        <v>0</v>
      </c>
      <c r="E220" s="1064">
        <v>3</v>
      </c>
      <c r="F220" s="1122">
        <f>D220*E220</f>
        <v>0</v>
      </c>
      <c r="G220" s="1042"/>
      <c r="H220" s="1521"/>
    </row>
    <row r="221" spans="1:8" ht="16.2" customHeight="1" x14ac:dyDescent="0.25">
      <c r="A221" s="2186"/>
      <c r="B221" s="1582"/>
      <c r="C221" s="237" t="str">
        <f>T!C116</f>
        <v>60 to 80% of the AA's vegetated area.</v>
      </c>
      <c r="D221" s="44">
        <f>T!D116</f>
        <v>0</v>
      </c>
      <c r="E221" s="1064">
        <v>2</v>
      </c>
      <c r="F221" s="1122">
        <f>D221*E221</f>
        <v>0</v>
      </c>
      <c r="G221" s="1042"/>
      <c r="H221" s="1521"/>
    </row>
    <row r="222" spans="1:8" ht="16.2" customHeight="1" thickBot="1" x14ac:dyDescent="0.3">
      <c r="A222" s="2187"/>
      <c r="B222" s="1600"/>
      <c r="C222" s="212" t="str">
        <f>T!C117</f>
        <v>&gt;80% of the AA's vegetated area (monotypic or nearly so).</v>
      </c>
      <c r="D222" s="198">
        <f>T!D117</f>
        <v>0</v>
      </c>
      <c r="E222" s="1070">
        <v>1</v>
      </c>
      <c r="F222" s="1124">
        <f>D222*E222</f>
        <v>0</v>
      </c>
      <c r="G222" s="1043"/>
      <c r="H222" s="1523"/>
    </row>
    <row r="223" spans="1:8" ht="21" customHeight="1" thickBot="1" x14ac:dyDescent="0.3">
      <c r="A223" s="2188" t="str">
        <f>T!A135</f>
        <v>T24</v>
      </c>
      <c r="B223" s="1582" t="str">
        <f>T!B135</f>
        <v>Invasive or Non-native - % of Herbaceous Area (InvasT)</v>
      </c>
      <c r="C223" s="4" t="str">
        <f>T!C135</f>
        <v>The maximum annual areal cover of herbaceous plants is:</v>
      </c>
      <c r="D223" s="1047"/>
      <c r="E223" s="1056"/>
      <c r="F223" s="1056"/>
      <c r="G223" s="1440">
        <f>MAX(F224:F227)/MAX(E224:E227)</f>
        <v>0</v>
      </c>
      <c r="H223" s="1521" t="s">
        <v>264</v>
      </c>
    </row>
    <row r="224" spans="1:8" ht="16.2" customHeight="1" x14ac:dyDescent="0.25">
      <c r="A224" s="2188"/>
      <c r="B224" s="1582"/>
      <c r="C224" s="236" t="str">
        <f>T!C136</f>
        <v xml:space="preserve">Mostly (&gt;50% cover) non-native species AND &gt;10% of the herbaceous cover is invasive species.   </v>
      </c>
      <c r="D224" s="44">
        <f>T!D136</f>
        <v>0</v>
      </c>
      <c r="E224" s="1064">
        <v>1</v>
      </c>
      <c r="F224" s="1122">
        <f>D224*E224</f>
        <v>0</v>
      </c>
      <c r="G224" s="1042"/>
      <c r="H224" s="1521"/>
    </row>
    <row r="225" spans="1:8" ht="16.2" customHeight="1" x14ac:dyDescent="0.25">
      <c r="A225" s="2188"/>
      <c r="B225" s="1582"/>
      <c r="C225" s="237" t="str">
        <f>T!C137</f>
        <v>Mostly (&gt;50% cover) non-native species AND &lt;10% of the herbaceous cover is invasive species.</v>
      </c>
      <c r="D225" s="44">
        <f>T!D137</f>
        <v>0</v>
      </c>
      <c r="E225" s="1064">
        <v>2</v>
      </c>
      <c r="F225" s="1122">
        <f>D225*E225</f>
        <v>0</v>
      </c>
      <c r="G225" s="1042"/>
      <c r="H225" s="1521"/>
    </row>
    <row r="226" spans="1:8" ht="16.2" customHeight="1" x14ac:dyDescent="0.25">
      <c r="A226" s="2188"/>
      <c r="B226" s="1582"/>
      <c r="C226" s="237" t="str">
        <f>T!C138</f>
        <v>Mostly (50-80% cover) native species.</v>
      </c>
      <c r="D226" s="44">
        <f>T!D138</f>
        <v>0</v>
      </c>
      <c r="E226" s="1064">
        <v>3</v>
      </c>
      <c r="F226" s="1122">
        <f>D226*E226</f>
        <v>0</v>
      </c>
      <c r="G226" s="1042"/>
      <c r="H226" s="1521"/>
    </row>
    <row r="227" spans="1:8" ht="16.2" customHeight="1" thickBot="1" x14ac:dyDescent="0.3">
      <c r="A227" s="2188"/>
      <c r="B227" s="1582"/>
      <c r="C227" s="1275" t="str">
        <f>T!C139</f>
        <v>Overwhelmingly (&gt;80% cover) native species.</v>
      </c>
      <c r="D227" s="17">
        <f>T!D139</f>
        <v>0</v>
      </c>
      <c r="E227" s="1066">
        <v>4</v>
      </c>
      <c r="F227" s="1140">
        <f>D227*E227</f>
        <v>0</v>
      </c>
      <c r="G227" s="1441"/>
      <c r="H227" s="1521"/>
    </row>
    <row r="228" spans="1:8" ht="21" customHeight="1" thickBot="1" x14ac:dyDescent="0.3">
      <c r="A228" s="2185" t="str">
        <f>T!A180</f>
        <v>T32</v>
      </c>
      <c r="B228" s="1599" t="str">
        <f>T!B180</f>
        <v>Bare Ground &amp; Accumulated Plant Litter (GcoverT)</v>
      </c>
      <c r="C228" s="4" t="str">
        <f>T!C180</f>
        <v>Viewed from 6 inches above the soil surface, the condition in most of the tidal wetland is:</v>
      </c>
      <c r="D228" s="1053"/>
      <c r="E228" s="1054"/>
      <c r="F228" s="1054"/>
      <c r="G228" s="1439">
        <f>IF((D233=1),"",MAX(F229:F232)/MAX(E229:E232))</f>
        <v>0</v>
      </c>
      <c r="H228" s="1522" t="s">
        <v>20</v>
      </c>
    </row>
    <row r="229" spans="1:8" ht="54.75" customHeight="1" x14ac:dyDescent="0.25">
      <c r="A229" s="2186"/>
      <c r="B229" s="1582"/>
      <c r="C229" s="236"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229" s="44">
        <f>T!D181</f>
        <v>0</v>
      </c>
      <c r="E229" s="1064">
        <v>1</v>
      </c>
      <c r="F229" s="1122">
        <f>D229*E229</f>
        <v>0</v>
      </c>
      <c r="G229" s="1042"/>
      <c r="H229" s="1521"/>
    </row>
    <row r="230" spans="1:8" ht="27" customHeight="1" x14ac:dyDescent="0.25">
      <c r="A230" s="2186"/>
      <c r="B230" s="1582"/>
      <c r="C230" s="237" t="str">
        <f>T!C182</f>
        <v>Some (5-20%) bare ground or remaining thatch is visible.  Herbaceous plants have moderate stem densities and do not closely hug the ground.</v>
      </c>
      <c r="D230" s="44">
        <f>T!D182</f>
        <v>0</v>
      </c>
      <c r="E230" s="1064">
        <v>2</v>
      </c>
      <c r="F230" s="1122">
        <f>D230*E230</f>
        <v>0</v>
      </c>
      <c r="G230" s="1042"/>
      <c r="H230" s="1521"/>
    </row>
    <row r="231" spans="1:8" ht="27" customHeight="1" x14ac:dyDescent="0.25">
      <c r="A231" s="2186"/>
      <c r="B231" s="1582"/>
      <c r="C231" s="237" t="str">
        <f>T!C183</f>
        <v>Much (20-50%) bare ground or thatch is visible.  Low stem density and/or tall plants with little living ground cover during early growing season.</v>
      </c>
      <c r="D231" s="44">
        <f>T!D183</f>
        <v>0</v>
      </c>
      <c r="E231" s="1064">
        <v>3</v>
      </c>
      <c r="F231" s="1122">
        <f>D231*E231</f>
        <v>0</v>
      </c>
      <c r="G231" s="1042"/>
      <c r="H231" s="1521"/>
    </row>
    <row r="232" spans="1:8" ht="16.2" customHeight="1" x14ac:dyDescent="0.25">
      <c r="A232" s="2186"/>
      <c r="B232" s="1582"/>
      <c r="C232" s="237" t="str">
        <f>T!C184</f>
        <v>Mostly (&gt;50%) bare ground or thatch.</v>
      </c>
      <c r="D232" s="44">
        <f>T!D184</f>
        <v>0</v>
      </c>
      <c r="E232" s="1064">
        <v>4</v>
      </c>
      <c r="F232" s="1122">
        <f>D232*E232</f>
        <v>0</v>
      </c>
      <c r="G232" s="1042"/>
      <c r="H232" s="1521"/>
    </row>
    <row r="233" spans="1:8" ht="16.2" customHeight="1" thickBot="1" x14ac:dyDescent="0.3">
      <c r="A233" s="2187"/>
      <c r="B233" s="1600"/>
      <c r="C233" s="212" t="str">
        <f>T!C185</f>
        <v>Not applicable.  Nearly all of the AA remains inundated even at daily low tide.</v>
      </c>
      <c r="D233" s="198">
        <f>T!D185</f>
        <v>0</v>
      </c>
      <c r="E233" s="1070"/>
      <c r="F233" s="1124"/>
      <c r="G233" s="1043"/>
      <c r="H233" s="1523"/>
    </row>
    <row r="234" spans="1:8" ht="30" customHeight="1" thickBot="1" x14ac:dyDescent="0.3">
      <c r="A234" s="2201" t="str">
        <f>T!A190</f>
        <v>T34</v>
      </c>
      <c r="B234" s="1599" t="str">
        <f>T!B190</f>
        <v>Soil Composition (SoilTexT)</v>
      </c>
      <c r="C234" s="4" t="str">
        <f>T!C190</f>
        <v>Based on at least three pits you dig at points about equidistant across the AA, the composition of  the surface layer of the soil (2" depth) (but excluding the duff layer) is mostly:</v>
      </c>
      <c r="D234" s="1053"/>
      <c r="E234" s="1054"/>
      <c r="F234" s="1054"/>
      <c r="G234" s="1439">
        <f>MAX(F234:F238)/MAX(E234:E238)</f>
        <v>0</v>
      </c>
      <c r="H234" s="1522" t="s">
        <v>738</v>
      </c>
    </row>
    <row r="235" spans="1:8" ht="16.2" customHeight="1" x14ac:dyDescent="0.25">
      <c r="A235" s="2202"/>
      <c r="B235" s="1582"/>
      <c r="C235" s="236" t="str">
        <f>T!C191</f>
        <v>Loamy: includes silt, silt loam, loam, sandy loam.</v>
      </c>
      <c r="D235" s="44">
        <f>T!D191</f>
        <v>0</v>
      </c>
      <c r="E235" s="1064">
        <v>1</v>
      </c>
      <c r="F235" s="1122">
        <f>D235*E235</f>
        <v>0</v>
      </c>
      <c r="G235" s="1042"/>
      <c r="H235" s="1521"/>
    </row>
    <row r="236" spans="1:8" ht="16.2" customHeight="1" x14ac:dyDescent="0.25">
      <c r="A236" s="2202"/>
      <c r="B236" s="1582"/>
      <c r="C236" s="237" t="str">
        <f>T!C192</f>
        <v>Clayey: includes clay, clay loam, silty clay, silty clay loam, sandy clay, sandy clay loam.</v>
      </c>
      <c r="D236" s="44">
        <f>T!D192</f>
        <v>0</v>
      </c>
      <c r="E236" s="1064">
        <v>3</v>
      </c>
      <c r="F236" s="1122">
        <f>D236*E236</f>
        <v>0</v>
      </c>
      <c r="G236" s="1042"/>
      <c r="H236" s="1521"/>
    </row>
    <row r="237" spans="1:8" ht="27" customHeight="1" x14ac:dyDescent="0.25">
      <c r="A237" s="2202"/>
      <c r="B237" s="1582"/>
      <c r="C237" s="237" t="str">
        <f>T!C193</f>
        <v>Organic: includes muck, mucky peat, peat, and mucky mineral soils (blackish or grayish).  Exclude live roots unless they are moss.</v>
      </c>
      <c r="D237" s="44">
        <f>T!D193</f>
        <v>0</v>
      </c>
      <c r="E237" s="1064">
        <v>3</v>
      </c>
      <c r="F237" s="1122">
        <f>D237*E237</f>
        <v>0</v>
      </c>
      <c r="G237" s="1042"/>
      <c r="H237" s="1521"/>
    </row>
    <row r="238" spans="1:8" ht="29.25" customHeight="1" thickBot="1" x14ac:dyDescent="0.3">
      <c r="A238" s="2202"/>
      <c r="B238" s="1582"/>
      <c r="C238" s="1275" t="str">
        <f>T!C194</f>
        <v>Coarse: includes sand, loamy sand, gravel, cobble, stones, boulders, fluvents, fluvaquents, riverwash.</v>
      </c>
      <c r="D238" s="17">
        <f>T!D194</f>
        <v>0</v>
      </c>
      <c r="E238" s="1066">
        <v>2</v>
      </c>
      <c r="F238" s="1140">
        <f>D238*E238</f>
        <v>0</v>
      </c>
      <c r="G238" s="1441"/>
      <c r="H238" s="1521"/>
    </row>
    <row r="239" spans="1:8" ht="45" customHeight="1" thickBot="1" x14ac:dyDescent="0.3">
      <c r="A239" s="1442" t="str">
        <f>T!A237</f>
        <v>T47</v>
      </c>
      <c r="B239" s="4" t="str">
        <f>T!B237</f>
        <v>Wetland Type of Conservation Concern (RareTypeT)</v>
      </c>
      <c r="C239" s="1278" t="str">
        <f>T!C237</f>
        <v>The AA comprises all or part of (a) a wooded tidal wetland (&gt;30% cover of trees and/or shrubs), OR (b) an undiked tidal freshwater wetland (surface salinity &lt;0.5 ppt during most of spring and summer).  Enter 1, if true.</v>
      </c>
      <c r="D239" s="220">
        <f>T!D237</f>
        <v>0</v>
      </c>
      <c r="E239" s="1443"/>
      <c r="F239" s="1431"/>
      <c r="G239" s="1439">
        <f>D239</f>
        <v>0</v>
      </c>
      <c r="H239" s="114"/>
    </row>
    <row r="240" spans="1:8" ht="21" customHeight="1" thickBot="1" x14ac:dyDescent="0.3">
      <c r="C240" s="2"/>
      <c r="G240" s="110"/>
    </row>
    <row r="241" spans="2:8" ht="30" customHeight="1" x14ac:dyDescent="0.25">
      <c r="B241" s="1834" t="s">
        <v>615</v>
      </c>
      <c r="C241" s="2193" t="s">
        <v>53</v>
      </c>
      <c r="D241" s="2194"/>
      <c r="E241" s="2194"/>
      <c r="F241" s="2195"/>
      <c r="G241" s="1445">
        <f>MAX(OutDura18a,RareTyp18a,AVERAGE(SeasPct18a, Elev18,ImpervRCA18,PondWpctDry18a,DepthDom18a, Constric18a),SoilTex18a)</f>
        <v>0</v>
      </c>
      <c r="H241" s="263" t="s">
        <v>1536</v>
      </c>
    </row>
    <row r="242" spans="2:8" ht="21" customHeight="1" x14ac:dyDescent="0.25">
      <c r="B242" s="1962"/>
      <c r="C242" s="2196" t="s">
        <v>52</v>
      </c>
      <c r="D242" s="2197"/>
      <c r="E242" s="2197"/>
      <c r="F242" s="2198"/>
      <c r="G242" s="1446">
        <f>MAX(RareOnsite18a,AVERAGE(Invas18a,HerbDom18a,NewWet18a,Gcover18a,UniqPatch18))</f>
        <v>0</v>
      </c>
      <c r="H242" s="264" t="s">
        <v>1391</v>
      </c>
    </row>
    <row r="243" spans="2:8" ht="38.25" customHeight="1" x14ac:dyDescent="0.25">
      <c r="B243" s="1962"/>
      <c r="C243" s="2196" t="s">
        <v>55</v>
      </c>
      <c r="D243" s="2197"/>
      <c r="E243" s="2197"/>
      <c r="F243" s="2198"/>
      <c r="G243" s="1446">
        <f>MAX(AVERAGE(WidthWet18a,BuffWidth18a,PerimPctPer18,EdgeShape18,DistPerCov18,PerCovPct18,SizePerenn18),AVERAGE(DistPond18,ConnLocalW18,ConnScapeW18,HUCbest18))</f>
        <v>0</v>
      </c>
      <c r="H243" s="264" t="s">
        <v>1776</v>
      </c>
    </row>
    <row r="244" spans="2:8" ht="21" customHeight="1" thickBot="1" x14ac:dyDescent="0.3">
      <c r="B244" s="1962"/>
      <c r="C244" s="2171" t="s">
        <v>54</v>
      </c>
      <c r="D244" s="2172"/>
      <c r="E244" s="2172"/>
      <c r="F244" s="2173"/>
      <c r="G244" s="1447">
        <f>AVERAGE(Moss18a,WoodyPct18a,TreeDiams18a,Beaver18a,_GDD18,Arid18,Nfix18a)</f>
        <v>0</v>
      </c>
      <c r="H244" s="546" t="s">
        <v>1254</v>
      </c>
    </row>
    <row r="245" spans="2:8" ht="36" customHeight="1" thickBot="1" x14ac:dyDescent="0.3">
      <c r="B245" s="1815"/>
      <c r="C245" s="2168" t="s">
        <v>614</v>
      </c>
      <c r="D245" s="2169"/>
      <c r="E245" s="2169"/>
      <c r="F245" s="2170"/>
      <c r="G245" s="1448">
        <f>AVERAGE(WidthLoT18a,SoilTexT18a, RareTypeT2,AVERAGE(VegFormsT18a,VegSpDomT18a,InvasT18a,GcoverT18a))</f>
        <v>0</v>
      </c>
      <c r="H245" s="727" t="s">
        <v>2241</v>
      </c>
    </row>
    <row r="246" spans="2:8" ht="33" customHeight="1" thickBot="1" x14ac:dyDescent="0.3">
      <c r="B246" s="2165" t="s">
        <v>32</v>
      </c>
      <c r="C246" s="2166"/>
      <c r="D246" s="2166"/>
      <c r="E246" s="2167"/>
      <c r="F246" s="1444" t="s">
        <v>2656</v>
      </c>
      <c r="G246" s="1449">
        <f>10*(IF((Tidal=1),TidalScoreS18,  AVERAGE(RareTyp18a,AbioSens,BioSens,Colonizer,GrowthRate)))</f>
        <v>0</v>
      </c>
      <c r="H246" s="251" t="s">
        <v>1402</v>
      </c>
    </row>
    <row r="247" spans="2:8" ht="21" customHeight="1" thickBot="1" x14ac:dyDescent="0.3">
      <c r="F247" s="2"/>
    </row>
    <row r="248" spans="2:8" ht="21" customHeight="1" thickBot="1" x14ac:dyDescent="0.3">
      <c r="F248" s="2"/>
      <c r="H248" s="257" t="s">
        <v>859</v>
      </c>
    </row>
    <row r="249" spans="2:8" ht="27" customHeight="1" x14ac:dyDescent="0.25">
      <c r="F249" s="2"/>
      <c r="H249" s="724" t="s">
        <v>1116</v>
      </c>
    </row>
    <row r="250" spans="2:8" ht="27" customHeight="1" x14ac:dyDescent="0.25">
      <c r="F250" s="2"/>
      <c r="H250" s="725" t="s">
        <v>1117</v>
      </c>
    </row>
    <row r="251" spans="2:8" ht="27" customHeight="1" x14ac:dyDescent="0.25">
      <c r="H251" s="725" t="s">
        <v>1118</v>
      </c>
    </row>
    <row r="252" spans="2:8" ht="27" customHeight="1" x14ac:dyDescent="0.25">
      <c r="H252" s="725" t="s">
        <v>1014</v>
      </c>
    </row>
    <row r="253" spans="2:8" ht="42" customHeight="1" x14ac:dyDescent="0.25">
      <c r="H253" s="725" t="s">
        <v>1100</v>
      </c>
    </row>
    <row r="254" spans="2:8" ht="42" customHeight="1" x14ac:dyDescent="0.25">
      <c r="H254" s="725" t="s">
        <v>1119</v>
      </c>
    </row>
    <row r="255" spans="2:8" ht="27" customHeight="1" x14ac:dyDescent="0.25">
      <c r="H255" s="725" t="s">
        <v>1120</v>
      </c>
    </row>
    <row r="256" spans="2:8" ht="27" customHeight="1" x14ac:dyDescent="0.25">
      <c r="H256" s="725" t="s">
        <v>1121</v>
      </c>
    </row>
    <row r="257" spans="8:8" ht="27" customHeight="1" x14ac:dyDescent="0.25">
      <c r="H257" s="725" t="s">
        <v>1763</v>
      </c>
    </row>
    <row r="258" spans="8:8" ht="27" customHeight="1" x14ac:dyDescent="0.25">
      <c r="H258" s="725" t="s">
        <v>1122</v>
      </c>
    </row>
    <row r="259" spans="8:8" ht="27" customHeight="1" x14ac:dyDescent="0.25">
      <c r="H259" s="725" t="s">
        <v>1123</v>
      </c>
    </row>
    <row r="260" spans="8:8" ht="42" customHeight="1" x14ac:dyDescent="0.25">
      <c r="H260" s="725" t="s">
        <v>1392</v>
      </c>
    </row>
    <row r="261" spans="8:8" ht="42" customHeight="1" x14ac:dyDescent="0.25">
      <c r="H261" s="725" t="s">
        <v>1124</v>
      </c>
    </row>
    <row r="262" spans="8:8" ht="27" customHeight="1" x14ac:dyDescent="0.25">
      <c r="H262" s="725" t="s">
        <v>1125</v>
      </c>
    </row>
    <row r="263" spans="8:8" ht="21" customHeight="1" x14ac:dyDescent="0.25">
      <c r="H263" s="725" t="s">
        <v>1126</v>
      </c>
    </row>
    <row r="264" spans="8:8" ht="42" customHeight="1" x14ac:dyDescent="0.25">
      <c r="H264" s="725" t="s">
        <v>1393</v>
      </c>
    </row>
    <row r="265" spans="8:8" ht="42" customHeight="1" x14ac:dyDescent="0.25">
      <c r="H265" s="725" t="s">
        <v>1127</v>
      </c>
    </row>
    <row r="266" spans="8:8" ht="27" customHeight="1" thickBot="1" x14ac:dyDescent="0.3">
      <c r="H266" s="726" t="s">
        <v>1394</v>
      </c>
    </row>
    <row r="276" spans="4:4" s="3" customFormat="1" x14ac:dyDescent="0.25">
      <c r="D276" s="16"/>
    </row>
  </sheetData>
  <sheetProtection password="C74A" sheet="1" objects="1" scenarios="1" formatCells="0" formatColumns="0" formatRows="0"/>
  <customSheetViews>
    <customSheetView guid="{B8E02330-2419-4DE6-AD01-7ACC7A5D18DD}" scale="75">
      <pageMargins left="0.75" right="0.75" top="1" bottom="1" header="0.5" footer="0.5"/>
      <pageSetup orientation="portrait" r:id="rId1"/>
      <headerFooter alignWithMargins="0"/>
    </customSheetView>
  </customSheetViews>
  <mergeCells count="123">
    <mergeCell ref="E1:H1"/>
    <mergeCell ref="A183:A194"/>
    <mergeCell ref="C241:F241"/>
    <mergeCell ref="C242:F242"/>
    <mergeCell ref="C243:F243"/>
    <mergeCell ref="A165:A170"/>
    <mergeCell ref="H79:H84"/>
    <mergeCell ref="A71:A78"/>
    <mergeCell ref="A136:A144"/>
    <mergeCell ref="H176:H182"/>
    <mergeCell ref="H71:H78"/>
    <mergeCell ref="A176:A182"/>
    <mergeCell ref="A145:A150"/>
    <mergeCell ref="A129:A135"/>
    <mergeCell ref="A171:A175"/>
    <mergeCell ref="H165:H170"/>
    <mergeCell ref="H145:H150"/>
    <mergeCell ref="H136:H144"/>
    <mergeCell ref="A120:A122"/>
    <mergeCell ref="B120:B122"/>
    <mergeCell ref="B129:B135"/>
    <mergeCell ref="A1:B1"/>
    <mergeCell ref="H120:H122"/>
    <mergeCell ref="A234:A238"/>
    <mergeCell ref="A217:A222"/>
    <mergeCell ref="A223:A227"/>
    <mergeCell ref="A228:A233"/>
    <mergeCell ref="H217:H222"/>
    <mergeCell ref="H228:H233"/>
    <mergeCell ref="A105:A110"/>
    <mergeCell ref="A204:A210"/>
    <mergeCell ref="A211:A216"/>
    <mergeCell ref="B171:B175"/>
    <mergeCell ref="B176:B182"/>
    <mergeCell ref="B145:B150"/>
    <mergeCell ref="B151:B157"/>
    <mergeCell ref="B158:B164"/>
    <mergeCell ref="B165:B170"/>
    <mergeCell ref="A151:A157"/>
    <mergeCell ref="A158:A164"/>
    <mergeCell ref="H10:H16"/>
    <mergeCell ref="H129:H135"/>
    <mergeCell ref="H105:H110"/>
    <mergeCell ref="H171:H175"/>
    <mergeCell ref="H116:H119"/>
    <mergeCell ref="H46:H51"/>
    <mergeCell ref="A92:A98"/>
    <mergeCell ref="H158:H164"/>
    <mergeCell ref="H99:H104"/>
    <mergeCell ref="H111:H115"/>
    <mergeCell ref="A10:A16"/>
    <mergeCell ref="H151:H157"/>
    <mergeCell ref="B136:B144"/>
    <mergeCell ref="B79:B84"/>
    <mergeCell ref="B111:B115"/>
    <mergeCell ref="H63:H66"/>
    <mergeCell ref="H52:H58"/>
    <mergeCell ref="A17:A24"/>
    <mergeCell ref="A25:A29"/>
    <mergeCell ref="A30:A35"/>
    <mergeCell ref="A36:A40"/>
    <mergeCell ref="A63:A66"/>
    <mergeCell ref="A46:A51"/>
    <mergeCell ref="A52:A58"/>
    <mergeCell ref="H3:H9"/>
    <mergeCell ref="H67:H70"/>
    <mergeCell ref="A3:A9"/>
    <mergeCell ref="A111:A115"/>
    <mergeCell ref="H123:H127"/>
    <mergeCell ref="H85:H91"/>
    <mergeCell ref="H92:H98"/>
    <mergeCell ref="H17:H24"/>
    <mergeCell ref="A195:A202"/>
    <mergeCell ref="H195:H202"/>
    <mergeCell ref="A85:A91"/>
    <mergeCell ref="A99:A104"/>
    <mergeCell ref="A123:A127"/>
    <mergeCell ref="A79:A84"/>
    <mergeCell ref="A116:A119"/>
    <mergeCell ref="H25:H29"/>
    <mergeCell ref="H41:H45"/>
    <mergeCell ref="H36:H40"/>
    <mergeCell ref="H30:H35"/>
    <mergeCell ref="H59:H62"/>
    <mergeCell ref="B85:B91"/>
    <mergeCell ref="B116:B119"/>
    <mergeCell ref="B123:B127"/>
    <mergeCell ref="B105:B110"/>
    <mergeCell ref="A59:A62"/>
    <mergeCell ref="A41:A45"/>
    <mergeCell ref="A67:A70"/>
    <mergeCell ref="B195:B202"/>
    <mergeCell ref="B92:B98"/>
    <mergeCell ref="B99:B104"/>
    <mergeCell ref="B3:B9"/>
    <mergeCell ref="B10:B16"/>
    <mergeCell ref="B17:B24"/>
    <mergeCell ref="B25:B29"/>
    <mergeCell ref="B30:B35"/>
    <mergeCell ref="B36:B40"/>
    <mergeCell ref="B41:B45"/>
    <mergeCell ref="B67:B70"/>
    <mergeCell ref="B71:B78"/>
    <mergeCell ref="B46:B51"/>
    <mergeCell ref="B52:B58"/>
    <mergeCell ref="B59:B62"/>
    <mergeCell ref="B63:B66"/>
    <mergeCell ref="B246:E246"/>
    <mergeCell ref="H183:H194"/>
    <mergeCell ref="H223:H227"/>
    <mergeCell ref="H204:H210"/>
    <mergeCell ref="H211:H216"/>
    <mergeCell ref="B223:B227"/>
    <mergeCell ref="B228:B233"/>
    <mergeCell ref="B234:B238"/>
    <mergeCell ref="C245:F245"/>
    <mergeCell ref="C244:F244"/>
    <mergeCell ref="B204:B210"/>
    <mergeCell ref="B211:B216"/>
    <mergeCell ref="B217:B222"/>
    <mergeCell ref="B183:B194"/>
    <mergeCell ref="B241:B245"/>
    <mergeCell ref="H234:H238"/>
  </mergeCells>
  <phoneticPr fontId="3" type="noConversion"/>
  <pageMargins left="0.75" right="0.75" top="1" bottom="1" header="0.5" footer="0.5"/>
  <pageSetup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indexed="50"/>
  </sheetPr>
  <dimension ref="A1:H69"/>
  <sheetViews>
    <sheetView zoomScaleNormal="100" workbookViewId="0">
      <selection activeCell="G69" sqref="G69"/>
    </sheetView>
  </sheetViews>
  <sheetFormatPr defaultColWidth="9.33203125" defaultRowHeight="13.8" x14ac:dyDescent="0.25"/>
  <cols>
    <col min="1" max="1" width="5.77734375" style="103" customWidth="1"/>
    <col min="2" max="2" width="18.77734375" style="11" customWidth="1"/>
    <col min="3" max="3" width="75.77734375" style="2" customWidth="1"/>
    <col min="4" max="4" width="6.77734375" style="14" customWidth="1"/>
    <col min="5" max="5" width="8.77734375" style="14" customWidth="1"/>
    <col min="6" max="6" width="9.6640625" style="14" customWidth="1"/>
    <col min="7" max="7" width="13.33203125" style="5" customWidth="1"/>
    <col min="8" max="8" width="75.77734375" style="2" customWidth="1"/>
    <col min="9" max="9" width="14.77734375" style="2" customWidth="1"/>
    <col min="10" max="16384" width="9.33203125" style="2"/>
  </cols>
  <sheetData>
    <row r="1" spans="1:8" s="21" customFormat="1" ht="97.5" customHeight="1" thickBot="1" x14ac:dyDescent="0.3">
      <c r="A1" s="2093" t="s">
        <v>596</v>
      </c>
      <c r="B1" s="2094"/>
      <c r="C1" s="151" t="s">
        <v>605</v>
      </c>
      <c r="D1" s="1165" t="s">
        <v>1183</v>
      </c>
      <c r="E1" s="2049"/>
      <c r="F1" s="2050"/>
      <c r="G1" s="2050"/>
      <c r="H1" s="2050"/>
    </row>
    <row r="2" spans="1:8" s="361" customFormat="1" ht="46.5" customHeight="1" thickBot="1" x14ac:dyDescent="0.3">
      <c r="A2" s="1450" t="s">
        <v>126</v>
      </c>
      <c r="B2" s="1450" t="s">
        <v>1478</v>
      </c>
      <c r="C2" s="1451" t="s">
        <v>1271</v>
      </c>
      <c r="D2" s="1450" t="s">
        <v>115</v>
      </c>
      <c r="E2" s="1452" t="s">
        <v>771</v>
      </c>
      <c r="F2" s="1450" t="s">
        <v>1462</v>
      </c>
      <c r="G2" s="1453" t="s">
        <v>1273</v>
      </c>
      <c r="H2" s="1450" t="s">
        <v>772</v>
      </c>
    </row>
    <row r="3" spans="1:8" ht="58.5" customHeight="1" thickBot="1" x14ac:dyDescent="0.3">
      <c r="A3" s="2209" t="str">
        <f>F!A76</f>
        <v>F15</v>
      </c>
      <c r="B3" s="1521" t="str">
        <f>F!B76</f>
        <v>Width of Vegetated Zone - Wettest  (WidthWet)</v>
      </c>
      <c r="C3" s="4" t="str">
        <f>F!C76</f>
        <v>When water levels are highest, during a normal year, the width of the vegetated wetland  that separates the largest patch of open water within or bordering the AA from the closest adjacent uplands, is predominantly: 
[Note: This is not asking for the maximum width.]</v>
      </c>
      <c r="D3" s="865"/>
      <c r="E3" s="866"/>
      <c r="F3" s="867"/>
      <c r="G3" s="1454">
        <f>IF((NeverWater+TempWet&gt;0),"",IF((NoPond=1),"",MAX(F4:F9)/MAX(E4:E9)))</f>
        <v>0</v>
      </c>
      <c r="H3" s="1522" t="s">
        <v>1676</v>
      </c>
    </row>
    <row r="4" spans="1:8" ht="16.2" customHeight="1" x14ac:dyDescent="0.25">
      <c r="A4" s="2209"/>
      <c r="B4" s="1521"/>
      <c r="C4" s="393" t="str">
        <f>F!C77</f>
        <v>&lt;5 ft, or no vegetation between upland and open water.</v>
      </c>
      <c r="D4" s="1306">
        <f>F!D77</f>
        <v>0</v>
      </c>
      <c r="E4" s="843">
        <v>0</v>
      </c>
      <c r="F4" s="58">
        <f t="shared" ref="F4:F9" si="0">D4*E4</f>
        <v>0</v>
      </c>
      <c r="G4" s="867"/>
      <c r="H4" s="1521"/>
    </row>
    <row r="5" spans="1:8" ht="16.2" customHeight="1" x14ac:dyDescent="0.25">
      <c r="A5" s="2209"/>
      <c r="B5" s="1521"/>
      <c r="C5" s="1275" t="str">
        <f>F!C78</f>
        <v>5 to &lt;30 ft.</v>
      </c>
      <c r="D5" s="1276">
        <f>F!D78</f>
        <v>0</v>
      </c>
      <c r="E5" s="843">
        <v>1</v>
      </c>
      <c r="F5" s="58">
        <f t="shared" si="0"/>
        <v>0</v>
      </c>
      <c r="G5" s="872"/>
      <c r="H5" s="1521"/>
    </row>
    <row r="6" spans="1:8" ht="16.2" customHeight="1" x14ac:dyDescent="0.25">
      <c r="A6" s="2209"/>
      <c r="B6" s="1521"/>
      <c r="C6" s="1275" t="str">
        <f>F!C79</f>
        <v>30 to &lt;50 ft.</v>
      </c>
      <c r="D6" s="1276">
        <f>F!D79</f>
        <v>0</v>
      </c>
      <c r="E6" s="843">
        <v>2</v>
      </c>
      <c r="F6" s="58">
        <f t="shared" si="0"/>
        <v>0</v>
      </c>
      <c r="G6" s="872"/>
      <c r="H6" s="1521"/>
    </row>
    <row r="7" spans="1:8" ht="16.2" customHeight="1" x14ac:dyDescent="0.25">
      <c r="A7" s="2209"/>
      <c r="B7" s="1521"/>
      <c r="C7" s="1275" t="str">
        <f>F!C80</f>
        <v>50 to &lt;100 ft.</v>
      </c>
      <c r="D7" s="1276">
        <f>F!D80</f>
        <v>0</v>
      </c>
      <c r="E7" s="843">
        <v>3</v>
      </c>
      <c r="F7" s="58">
        <f t="shared" si="0"/>
        <v>0</v>
      </c>
      <c r="G7" s="872"/>
      <c r="H7" s="1521"/>
    </row>
    <row r="8" spans="1:8" ht="16.2" customHeight="1" x14ac:dyDescent="0.25">
      <c r="A8" s="2209"/>
      <c r="B8" s="1521"/>
      <c r="C8" s="1275" t="str">
        <f>F!C81</f>
        <v>100 to 300 ft.</v>
      </c>
      <c r="D8" s="1276">
        <f>F!D81</f>
        <v>0</v>
      </c>
      <c r="E8" s="843">
        <v>4</v>
      </c>
      <c r="F8" s="58">
        <f t="shared" si="0"/>
        <v>0</v>
      </c>
      <c r="G8" s="872"/>
      <c r="H8" s="1521"/>
    </row>
    <row r="9" spans="1:8" ht="16.2" customHeight="1" thickBot="1" x14ac:dyDescent="0.3">
      <c r="A9" s="2209"/>
      <c r="B9" s="1521"/>
      <c r="C9" s="1275" t="str">
        <f>F!C82</f>
        <v>&gt; 300 ft.</v>
      </c>
      <c r="D9" s="1276">
        <f>F!D82</f>
        <v>0</v>
      </c>
      <c r="E9" s="844">
        <v>5</v>
      </c>
      <c r="F9" s="54">
        <f t="shared" si="0"/>
        <v>0</v>
      </c>
      <c r="G9" s="876"/>
      <c r="H9" s="1521"/>
    </row>
    <row r="10" spans="1:8" ht="45" customHeight="1" thickBot="1" x14ac:dyDescent="0.3">
      <c r="A10" s="1455" t="str">
        <f>F!A105</f>
        <v>F19</v>
      </c>
      <c r="B10" s="114" t="str">
        <f>F!B105</f>
        <v>Floating Algae &amp; Duckweed (Algae)</v>
      </c>
      <c r="C10" s="1381" t="str">
        <f>F!C105</f>
        <v>At some time of the year, most of the AA's otherwise-unshaded water surface is covered by floating mats of algae, or small (&lt;1 inch) floating plants such as duckweed, Azolla, Wolffia, or Riccia.  Enter 1, if true.</v>
      </c>
      <c r="D10" s="1279">
        <f>F!D105</f>
        <v>0</v>
      </c>
      <c r="E10" s="1205"/>
      <c r="F10" s="249"/>
      <c r="G10" s="1456">
        <f>IF((NeverWater+TempWet&gt;0),"",IF((TempWet=1),"",IF((NoPond2=1),"",IF((NoPondOW2=1),"",1-D10))))</f>
        <v>1</v>
      </c>
      <c r="H10" s="4" t="s">
        <v>1677</v>
      </c>
    </row>
    <row r="11" spans="1:8" ht="45" customHeight="1" thickBot="1" x14ac:dyDescent="0.3">
      <c r="A11" s="2203" t="str">
        <f>F!A134</f>
        <v>F26</v>
      </c>
      <c r="B11" s="1522" t="str">
        <f>F!B134</f>
        <v>% Only Saturated or Seasonally Flooded (SeasPct)</v>
      </c>
      <c r="C11" s="114"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11" s="866"/>
      <c r="E11" s="866"/>
      <c r="F11" s="825"/>
      <c r="G11" s="1457">
        <f>MAX(F12:F16)/MAX(E12:E16)</f>
        <v>0</v>
      </c>
      <c r="H11" s="1521" t="s">
        <v>266</v>
      </c>
    </row>
    <row r="12" spans="1:8" ht="16.2" customHeight="1" x14ac:dyDescent="0.25">
      <c r="A12" s="2204"/>
      <c r="B12" s="1521"/>
      <c r="C12" s="1310" t="str">
        <f>F!C135</f>
        <v>&lt;5% of the AA, or none (i.e., all water persists for &gt;4 months).</v>
      </c>
      <c r="D12" s="1304">
        <f>F!D135</f>
        <v>0</v>
      </c>
      <c r="E12" s="843">
        <v>0</v>
      </c>
      <c r="F12" s="58">
        <f>D12*E12</f>
        <v>0</v>
      </c>
      <c r="G12" s="793"/>
      <c r="H12" s="1521"/>
    </row>
    <row r="13" spans="1:8" ht="16.2" customHeight="1" x14ac:dyDescent="0.25">
      <c r="A13" s="2204"/>
      <c r="B13" s="1521"/>
      <c r="C13" s="1311" t="str">
        <f>F!C136</f>
        <v>5 to &lt;25% of the AA.</v>
      </c>
      <c r="D13" s="1081">
        <f>F!D136</f>
        <v>0</v>
      </c>
      <c r="E13" s="843">
        <v>2</v>
      </c>
      <c r="F13" s="58">
        <f>D13*E13</f>
        <v>0</v>
      </c>
      <c r="G13" s="793"/>
      <c r="H13" s="1521"/>
    </row>
    <row r="14" spans="1:8" ht="16.2" customHeight="1" x14ac:dyDescent="0.25">
      <c r="A14" s="2204"/>
      <c r="B14" s="1521"/>
      <c r="C14" s="1311" t="str">
        <f>F!C137</f>
        <v>25 to &lt;50% of the AA.</v>
      </c>
      <c r="D14" s="1081">
        <f>F!D137</f>
        <v>0</v>
      </c>
      <c r="E14" s="843">
        <v>3</v>
      </c>
      <c r="F14" s="58">
        <f>D14*E14</f>
        <v>0</v>
      </c>
      <c r="G14" s="793"/>
      <c r="H14" s="1521"/>
    </row>
    <row r="15" spans="1:8" ht="16.2" customHeight="1" x14ac:dyDescent="0.25">
      <c r="A15" s="2204"/>
      <c r="B15" s="1521"/>
      <c r="C15" s="1311" t="str">
        <f>F!C138</f>
        <v>50 to 75% of the AA.</v>
      </c>
      <c r="D15" s="1081">
        <f>F!D138</f>
        <v>0</v>
      </c>
      <c r="E15" s="843">
        <v>4</v>
      </c>
      <c r="F15" s="58">
        <f>D15*E15</f>
        <v>0</v>
      </c>
      <c r="G15" s="793"/>
      <c r="H15" s="1521"/>
    </row>
    <row r="16" spans="1:8" ht="16.2" customHeight="1" thickBot="1" x14ac:dyDescent="0.3">
      <c r="A16" s="2205"/>
      <c r="B16" s="1523"/>
      <c r="C16" s="1307" t="str">
        <f>F!C139</f>
        <v>&gt;75% of the AA.</v>
      </c>
      <c r="D16" s="198">
        <f>F!D139</f>
        <v>0</v>
      </c>
      <c r="E16" s="844">
        <v>5</v>
      </c>
      <c r="F16" s="58">
        <f>D16*E16</f>
        <v>0</v>
      </c>
      <c r="G16" s="800"/>
      <c r="H16" s="1523"/>
    </row>
    <row r="17" spans="1:8" ht="30" customHeight="1" thickBot="1" x14ac:dyDescent="0.3">
      <c r="A17" s="2210" t="str">
        <f>F!A150</f>
        <v>F29</v>
      </c>
      <c r="B17" s="1522" t="str">
        <f>F!B150</f>
        <v>Non-native Aquatic Animals (PestAnim)</v>
      </c>
      <c r="C17" s="4" t="str">
        <f>F!C150</f>
        <v>The following are known or likely to have reproducing populations in this AA, its wetland, or in water bodies within 300 ft that connect to the AA at least seasonally.  Select All that apply:</v>
      </c>
      <c r="D17" s="865"/>
      <c r="E17" s="1044"/>
      <c r="F17" s="878"/>
      <c r="G17" s="1456">
        <f>IF((D23=1),1,1-(SUM(D18:D22))/5)</f>
        <v>1</v>
      </c>
      <c r="H17" s="1522" t="s">
        <v>727</v>
      </c>
    </row>
    <row r="18" spans="1:8" ht="16.2" customHeight="1" x14ac:dyDescent="0.25">
      <c r="A18" s="2211"/>
      <c r="B18" s="1521"/>
      <c r="C18" s="2" t="str">
        <f>F!C151</f>
        <v>Non-native amphibians (e.g., bullfrog) or reptiles (e.g., red-ear slider).</v>
      </c>
      <c r="D18" s="44">
        <f>F!D151</f>
        <v>0</v>
      </c>
      <c r="E18" s="843"/>
      <c r="F18" s="58"/>
      <c r="G18" s="792"/>
      <c r="H18" s="1521"/>
    </row>
    <row r="19" spans="1:8" ht="16.2" customHeight="1" x14ac:dyDescent="0.25">
      <c r="A19" s="2211"/>
      <c r="B19" s="1521"/>
      <c r="C19" s="95" t="str">
        <f>F!C152</f>
        <v>Carp.</v>
      </c>
      <c r="D19" s="44">
        <f>F!D152</f>
        <v>0</v>
      </c>
      <c r="E19" s="843"/>
      <c r="F19" s="58"/>
      <c r="G19" s="793"/>
      <c r="H19" s="1521"/>
    </row>
    <row r="20" spans="1:8" ht="16.2" customHeight="1" x14ac:dyDescent="0.25">
      <c r="A20" s="2211"/>
      <c r="B20" s="1521"/>
      <c r="C20" s="95" t="str">
        <f>F!C153</f>
        <v>Non-native fish that prey on tadpoles or turtles (e.g., bass, walleye, crappie, brook trout).</v>
      </c>
      <c r="D20" s="44">
        <f>F!D153</f>
        <v>0</v>
      </c>
      <c r="E20" s="843"/>
      <c r="F20" s="58"/>
      <c r="G20" s="793"/>
      <c r="H20" s="1521"/>
    </row>
    <row r="21" spans="1:8" ht="16.2" customHeight="1" x14ac:dyDescent="0.25">
      <c r="A21" s="2211"/>
      <c r="B21" s="1521"/>
      <c r="C21" s="95" t="str">
        <f>F!C154</f>
        <v>Non-native invertebrates (e.g., New Zealand mudsnail, mitten crab, rusty crayfish).</v>
      </c>
      <c r="D21" s="44">
        <f>F!D154</f>
        <v>0</v>
      </c>
      <c r="E21" s="843"/>
      <c r="F21" s="58"/>
      <c r="G21" s="793"/>
      <c r="H21" s="1521"/>
    </row>
    <row r="22" spans="1:8" ht="16.2" customHeight="1" x14ac:dyDescent="0.25">
      <c r="A22" s="2211"/>
      <c r="B22" s="1521"/>
      <c r="C22" s="216" t="str">
        <f>F!C155</f>
        <v>Nutria.</v>
      </c>
      <c r="D22" s="44">
        <f>F!D155</f>
        <v>0</v>
      </c>
      <c r="E22" s="843"/>
      <c r="F22" s="45"/>
      <c r="G22" s="1389"/>
      <c r="H22" s="1521"/>
    </row>
    <row r="23" spans="1:8" ht="16.2" customHeight="1" thickBot="1" x14ac:dyDescent="0.3">
      <c r="A23" s="2212"/>
      <c r="B23" s="1523"/>
      <c r="C23" s="729" t="str">
        <f>F!C156</f>
        <v>None of above.</v>
      </c>
      <c r="D23" s="17">
        <f>F!D156</f>
        <v>0</v>
      </c>
      <c r="E23" s="845"/>
      <c r="F23" s="193"/>
      <c r="G23" s="874"/>
      <c r="H23" s="1523"/>
    </row>
    <row r="24" spans="1:8" ht="42.75" customHeight="1" thickBot="1" x14ac:dyDescent="0.3">
      <c r="A24" s="2206" t="str">
        <f>F!A205</f>
        <v>F40</v>
      </c>
      <c r="B24" s="1522" t="str">
        <f>F!B205</f>
        <v>Species Dominance - Herbaceous (HerbDom)</v>
      </c>
      <c r="C24" s="4" t="str">
        <f>F!C205</f>
        <v>Determine which two native herbaceous (forb, fern, and graminoid) species comprise the greatest portion of the herbaceous cover that is unshaded by a woody canopy.  Then select one:</v>
      </c>
      <c r="D24" s="875"/>
      <c r="E24" s="1044"/>
      <c r="F24" s="241"/>
      <c r="G24" s="1456">
        <f>IF((NoHerb=1),"",MAX(F25:F26)/MAX(E25:E26))</f>
        <v>0</v>
      </c>
      <c r="H24" s="1599" t="s">
        <v>1733</v>
      </c>
    </row>
    <row r="25" spans="1:8" ht="42" customHeight="1" x14ac:dyDescent="0.25">
      <c r="A25" s="2207"/>
      <c r="B25" s="1521"/>
      <c r="C25" s="393" t="str">
        <f>F!C206</f>
        <v>Those species together comprise more than half of the areal cover of native herbaceous plants at any time during the year, i.e., one dominant species or two co-dominants.  Also mark this if &lt;20% of the vegetated cover is native species.</v>
      </c>
      <c r="D25" s="1306">
        <f>F!D206</f>
        <v>0</v>
      </c>
      <c r="E25" s="844">
        <v>0</v>
      </c>
      <c r="F25" s="58">
        <f>D25*E25</f>
        <v>0</v>
      </c>
      <c r="G25" s="806"/>
      <c r="H25" s="1582"/>
    </row>
    <row r="26" spans="1:8" ht="27" customHeight="1" thickBot="1" x14ac:dyDescent="0.3">
      <c r="A26" s="2208"/>
      <c r="B26" s="1523"/>
      <c r="C26" s="212" t="str">
        <f>F!C207</f>
        <v>Those species together comprise less than half of the areal cover of native herbaceous plants at any time during the year.</v>
      </c>
      <c r="D26" s="213">
        <f>F!D207</f>
        <v>0</v>
      </c>
      <c r="E26" s="845">
        <v>1</v>
      </c>
      <c r="F26" s="193">
        <f>D26*E26</f>
        <v>0</v>
      </c>
      <c r="G26" s="909"/>
      <c r="H26" s="1600"/>
    </row>
    <row r="27" spans="1:8" ht="21" customHeight="1" thickBot="1" x14ac:dyDescent="0.3">
      <c r="A27" s="2206" t="str">
        <f>F!A208</f>
        <v>F41</v>
      </c>
      <c r="B27" s="1522" t="str">
        <f>F!B208</f>
        <v>Invasive or Non-native - % of Vegetative Cover (Invas)</v>
      </c>
      <c r="C27" s="4" t="str">
        <f>F!C208</f>
        <v>Vegetative cover (annual maximum) is:</v>
      </c>
      <c r="D27" s="866"/>
      <c r="E27" s="972"/>
      <c r="F27" s="258"/>
      <c r="G27" s="1456">
        <f>IF((NoHerb=1),"",MAX(F28:F31)/MAX(E28:E31))</f>
        <v>0</v>
      </c>
      <c r="H27" s="1599" t="s">
        <v>1748</v>
      </c>
    </row>
    <row r="28" spans="1:8" ht="27" customHeight="1" x14ac:dyDescent="0.25">
      <c r="A28" s="2207"/>
      <c r="B28" s="1521"/>
      <c r="C28" s="236" t="str">
        <f>F!C209</f>
        <v>Overwhelmingly (&gt;80% cover) non-native species AND &gt;10% of the herbaceous cover is invasive species.  
(See ORWAP SuppInfo file for species designations).</v>
      </c>
      <c r="D28" s="1304">
        <f>F!D209</f>
        <v>0</v>
      </c>
      <c r="E28" s="843">
        <v>0</v>
      </c>
      <c r="F28" s="45">
        <f>D28*E28</f>
        <v>0</v>
      </c>
      <c r="G28" s="792"/>
      <c r="H28" s="1582"/>
    </row>
    <row r="29" spans="1:8" ht="40.5" customHeight="1" x14ac:dyDescent="0.25">
      <c r="A29" s="2207"/>
      <c r="B29" s="1521"/>
      <c r="C29" s="237" t="str">
        <f>F!C210</f>
        <v xml:space="preserve">Overwhelmingly (&gt;80% cover) non-native species AND &lt;10% of the herbaceous cover is invasive species; 
OR 50-80% of cover is non-native species regardless of invasiveness. </v>
      </c>
      <c r="D29" s="1081">
        <f>F!D208</f>
        <v>0</v>
      </c>
      <c r="E29" s="843">
        <v>1</v>
      </c>
      <c r="F29" s="45">
        <f>D29*E29</f>
        <v>0</v>
      </c>
      <c r="G29" s="793"/>
      <c r="H29" s="1582"/>
    </row>
    <row r="30" spans="1:8" ht="16.2" customHeight="1" x14ac:dyDescent="0.25">
      <c r="A30" s="2207"/>
      <c r="B30" s="1521"/>
      <c r="C30" s="237" t="str">
        <f>F!C211</f>
        <v>Mostly (50-80%) native species.</v>
      </c>
      <c r="D30" s="1081">
        <f>F!D211</f>
        <v>0</v>
      </c>
      <c r="E30" s="843">
        <v>2</v>
      </c>
      <c r="F30" s="45">
        <f>D30*E30</f>
        <v>0</v>
      </c>
      <c r="G30" s="793"/>
      <c r="H30" s="1582"/>
    </row>
    <row r="31" spans="1:8" ht="16.2" customHeight="1" thickBot="1" x14ac:dyDescent="0.3">
      <c r="A31" s="2208"/>
      <c r="B31" s="1523"/>
      <c r="C31" s="212" t="str">
        <f>F!C212</f>
        <v>Overwhelmingly (&gt;80%) native species.</v>
      </c>
      <c r="D31" s="213">
        <f>F!D212</f>
        <v>0</v>
      </c>
      <c r="E31" s="845">
        <v>3</v>
      </c>
      <c r="F31" s="193">
        <f>D31*E31</f>
        <v>0</v>
      </c>
      <c r="G31" s="794"/>
      <c r="H31" s="1600"/>
    </row>
    <row r="32" spans="1:8" ht="57.75" customHeight="1" thickBot="1" x14ac:dyDescent="0.3">
      <c r="A32" s="2209" t="str">
        <f>F!A213</f>
        <v>F42</v>
      </c>
      <c r="B32" s="1521" t="str">
        <f>F!B213</f>
        <v>Mowing, Grazing, Fire (VegCut)</v>
      </c>
      <c r="C32" s="114" t="str">
        <f>F!C213</f>
        <v>There is evidence that grazing by domestic or wild animals -- or mowing (multiple times per year), plowing, herbicides, harvesting, or fire -- has repeatedly reduced the AA's vegetation cover (plants that normally grows taller than 4") to less than 4 inches, or has created an obvious browse line, over the following extent:</v>
      </c>
      <c r="D32" s="866"/>
      <c r="E32" s="866"/>
      <c r="F32" s="46"/>
      <c r="G32" s="1454">
        <f>MAX(F33:F37)/MAX(E33:E37)</f>
        <v>0</v>
      </c>
      <c r="H32" s="1521" t="s">
        <v>265</v>
      </c>
    </row>
    <row r="33" spans="1:8" ht="16.5" customHeight="1" x14ac:dyDescent="0.25">
      <c r="A33" s="2209"/>
      <c r="B33" s="1521"/>
      <c r="C33" s="1310" t="str">
        <f>F!C214</f>
        <v>0% (No evidence of such activities).</v>
      </c>
      <c r="D33" s="1304">
        <f>F!D214</f>
        <v>0</v>
      </c>
      <c r="E33" s="843">
        <v>4</v>
      </c>
      <c r="F33" s="58">
        <v>0</v>
      </c>
      <c r="G33" s="59"/>
      <c r="H33" s="1521"/>
    </row>
    <row r="34" spans="1:8" ht="27" customHeight="1" x14ac:dyDescent="0.25">
      <c r="A34" s="2209"/>
      <c r="B34" s="1521"/>
      <c r="C34" s="1311" t="str">
        <f>F!C215</f>
        <v>Trace to 5% of the normally vegetated AA (grazing, mowing, or fire have occurred but vegetation height effects are mostly unnoticeable).</v>
      </c>
      <c r="D34" s="1081">
        <f>F!D215</f>
        <v>0</v>
      </c>
      <c r="E34" s="843">
        <v>3</v>
      </c>
      <c r="F34" s="58">
        <f>D34*E34</f>
        <v>0</v>
      </c>
      <c r="G34" s="59"/>
      <c r="H34" s="1521"/>
    </row>
    <row r="35" spans="1:8" ht="16.2" customHeight="1" x14ac:dyDescent="0.25">
      <c r="A35" s="2209"/>
      <c r="B35" s="1521"/>
      <c r="C35" s="1311" t="str">
        <f>F!C216</f>
        <v>5 to &lt;50% of the normally vegetated AA.</v>
      </c>
      <c r="D35" s="1081">
        <f>F!D216</f>
        <v>0</v>
      </c>
      <c r="E35" s="843">
        <v>2</v>
      </c>
      <c r="F35" s="58">
        <f>D35*E35</f>
        <v>0</v>
      </c>
      <c r="G35" s="59"/>
      <c r="H35" s="1521"/>
    </row>
    <row r="36" spans="1:8" ht="16.2" customHeight="1" x14ac:dyDescent="0.25">
      <c r="A36" s="2209"/>
      <c r="B36" s="1521"/>
      <c r="C36" s="1311" t="str">
        <f>F!C217</f>
        <v>50 to 95% of the normally vegetated AA.</v>
      </c>
      <c r="D36" s="1081">
        <f>F!D217</f>
        <v>0</v>
      </c>
      <c r="E36" s="843">
        <v>1</v>
      </c>
      <c r="F36" s="58">
        <f>D36*E36</f>
        <v>0</v>
      </c>
      <c r="G36" s="59"/>
      <c r="H36" s="1521"/>
    </row>
    <row r="37" spans="1:8" ht="16.2" customHeight="1" thickBot="1" x14ac:dyDescent="0.3">
      <c r="A37" s="2209"/>
      <c r="B37" s="1521"/>
      <c r="C37" s="1305" t="str">
        <f>F!C218</f>
        <v>&gt;95% of the normally vegetated AA.</v>
      </c>
      <c r="D37" s="198">
        <f>F!D218</f>
        <v>0</v>
      </c>
      <c r="E37" s="844">
        <v>0</v>
      </c>
      <c r="F37" s="54">
        <f>D37*E37</f>
        <v>0</v>
      </c>
      <c r="G37" s="58"/>
      <c r="H37" s="1521"/>
    </row>
    <row r="38" spans="1:8" ht="43.5" customHeight="1" thickBot="1" x14ac:dyDescent="0.3">
      <c r="A38" s="2206" t="str">
        <f>F!A288</f>
        <v>F56</v>
      </c>
      <c r="B38" s="1522" t="str">
        <f>F!B288</f>
        <v>Bare Ground &amp; Accumulated Plant Litter (Gcover)</v>
      </c>
      <c r="C38" s="4" t="str">
        <f>F!C288</f>
        <v>Consider the parts of the AA that go dry during a normal year. Viewed from 6 inches above the soil surface, the condition in most of that area just before the year's longest inundation period begins is:</v>
      </c>
      <c r="D38" s="866"/>
      <c r="E38" s="192"/>
      <c r="F38" s="241"/>
      <c r="G38" s="1456">
        <f>IF((D43=1),"",MAX(F39:F42)/MAX(E39:E42))</f>
        <v>0</v>
      </c>
      <c r="H38" s="1522" t="s">
        <v>165</v>
      </c>
    </row>
    <row r="39" spans="1:8" ht="53.25" customHeight="1" x14ac:dyDescent="0.25">
      <c r="A39" s="2207"/>
      <c r="B39" s="1521"/>
      <c r="C39" s="236"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39" s="1304">
        <f>F!D289</f>
        <v>0</v>
      </c>
      <c r="E39" s="45">
        <v>3</v>
      </c>
      <c r="F39" s="59">
        <f>D39*E39</f>
        <v>0</v>
      </c>
      <c r="G39" s="792"/>
      <c r="H39" s="1521"/>
    </row>
    <row r="40" spans="1:8" ht="27" customHeight="1" x14ac:dyDescent="0.25">
      <c r="A40" s="2207"/>
      <c r="B40" s="1521"/>
      <c r="C40" s="237" t="str">
        <f>F!C290</f>
        <v>Some (5-20%) bare ground or remaining thatch is visible.  Herbaceous plants have moderate stem densities and do not closely hug the ground.</v>
      </c>
      <c r="D40" s="1081">
        <f>F!D290</f>
        <v>0</v>
      </c>
      <c r="E40" s="45">
        <v>2</v>
      </c>
      <c r="F40" s="59">
        <f>D40*E40</f>
        <v>0</v>
      </c>
      <c r="G40" s="793"/>
      <c r="H40" s="1521"/>
    </row>
    <row r="41" spans="1:8" ht="27" customHeight="1" x14ac:dyDescent="0.25">
      <c r="A41" s="2207"/>
      <c r="B41" s="1521"/>
      <c r="C41" s="237" t="str">
        <f>F!C291</f>
        <v>Much (20-50%) bare ground or thatch is visible.  Low stem density and/or tall plants with little living ground cover during early growing season.</v>
      </c>
      <c r="D41" s="1081">
        <f>F!D291</f>
        <v>0</v>
      </c>
      <c r="E41" s="45">
        <v>1</v>
      </c>
      <c r="F41" s="59">
        <f>D41*E41</f>
        <v>0</v>
      </c>
      <c r="G41" s="793"/>
      <c r="H41" s="1521"/>
    </row>
    <row r="42" spans="1:8" ht="16.2" customHeight="1" x14ac:dyDescent="0.25">
      <c r="A42" s="2207"/>
      <c r="B42" s="1521"/>
      <c r="C42" s="237" t="str">
        <f>F!C292</f>
        <v>Mostly (&gt;50%) bare ground or thatch.</v>
      </c>
      <c r="D42" s="1081">
        <f>F!D292</f>
        <v>0</v>
      </c>
      <c r="E42" s="45">
        <v>0</v>
      </c>
      <c r="F42" s="59">
        <f>D42*E42</f>
        <v>0</v>
      </c>
      <c r="G42" s="793"/>
      <c r="H42" s="1521"/>
    </row>
    <row r="43" spans="1:8" ht="16.2" customHeight="1" thickBot="1" x14ac:dyDescent="0.3">
      <c r="A43" s="2208"/>
      <c r="B43" s="1523"/>
      <c r="C43" s="212" t="str">
        <f>F!C293</f>
        <v>Not applicable.  All of the AA is inundated throughout most years.</v>
      </c>
      <c r="D43" s="213">
        <f>F!D293</f>
        <v>0</v>
      </c>
      <c r="E43" s="193"/>
      <c r="F43" s="193"/>
      <c r="G43" s="909"/>
      <c r="H43" s="1523"/>
    </row>
    <row r="44" spans="1:8" ht="41.25" customHeight="1" thickBot="1" x14ac:dyDescent="0.3">
      <c r="A44" s="2209" t="str">
        <f>F!A294</f>
        <v>F57</v>
      </c>
      <c r="B44" s="1521" t="str">
        <f>F!B294</f>
        <v>Ground Irregularity (Girreg)</v>
      </c>
      <c r="C44" s="4" t="str">
        <f>F!C294</f>
        <v xml:space="preserve"> In parts of the AA that lack persistent water, the number of small pits, raised mounds, hummocks, boulders, upturned trees, animal burrows, islands, natural levees, wide soil cracks, and microdepressions is:</v>
      </c>
      <c r="D44" s="866"/>
      <c r="E44" s="46"/>
      <c r="F44" s="60"/>
      <c r="G44" s="1454">
        <f>MAX(F45:F47)/MAX(E45:E47)</f>
        <v>0</v>
      </c>
      <c r="H44" s="1521" t="s">
        <v>164</v>
      </c>
    </row>
    <row r="45" spans="1:8" ht="27" customHeight="1" x14ac:dyDescent="0.25">
      <c r="A45" s="2209"/>
      <c r="B45" s="1521"/>
      <c r="C45" s="236" t="str">
        <f>F!C295</f>
        <v>Few or none, or the entire AA is always water-covered.  Minimal microtopography; &lt;1% of the AA, e.g., many flat sites having a single hydroperiod.</v>
      </c>
      <c r="D45" s="1304">
        <f>F!D295</f>
        <v>0</v>
      </c>
      <c r="E45" s="45">
        <v>0</v>
      </c>
      <c r="F45" s="59">
        <f>D45*E45</f>
        <v>0</v>
      </c>
      <c r="G45" s="792"/>
      <c r="H45" s="1521"/>
    </row>
    <row r="46" spans="1:8" ht="16.2" customHeight="1" x14ac:dyDescent="0.25">
      <c r="A46" s="2209"/>
      <c r="B46" s="1521"/>
      <c r="C46" s="237" t="str">
        <f>F!C296</f>
        <v>Intermediate.</v>
      </c>
      <c r="D46" s="1081">
        <f>F!D296</f>
        <v>0</v>
      </c>
      <c r="E46" s="45">
        <v>1</v>
      </c>
      <c r="F46" s="59">
        <f>D46*E46</f>
        <v>0</v>
      </c>
      <c r="G46" s="793"/>
      <c r="H46" s="1521"/>
    </row>
    <row r="47" spans="1:8" ht="16.2" customHeight="1" thickBot="1" x14ac:dyDescent="0.3">
      <c r="A47" s="2209"/>
      <c r="B47" s="1521"/>
      <c r="C47" s="1275" t="str">
        <f>F!C297</f>
        <v>Several (extensive micro-topography).</v>
      </c>
      <c r="D47" s="1276">
        <f>F!D297</f>
        <v>0</v>
      </c>
      <c r="E47" s="54">
        <v>2</v>
      </c>
      <c r="F47" s="58">
        <f>D47*E47</f>
        <v>0</v>
      </c>
      <c r="G47" s="800"/>
      <c r="H47" s="1521"/>
    </row>
    <row r="48" spans="1:8" ht="21" customHeight="1" thickBot="1" x14ac:dyDescent="0.3">
      <c r="A48" s="2206" t="s">
        <v>822</v>
      </c>
      <c r="B48" s="1522" t="s">
        <v>40</v>
      </c>
      <c r="C48" s="4" t="s">
        <v>1980</v>
      </c>
      <c r="D48" s="210"/>
      <c r="E48" s="192"/>
      <c r="F48" s="241"/>
      <c r="G48" s="1456">
        <f>(SUM(D49:D55)/8 +MAX(F49:F55)/MAX(E49:E55))/2</f>
        <v>0</v>
      </c>
      <c r="H48" s="1599" t="s">
        <v>1998</v>
      </c>
    </row>
    <row r="49" spans="1:8" ht="16.2" customHeight="1" x14ac:dyDescent="0.25">
      <c r="A49" s="2207"/>
      <c r="B49" s="1521"/>
      <c r="C49" s="236" t="str">
        <f>OF!B103</f>
        <v>Non-anadromous Fish Species of Conservation Concern (RareFR)</v>
      </c>
      <c r="D49" s="1304">
        <f>OF!D104</f>
        <v>0</v>
      </c>
      <c r="E49" s="46">
        <v>1</v>
      </c>
      <c r="F49" s="59">
        <f t="shared" ref="F49:F55" si="1">D49*E49</f>
        <v>0</v>
      </c>
      <c r="G49" s="793"/>
      <c r="H49" s="1582"/>
    </row>
    <row r="50" spans="1:8" ht="16.2" customHeight="1" x14ac:dyDescent="0.25">
      <c r="A50" s="2207"/>
      <c r="B50" s="1521"/>
      <c r="C50" s="237" t="str">
        <f>OF!B108</f>
        <v>Amphibian or Reptile of Conservation Concern (AmphRare)</v>
      </c>
      <c r="D50" s="1081">
        <f>OF!D109</f>
        <v>0</v>
      </c>
      <c r="E50" s="45">
        <v>1</v>
      </c>
      <c r="F50" s="59">
        <f t="shared" si="1"/>
        <v>0</v>
      </c>
      <c r="G50" s="793"/>
      <c r="H50" s="1582"/>
    </row>
    <row r="51" spans="1:8" ht="16.2" customHeight="1" x14ac:dyDescent="0.25">
      <c r="A51" s="2207"/>
      <c r="B51" s="1521"/>
      <c r="C51" s="237" t="str">
        <f>OF!B113</f>
        <v>Feeding (Non-breeding) Waterbird Species of Conservation Concern (RareWBF)</v>
      </c>
      <c r="D51" s="1081">
        <f>OF!D114</f>
        <v>0</v>
      </c>
      <c r="E51" s="45">
        <v>1</v>
      </c>
      <c r="F51" s="59">
        <f t="shared" si="1"/>
        <v>0</v>
      </c>
      <c r="G51" s="793"/>
      <c r="H51" s="1582"/>
    </row>
    <row r="52" spans="1:8" ht="16.2" customHeight="1" x14ac:dyDescent="0.25">
      <c r="A52" s="2207"/>
      <c r="B52" s="1521"/>
      <c r="C52" s="237" t="str">
        <f>OF!B117</f>
        <v>Nesting Waterbird Species of Conservation Concern (RareWBN)</v>
      </c>
      <c r="D52" s="1081">
        <f>OF!D118</f>
        <v>0</v>
      </c>
      <c r="E52" s="45">
        <v>1</v>
      </c>
      <c r="F52" s="59">
        <f t="shared" si="1"/>
        <v>0</v>
      </c>
      <c r="G52" s="1389"/>
      <c r="H52" s="1582"/>
    </row>
    <row r="53" spans="1:8" ht="16.2" customHeight="1" x14ac:dyDescent="0.25">
      <c r="A53" s="2207"/>
      <c r="B53" s="1521"/>
      <c r="C53" s="237" t="str">
        <f>OF!B122</f>
        <v>Songbird, Raptor, Mammal Species of Conservation Concern (RareSBM)</v>
      </c>
      <c r="D53" s="1081">
        <f>OF!D123</f>
        <v>0</v>
      </c>
      <c r="E53" s="45">
        <v>1</v>
      </c>
      <c r="F53" s="59">
        <f t="shared" si="1"/>
        <v>0</v>
      </c>
      <c r="G53" s="793"/>
      <c r="H53" s="1582"/>
    </row>
    <row r="54" spans="1:8" ht="16.2" customHeight="1" x14ac:dyDescent="0.25">
      <c r="A54" s="2207"/>
      <c r="B54" s="1521"/>
      <c r="C54" s="1363" t="str">
        <f>OF!B127</f>
        <v>Invertebrate Species of Conservation Concern (RareInvert)</v>
      </c>
      <c r="D54" s="1359">
        <f>OF!D128</f>
        <v>0</v>
      </c>
      <c r="E54" s="45">
        <v>1</v>
      </c>
      <c r="F54" s="59">
        <f t="shared" si="1"/>
        <v>0</v>
      </c>
      <c r="G54" s="793"/>
      <c r="H54" s="1582"/>
    </row>
    <row r="55" spans="1:8" ht="16.2" customHeight="1" thickBot="1" x14ac:dyDescent="0.3">
      <c r="A55" s="2208"/>
      <c r="B55" s="1523"/>
      <c r="C55" s="212" t="str">
        <f>OF!B131</f>
        <v>Plant Species of Conservation Concern (RarePspp)</v>
      </c>
      <c r="D55" s="213">
        <f>OF!D132</f>
        <v>0</v>
      </c>
      <c r="E55" s="54">
        <v>1</v>
      </c>
      <c r="F55" s="58">
        <f t="shared" si="1"/>
        <v>0</v>
      </c>
      <c r="G55" s="909"/>
      <c r="H55" s="1600"/>
    </row>
    <row r="56" spans="1:8" s="361" customFormat="1" ht="36" customHeight="1" thickBot="1" x14ac:dyDescent="0.3">
      <c r="A56" s="374" t="s">
        <v>126</v>
      </c>
      <c r="B56" s="374" t="s">
        <v>1468</v>
      </c>
      <c r="C56" s="374" t="s">
        <v>1271</v>
      </c>
      <c r="D56" s="374" t="s">
        <v>115</v>
      </c>
      <c r="E56" s="374" t="s">
        <v>771</v>
      </c>
      <c r="F56" s="374" t="s">
        <v>1475</v>
      </c>
      <c r="G56" s="374" t="s">
        <v>1273</v>
      </c>
      <c r="H56" s="374" t="s">
        <v>148</v>
      </c>
    </row>
    <row r="57" spans="1:8" ht="24" customHeight="1" thickBot="1" x14ac:dyDescent="0.3">
      <c r="A57" s="1923" t="str">
        <f>T!A135</f>
        <v>T24</v>
      </c>
      <c r="B57" s="1521" t="str">
        <f>T!B135</f>
        <v>Invasive or Non-native - % of Herbaceous Area (InvasT)</v>
      </c>
      <c r="C57" s="714" t="str">
        <f>T!C135</f>
        <v>The maximum annual areal cover of herbaceous plants is:</v>
      </c>
      <c r="D57" s="1251"/>
      <c r="E57" s="1458"/>
      <c r="F57" s="1458"/>
      <c r="G57" s="1459">
        <f>MAX(F58:F61)/MAX(E58:E61)</f>
        <v>0</v>
      </c>
      <c r="H57" s="1521" t="s">
        <v>835</v>
      </c>
    </row>
    <row r="58" spans="1:8" ht="26.25" customHeight="1" x14ac:dyDescent="0.25">
      <c r="A58" s="1923"/>
      <c r="B58" s="1521"/>
      <c r="C58" s="236" t="str">
        <f>T!C136</f>
        <v xml:space="preserve">Mostly (&gt;50% cover) non-native species AND &gt;10% of the herbaceous cover is invasive species.   </v>
      </c>
      <c r="D58" s="44">
        <f>T!D136</f>
        <v>0</v>
      </c>
      <c r="E58" s="59">
        <v>0</v>
      </c>
      <c r="F58" s="59">
        <f>D58*E58</f>
        <v>0</v>
      </c>
      <c r="G58" s="792"/>
      <c r="H58" s="1521"/>
    </row>
    <row r="59" spans="1:8" ht="29.25" customHeight="1" x14ac:dyDescent="0.25">
      <c r="A59" s="1923"/>
      <c r="B59" s="1521"/>
      <c r="C59" s="237" t="str">
        <f>T!C137</f>
        <v>Mostly (&gt;50% cover) non-native species AND &lt;10% of the herbaceous cover is invasive species.</v>
      </c>
      <c r="D59" s="44">
        <f>T!D137</f>
        <v>0</v>
      </c>
      <c r="E59" s="59">
        <v>1</v>
      </c>
      <c r="F59" s="59">
        <f>D59*E59</f>
        <v>0</v>
      </c>
      <c r="G59" s="793"/>
      <c r="H59" s="1521"/>
    </row>
    <row r="60" spans="1:8" ht="16.2" customHeight="1" x14ac:dyDescent="0.25">
      <c r="A60" s="1923"/>
      <c r="B60" s="1521"/>
      <c r="C60" s="237" t="str">
        <f>T!C138</f>
        <v>Mostly (50-80% cover) native species.</v>
      </c>
      <c r="D60" s="44">
        <f>T!D138</f>
        <v>0</v>
      </c>
      <c r="E60" s="59">
        <v>2</v>
      </c>
      <c r="F60" s="59">
        <f>D60*E60</f>
        <v>0</v>
      </c>
      <c r="G60" s="793"/>
      <c r="H60" s="1521"/>
    </row>
    <row r="61" spans="1:8" ht="16.2" customHeight="1" thickBot="1" x14ac:dyDescent="0.3">
      <c r="A61" s="1924"/>
      <c r="B61" s="1521"/>
      <c r="C61" s="1275" t="str">
        <f>T!C139</f>
        <v>Overwhelmingly (&gt;80% cover) native species.</v>
      </c>
      <c r="D61" s="17">
        <f>T!D139</f>
        <v>0</v>
      </c>
      <c r="E61" s="58">
        <v>3</v>
      </c>
      <c r="F61" s="58">
        <f>D61*E61</f>
        <v>0</v>
      </c>
      <c r="G61" s="800"/>
      <c r="H61" s="1521"/>
    </row>
    <row r="62" spans="1:8" ht="45" customHeight="1" thickBot="1" x14ac:dyDescent="0.3">
      <c r="A62" s="1922" t="str">
        <f>T!A174</f>
        <v>T31</v>
      </c>
      <c r="B62" s="1522" t="str">
        <f>T!B174</f>
        <v>Mowing or Grazing (VegCutT)</v>
      </c>
      <c r="C62" s="4" t="str">
        <f>T!C174</f>
        <v>There is evidence that grazing by domestic or wild animals -- or mowing (multiple times per year), plowing, herbicides, or harvesting -- has repeatedly reduced the AA's vegetation cover (plants that normally grows taller than 4 inches) to less than 4" over the following extent:</v>
      </c>
      <c r="D62" s="1460"/>
      <c r="E62" s="241"/>
      <c r="F62" s="1461"/>
      <c r="G62" s="1462">
        <f>MAX(F63:F67)/MAX(E63:E67)</f>
        <v>0</v>
      </c>
      <c r="H62" s="1522" t="s">
        <v>749</v>
      </c>
    </row>
    <row r="63" spans="1:8" ht="16.2" customHeight="1" x14ac:dyDescent="0.25">
      <c r="A63" s="1923"/>
      <c r="B63" s="1521"/>
      <c r="C63" s="236" t="str">
        <f>T!C175</f>
        <v>0% (such activities are absent).</v>
      </c>
      <c r="D63" s="44">
        <f>T!D175</f>
        <v>0</v>
      </c>
      <c r="E63" s="59">
        <v>3</v>
      </c>
      <c r="F63" s="59">
        <f>D63*E63</f>
        <v>0</v>
      </c>
      <c r="G63" s="792"/>
      <c r="H63" s="1521"/>
    </row>
    <row r="64" spans="1:8" ht="16.2" customHeight="1" x14ac:dyDescent="0.25">
      <c r="A64" s="1923"/>
      <c r="B64" s="1521"/>
      <c r="C64" s="237" t="str">
        <f>T!C176</f>
        <v>1 to &lt;5% of the AA (grazing or the other activities occur but vegetation height effects are mostly unnoticeable).</v>
      </c>
      <c r="D64" s="44">
        <f>T!D176</f>
        <v>0</v>
      </c>
      <c r="E64" s="59">
        <v>3</v>
      </c>
      <c r="F64" s="59">
        <f>D64*E64</f>
        <v>0</v>
      </c>
      <c r="G64" s="793"/>
      <c r="H64" s="1521"/>
    </row>
    <row r="65" spans="1:8" ht="16.2" customHeight="1" x14ac:dyDescent="0.25">
      <c r="A65" s="1923"/>
      <c r="B65" s="1521"/>
      <c r="C65" s="237" t="str">
        <f>T!C177</f>
        <v>5 to &lt;50%.</v>
      </c>
      <c r="D65" s="44">
        <f>T!D177</f>
        <v>0</v>
      </c>
      <c r="E65" s="59">
        <v>2</v>
      </c>
      <c r="F65" s="59">
        <f>D65*E65</f>
        <v>0</v>
      </c>
      <c r="G65" s="793"/>
      <c r="H65" s="1521"/>
    </row>
    <row r="66" spans="1:8" ht="16.2" customHeight="1" x14ac:dyDescent="0.25">
      <c r="A66" s="1923"/>
      <c r="B66" s="1521"/>
      <c r="C66" s="237" t="str">
        <f>T!C178</f>
        <v>50 to 95%.</v>
      </c>
      <c r="D66" s="44">
        <f>T!D178</f>
        <v>0</v>
      </c>
      <c r="E66" s="59">
        <v>1</v>
      </c>
      <c r="F66" s="59">
        <f>D66*E66</f>
        <v>0</v>
      </c>
      <c r="G66" s="793"/>
      <c r="H66" s="1521"/>
    </row>
    <row r="67" spans="1:8" ht="16.2" customHeight="1" thickBot="1" x14ac:dyDescent="0.3">
      <c r="A67" s="1924"/>
      <c r="B67" s="1523"/>
      <c r="C67" s="212" t="str">
        <f>T!C179</f>
        <v>&gt;95%.</v>
      </c>
      <c r="D67" s="198">
        <f>T!D179</f>
        <v>0</v>
      </c>
      <c r="E67" s="243">
        <v>0</v>
      </c>
      <c r="F67" s="243">
        <f>D67*E67</f>
        <v>0</v>
      </c>
      <c r="G67" s="909"/>
      <c r="H67" s="1523"/>
    </row>
    <row r="68" spans="1:8" ht="21" customHeight="1" thickBot="1" x14ac:dyDescent="0.3">
      <c r="G68" s="15"/>
    </row>
    <row r="69" spans="1:8" ht="33" customHeight="1" thickBot="1" x14ac:dyDescent="0.3">
      <c r="C69" s="1807" t="s">
        <v>598</v>
      </c>
      <c r="D69" s="1808"/>
      <c r="E69" s="1809"/>
      <c r="F69" s="1463" t="s">
        <v>1183</v>
      </c>
      <c r="G69" s="1464">
        <f>10*(IF((Tidal=1),AVERAGE(InvasT19,VegCutT19), AVERAGE(Invas19,Algae19,WidthWet19,SeasPct19,PestAnim19,VegCut19, RareOnsite19, HerbDom19,Gcover19,Girreg19)))</f>
        <v>2</v>
      </c>
      <c r="H69" s="251" t="s">
        <v>1979</v>
      </c>
    </row>
  </sheetData>
  <sheetProtection password="C74A" sheet="1" objects="1" scenarios="1" formatCells="0" formatColumns="0" formatRows="0"/>
  <customSheetViews>
    <customSheetView guid="{B8E02330-2419-4DE6-AD01-7ACC7A5D18DD}" scale="75">
      <pageMargins left="0.75" right="0.75" top="1" bottom="1" header="0.5" footer="0.5"/>
      <pageSetup orientation="portrait" horizontalDpi="300" verticalDpi="300" r:id="rId1"/>
      <headerFooter alignWithMargins="0"/>
    </customSheetView>
  </customSheetViews>
  <mergeCells count="36">
    <mergeCell ref="E1:H1"/>
    <mergeCell ref="A1:B1"/>
    <mergeCell ref="H3:H9"/>
    <mergeCell ref="H32:H37"/>
    <mergeCell ref="H27:H31"/>
    <mergeCell ref="A3:A9"/>
    <mergeCell ref="A32:A37"/>
    <mergeCell ref="H11:H16"/>
    <mergeCell ref="B11:B16"/>
    <mergeCell ref="B24:B26"/>
    <mergeCell ref="B3:B9"/>
    <mergeCell ref="H17:H23"/>
    <mergeCell ref="H24:H26"/>
    <mergeCell ref="A17:A23"/>
    <mergeCell ref="B17:B23"/>
    <mergeCell ref="B32:B37"/>
    <mergeCell ref="H62:H67"/>
    <mergeCell ref="H48:H55"/>
    <mergeCell ref="H44:H47"/>
    <mergeCell ref="A38:A43"/>
    <mergeCell ref="A62:A67"/>
    <mergeCell ref="A44:A47"/>
    <mergeCell ref="H38:H43"/>
    <mergeCell ref="H57:H61"/>
    <mergeCell ref="A57:A61"/>
    <mergeCell ref="B38:B43"/>
    <mergeCell ref="A11:A16"/>
    <mergeCell ref="C69:E69"/>
    <mergeCell ref="A48:A55"/>
    <mergeCell ref="B44:B47"/>
    <mergeCell ref="B48:B55"/>
    <mergeCell ref="B57:B61"/>
    <mergeCell ref="B62:B67"/>
    <mergeCell ref="B27:B31"/>
    <mergeCell ref="A24:A26"/>
    <mergeCell ref="A27:A31"/>
  </mergeCells>
  <phoneticPr fontId="3" type="noConversion"/>
  <pageMargins left="0.75" right="0.75" top="1" bottom="1" header="0.5" footer="0.5"/>
  <pageSetup orientation="portrait" horizontalDpi="300" verticalDpi="300"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5">
    <tabColor indexed="53"/>
  </sheetPr>
  <dimension ref="A1:H144"/>
  <sheetViews>
    <sheetView zoomScaleNormal="100" workbookViewId="0">
      <selection activeCell="H149" sqref="H149"/>
    </sheetView>
  </sheetViews>
  <sheetFormatPr defaultColWidth="9.33203125" defaultRowHeight="13.8" x14ac:dyDescent="0.25"/>
  <cols>
    <col min="1" max="1" width="5.77734375" style="11" customWidth="1"/>
    <col min="2" max="2" width="18.77734375" style="2" customWidth="1"/>
    <col min="3" max="3" width="75.77734375" style="2" customWidth="1"/>
    <col min="4" max="4" width="6.77734375" style="14" customWidth="1"/>
    <col min="5" max="5" width="8.77734375" style="14" customWidth="1"/>
    <col min="6" max="6" width="9.109375" style="14" customWidth="1"/>
    <col min="7" max="7" width="12.44140625" style="6" customWidth="1"/>
    <col min="8" max="8" width="75.77734375" style="2" customWidth="1"/>
    <col min="9" max="16384" width="9.33203125" style="2"/>
  </cols>
  <sheetData>
    <row r="1" spans="1:8" ht="54" customHeight="1" thickBot="1" x14ac:dyDescent="0.3">
      <c r="A1" s="1826" t="s">
        <v>1479</v>
      </c>
      <c r="B1" s="1827"/>
      <c r="C1" s="151" t="s">
        <v>597</v>
      </c>
      <c r="D1" s="240" t="s">
        <v>1184</v>
      </c>
      <c r="E1" s="1944"/>
      <c r="F1" s="1910"/>
      <c r="G1" s="1910"/>
      <c r="H1" s="2238"/>
    </row>
    <row r="2" spans="1:8" s="361" customFormat="1" ht="43.5" customHeight="1" thickBot="1" x14ac:dyDescent="0.3">
      <c r="A2" s="1465" t="s">
        <v>126</v>
      </c>
      <c r="B2" s="1466" t="s">
        <v>1522</v>
      </c>
      <c r="C2" s="1467" t="s">
        <v>1271</v>
      </c>
      <c r="D2" s="1466" t="s">
        <v>115</v>
      </c>
      <c r="E2" s="1468" t="s">
        <v>771</v>
      </c>
      <c r="F2" s="1466" t="s">
        <v>1398</v>
      </c>
      <c r="G2" s="1469" t="s">
        <v>1273</v>
      </c>
      <c r="H2" s="1466" t="s">
        <v>1981</v>
      </c>
    </row>
    <row r="3" spans="1:8" ht="30" customHeight="1" thickBot="1" x14ac:dyDescent="0.3">
      <c r="A3" s="2225" t="str">
        <f>OF!A4</f>
        <v>OF1</v>
      </c>
      <c r="B3" s="1522" t="str">
        <f>OF!B4</f>
        <v>Distance to Extensive Perennial Cover (DistPerCov)</v>
      </c>
      <c r="C3" s="114" t="str">
        <f>OF!C4</f>
        <v>The distance from the AA edge to the edge of the closest patch or corridor of perennial cover (see definition in column E) larger than 100 acres is:</v>
      </c>
      <c r="D3" s="210"/>
      <c r="E3" s="192"/>
      <c r="F3" s="192"/>
      <c r="G3" s="1470">
        <f>MAX(F4:F9)/MAX(E4:E9)</f>
        <v>0</v>
      </c>
      <c r="H3" s="2235"/>
    </row>
    <row r="4" spans="1:8" ht="16.2" customHeight="1" x14ac:dyDescent="0.25">
      <c r="A4" s="2226"/>
      <c r="B4" s="1521"/>
      <c r="C4" s="11" t="str">
        <f>OF!C5</f>
        <v>&lt;100 ft.</v>
      </c>
      <c r="D4" s="44">
        <f>OF!D5</f>
        <v>0</v>
      </c>
      <c r="E4" s="45">
        <v>0</v>
      </c>
      <c r="F4" s="45">
        <f t="shared" ref="F4:F9" si="0">D4*E4</f>
        <v>0</v>
      </c>
      <c r="G4" s="793"/>
      <c r="H4" s="2236"/>
    </row>
    <row r="5" spans="1:8" ht="16.2" customHeight="1" x14ac:dyDescent="0.25">
      <c r="A5" s="2226"/>
      <c r="B5" s="1521"/>
      <c r="C5" s="286" t="str">
        <f>OF!C6</f>
        <v>100 to &lt;300 ft.</v>
      </c>
      <c r="D5" s="44">
        <f>OF!D6</f>
        <v>0</v>
      </c>
      <c r="E5" s="45">
        <v>1</v>
      </c>
      <c r="F5" s="45">
        <f t="shared" si="0"/>
        <v>0</v>
      </c>
      <c r="G5" s="793"/>
      <c r="H5" s="2236"/>
    </row>
    <row r="6" spans="1:8" ht="16.2" customHeight="1" x14ac:dyDescent="0.25">
      <c r="A6" s="2226"/>
      <c r="B6" s="1521"/>
      <c r="C6" s="286" t="str">
        <f>OF!C7</f>
        <v>300 to &lt;1000 ft.</v>
      </c>
      <c r="D6" s="44">
        <f>OF!D7</f>
        <v>0</v>
      </c>
      <c r="E6" s="45">
        <v>2</v>
      </c>
      <c r="F6" s="45">
        <f t="shared" si="0"/>
        <v>0</v>
      </c>
      <c r="G6" s="793"/>
      <c r="H6" s="2236"/>
    </row>
    <row r="7" spans="1:8" ht="16.2" customHeight="1" x14ac:dyDescent="0.25">
      <c r="A7" s="2226"/>
      <c r="B7" s="1521"/>
      <c r="C7" s="286" t="str">
        <f>OF!C8</f>
        <v>1000 ft. to &lt;0.5 mile.</v>
      </c>
      <c r="D7" s="44">
        <f>OF!D8</f>
        <v>0</v>
      </c>
      <c r="E7" s="45">
        <v>3</v>
      </c>
      <c r="F7" s="45">
        <f t="shared" si="0"/>
        <v>0</v>
      </c>
      <c r="G7" s="793"/>
      <c r="H7" s="2236"/>
    </row>
    <row r="8" spans="1:8" ht="16.2" customHeight="1" x14ac:dyDescent="0.25">
      <c r="A8" s="2226"/>
      <c r="B8" s="1521"/>
      <c r="C8" s="286" t="str">
        <f>OF!C9</f>
        <v>0.5 mile to 2 miles.</v>
      </c>
      <c r="D8" s="44">
        <f>OF!D9</f>
        <v>0</v>
      </c>
      <c r="E8" s="45">
        <v>4</v>
      </c>
      <c r="F8" s="54">
        <f t="shared" si="0"/>
        <v>0</v>
      </c>
      <c r="G8" s="800"/>
      <c r="H8" s="2236"/>
    </row>
    <row r="9" spans="1:8" ht="16.2" customHeight="1" thickBot="1" x14ac:dyDescent="0.3">
      <c r="A9" s="2227"/>
      <c r="B9" s="1523"/>
      <c r="C9" s="443" t="str">
        <f>OF!C10</f>
        <v>&gt; 2 miles.</v>
      </c>
      <c r="D9" s="17">
        <f>OF!D10</f>
        <v>0</v>
      </c>
      <c r="E9" s="193">
        <v>5</v>
      </c>
      <c r="F9" s="193">
        <f t="shared" si="0"/>
        <v>0</v>
      </c>
      <c r="G9" s="794"/>
      <c r="H9" s="2237"/>
    </row>
    <row r="10" spans="1:8" ht="30" customHeight="1" thickBot="1" x14ac:dyDescent="0.3">
      <c r="A10" s="2226" t="str">
        <f>OF!A33</f>
        <v>OF6</v>
      </c>
      <c r="B10" s="1521" t="str">
        <f>OF!B33</f>
        <v>Distance to Nearest Busy Road (DistRd)</v>
      </c>
      <c r="C10" s="244" t="str">
        <f>OF!C33</f>
        <v>The distance from the AA center to the nearest road with an average daytime traffic rate of at least 1 vehicle/ minute is:</v>
      </c>
      <c r="D10" s="192"/>
      <c r="E10" s="46"/>
      <c r="F10" s="46"/>
      <c r="G10" s="1471">
        <f>MAX(F11:F16)/MAX(E11:E16)</f>
        <v>0</v>
      </c>
      <c r="H10" s="2235"/>
    </row>
    <row r="11" spans="1:8" ht="16.2" customHeight="1" x14ac:dyDescent="0.25">
      <c r="A11" s="2226"/>
      <c r="B11" s="1521"/>
      <c r="C11" s="2" t="str">
        <f>OF!C34</f>
        <v>&lt;100 ft.</v>
      </c>
      <c r="D11" s="44">
        <f>OF!D34</f>
        <v>0</v>
      </c>
      <c r="E11" s="45">
        <v>5</v>
      </c>
      <c r="F11" s="54">
        <f t="shared" ref="F11:F16" si="1">D11*E11</f>
        <v>0</v>
      </c>
      <c r="G11" s="792"/>
      <c r="H11" s="2236"/>
    </row>
    <row r="12" spans="1:8" ht="16.2" customHeight="1" x14ac:dyDescent="0.25">
      <c r="A12" s="2226"/>
      <c r="B12" s="1521"/>
      <c r="C12" s="95" t="str">
        <f>OF!C35</f>
        <v>100 to &lt;300 ft.</v>
      </c>
      <c r="D12" s="44">
        <f>OF!D35</f>
        <v>0</v>
      </c>
      <c r="E12" s="45">
        <v>4</v>
      </c>
      <c r="F12" s="54">
        <f t="shared" si="1"/>
        <v>0</v>
      </c>
      <c r="G12" s="792"/>
      <c r="H12" s="2236"/>
    </row>
    <row r="13" spans="1:8" ht="16.2" customHeight="1" x14ac:dyDescent="0.25">
      <c r="A13" s="2226"/>
      <c r="B13" s="1521"/>
      <c r="C13" s="95" t="str">
        <f>OF!C36</f>
        <v>300 to &lt; 0.5 mile.</v>
      </c>
      <c r="D13" s="44">
        <f>OF!D36</f>
        <v>0</v>
      </c>
      <c r="E13" s="45">
        <v>3</v>
      </c>
      <c r="F13" s="54">
        <f t="shared" si="1"/>
        <v>0</v>
      </c>
      <c r="G13" s="793"/>
      <c r="H13" s="2236"/>
    </row>
    <row r="14" spans="1:8" ht="16.2" customHeight="1" x14ac:dyDescent="0.25">
      <c r="A14" s="2226"/>
      <c r="B14" s="1521"/>
      <c r="C14" s="95" t="str">
        <f>OF!C37</f>
        <v>0.5 to &lt;1 miles.</v>
      </c>
      <c r="D14" s="44">
        <f>OF!D37</f>
        <v>0</v>
      </c>
      <c r="E14" s="45">
        <v>2</v>
      </c>
      <c r="F14" s="54">
        <f t="shared" si="1"/>
        <v>0</v>
      </c>
      <c r="G14" s="793"/>
      <c r="H14" s="2236"/>
    </row>
    <row r="15" spans="1:8" ht="16.2" customHeight="1" x14ac:dyDescent="0.25">
      <c r="A15" s="2226"/>
      <c r="B15" s="1521"/>
      <c r="C15" s="95" t="str">
        <f>OF!C38</f>
        <v>1 to 2 miles.</v>
      </c>
      <c r="D15" s="44">
        <f>OF!D38</f>
        <v>0</v>
      </c>
      <c r="E15" s="45">
        <v>1</v>
      </c>
      <c r="F15" s="54">
        <f t="shared" si="1"/>
        <v>0</v>
      </c>
      <c r="G15" s="793"/>
      <c r="H15" s="2236"/>
    </row>
    <row r="16" spans="1:8" ht="16.2" customHeight="1" thickBot="1" x14ac:dyDescent="0.3">
      <c r="A16" s="2226"/>
      <c r="B16" s="1521"/>
      <c r="C16" s="95" t="str">
        <f>OF!C39</f>
        <v>&gt;2 miles.</v>
      </c>
      <c r="D16" s="17">
        <f>OF!D39</f>
        <v>0</v>
      </c>
      <c r="E16" s="54">
        <v>0</v>
      </c>
      <c r="F16" s="54">
        <f t="shared" si="1"/>
        <v>0</v>
      </c>
      <c r="G16" s="800"/>
      <c r="H16" s="2237"/>
    </row>
    <row r="17" spans="1:8" ht="30" customHeight="1" thickBot="1" x14ac:dyDescent="0.3">
      <c r="A17" s="2225" t="str">
        <f>OF!A40</f>
        <v>OF7</v>
      </c>
      <c r="B17" s="1522" t="str">
        <f>OF!B40</f>
        <v>Size of Largest Nearby Patch of Perennial Cover (SizePerenn)</v>
      </c>
      <c r="C17" s="4" t="str">
        <f>OF!C40</f>
        <v>Including the AA's vegetated area, the largest patch or corridor that is perennial cover and is contiguous with vegetation in the AA , occupies:</v>
      </c>
      <c r="D17" s="210"/>
      <c r="E17" s="192"/>
      <c r="F17" s="241"/>
      <c r="G17" s="1470">
        <f>MAX(F18:F24)/MAX(E18:E24)</f>
        <v>0</v>
      </c>
      <c r="H17" s="2235"/>
    </row>
    <row r="18" spans="1:8" ht="16.2" customHeight="1" x14ac:dyDescent="0.25">
      <c r="A18" s="2226"/>
      <c r="B18" s="1521"/>
      <c r="C18" s="2" t="str">
        <f>OF!C41</f>
        <v>&lt;.01 acre.</v>
      </c>
      <c r="D18" s="44">
        <f>OF!D41</f>
        <v>0</v>
      </c>
      <c r="E18" s="45">
        <v>6</v>
      </c>
      <c r="F18" s="45">
        <f t="shared" ref="F18:F24" si="2">D18*E18</f>
        <v>0</v>
      </c>
      <c r="G18" s="867"/>
      <c r="H18" s="2236"/>
    </row>
    <row r="19" spans="1:8" ht="16.2" customHeight="1" x14ac:dyDescent="0.25">
      <c r="A19" s="2226"/>
      <c r="B19" s="1521"/>
      <c r="C19" s="95" t="str">
        <f>OF!C42</f>
        <v>.01 to &lt; 1 acre.</v>
      </c>
      <c r="D19" s="44">
        <f>OF!D42</f>
        <v>0</v>
      </c>
      <c r="E19" s="45">
        <v>5</v>
      </c>
      <c r="F19" s="45">
        <f t="shared" si="2"/>
        <v>0</v>
      </c>
      <c r="G19" s="872"/>
      <c r="H19" s="2236"/>
    </row>
    <row r="20" spans="1:8" ht="16.2" customHeight="1" x14ac:dyDescent="0.25">
      <c r="A20" s="2226"/>
      <c r="B20" s="1521"/>
      <c r="C20" s="95" t="str">
        <f>OF!C43</f>
        <v>1 to &lt;10 acres.</v>
      </c>
      <c r="D20" s="44">
        <f>OF!D43</f>
        <v>0</v>
      </c>
      <c r="E20" s="45">
        <v>4</v>
      </c>
      <c r="F20" s="45">
        <f t="shared" si="2"/>
        <v>0</v>
      </c>
      <c r="G20" s="872"/>
      <c r="H20" s="2236"/>
    </row>
    <row r="21" spans="1:8" ht="16.2" customHeight="1" x14ac:dyDescent="0.25">
      <c r="A21" s="2226"/>
      <c r="B21" s="1521"/>
      <c r="C21" s="95" t="str">
        <f>OF!C44</f>
        <v>10 to &lt;100 acres.</v>
      </c>
      <c r="D21" s="44">
        <f>OF!D44</f>
        <v>0</v>
      </c>
      <c r="E21" s="45">
        <v>3</v>
      </c>
      <c r="F21" s="45">
        <f t="shared" si="2"/>
        <v>0</v>
      </c>
      <c r="G21" s="872"/>
      <c r="H21" s="2236"/>
    </row>
    <row r="22" spans="1:8" ht="16.2" customHeight="1" x14ac:dyDescent="0.25">
      <c r="A22" s="2226"/>
      <c r="B22" s="1521"/>
      <c r="C22" s="95" t="str">
        <f>OF!C45</f>
        <v>100 to &lt;1000 acres.</v>
      </c>
      <c r="D22" s="44">
        <f>OF!D45</f>
        <v>0</v>
      </c>
      <c r="E22" s="45">
        <v>2</v>
      </c>
      <c r="F22" s="45">
        <f t="shared" si="2"/>
        <v>0</v>
      </c>
      <c r="G22" s="876"/>
      <c r="H22" s="2236"/>
    </row>
    <row r="23" spans="1:8" ht="16.2" customHeight="1" x14ac:dyDescent="0.25">
      <c r="A23" s="2226"/>
      <c r="B23" s="1521"/>
      <c r="C23" s="95" t="str">
        <f>OF!C46</f>
        <v>1000 to 10,000 acres.</v>
      </c>
      <c r="D23" s="44">
        <f>OF!D46</f>
        <v>0</v>
      </c>
      <c r="E23" s="45">
        <v>1</v>
      </c>
      <c r="F23" s="45">
        <f t="shared" si="2"/>
        <v>0</v>
      </c>
      <c r="G23" s="876"/>
      <c r="H23" s="2236"/>
    </row>
    <row r="24" spans="1:8" ht="16.2" customHeight="1" thickBot="1" x14ac:dyDescent="0.3">
      <c r="A24" s="2227"/>
      <c r="B24" s="1523"/>
      <c r="C24" s="254" t="str">
        <f>OF!C47</f>
        <v>&gt;10,000 acres.</v>
      </c>
      <c r="D24" s="17">
        <f>OF!D47</f>
        <v>0</v>
      </c>
      <c r="E24" s="193">
        <v>0</v>
      </c>
      <c r="F24" s="193">
        <f t="shared" si="2"/>
        <v>0</v>
      </c>
      <c r="G24" s="874"/>
      <c r="H24" s="2237"/>
    </row>
    <row r="25" spans="1:8" ht="30" customHeight="1" thickBot="1" x14ac:dyDescent="0.3">
      <c r="A25" s="2226" t="str">
        <f>OF!A53</f>
        <v>OF9</v>
      </c>
      <c r="B25" s="1521" t="str">
        <f>OF!B53</f>
        <v>Perennial Cover Percentage (PerCovPct)</v>
      </c>
      <c r="C25" s="438" t="str">
        <f>OF!C53</f>
        <v>Within a 2-mile radius of the AA center, the percentage of land that has perennial cover is:</v>
      </c>
      <c r="D25" s="549"/>
      <c r="E25" s="46"/>
      <c r="F25" s="46"/>
      <c r="G25" s="1471">
        <f>MAX(F26:F30)/MAX(E26:E30)</f>
        <v>0</v>
      </c>
      <c r="H25" s="2235"/>
    </row>
    <row r="26" spans="1:8" ht="16.2" customHeight="1" x14ac:dyDescent="0.25">
      <c r="A26" s="2226"/>
      <c r="B26" s="1521"/>
      <c r="C26" s="11" t="str">
        <f>OF!C54</f>
        <v>&lt;5% of the land.</v>
      </c>
      <c r="D26" s="44">
        <f>OF!D54</f>
        <v>0</v>
      </c>
      <c r="E26" s="45">
        <v>5</v>
      </c>
      <c r="F26" s="45">
        <f t="shared" ref="F26:F46" si="3">D26*E26</f>
        <v>0</v>
      </c>
      <c r="G26" s="872"/>
      <c r="H26" s="2236"/>
    </row>
    <row r="27" spans="1:8" ht="16.2" customHeight="1" x14ac:dyDescent="0.25">
      <c r="A27" s="2226"/>
      <c r="B27" s="1521"/>
      <c r="C27" s="286" t="str">
        <f>OF!C55</f>
        <v>5 to &lt;20% of the land.</v>
      </c>
      <c r="D27" s="44">
        <f>OF!D55</f>
        <v>0</v>
      </c>
      <c r="E27" s="45">
        <v>3</v>
      </c>
      <c r="F27" s="45">
        <f t="shared" si="3"/>
        <v>0</v>
      </c>
      <c r="G27" s="872"/>
      <c r="H27" s="2236"/>
    </row>
    <row r="28" spans="1:8" ht="16.2" customHeight="1" x14ac:dyDescent="0.25">
      <c r="A28" s="2226"/>
      <c r="B28" s="1521"/>
      <c r="C28" s="286" t="str">
        <f>OF!C56</f>
        <v>20 to &lt;60% of the land.</v>
      </c>
      <c r="D28" s="44">
        <f>OF!D56</f>
        <v>0</v>
      </c>
      <c r="E28" s="45">
        <v>2</v>
      </c>
      <c r="F28" s="45">
        <f t="shared" si="3"/>
        <v>0</v>
      </c>
      <c r="G28" s="872"/>
      <c r="H28" s="2236"/>
    </row>
    <row r="29" spans="1:8" ht="16.2" customHeight="1" x14ac:dyDescent="0.25">
      <c r="A29" s="2226"/>
      <c r="B29" s="1521"/>
      <c r="C29" s="286" t="str">
        <f>OF!C57</f>
        <v>60 to 90% of the land.</v>
      </c>
      <c r="D29" s="44">
        <f>OF!D57</f>
        <v>0</v>
      </c>
      <c r="E29" s="45">
        <v>1</v>
      </c>
      <c r="F29" s="45">
        <f t="shared" si="3"/>
        <v>0</v>
      </c>
      <c r="G29" s="872"/>
      <c r="H29" s="2236"/>
    </row>
    <row r="30" spans="1:8" ht="16.2" customHeight="1" thickBot="1" x14ac:dyDescent="0.3">
      <c r="A30" s="2226"/>
      <c r="B30" s="1521"/>
      <c r="C30" s="286" t="str">
        <f>OF!C58</f>
        <v>&gt;90% of the land.</v>
      </c>
      <c r="D30" s="17">
        <f>OF!D58</f>
        <v>0</v>
      </c>
      <c r="E30" s="54">
        <v>0</v>
      </c>
      <c r="F30" s="54">
        <f t="shared" si="3"/>
        <v>0</v>
      </c>
      <c r="G30" s="876"/>
      <c r="H30" s="2237"/>
    </row>
    <row r="31" spans="1:8" ht="30" customHeight="1" thickBot="1" x14ac:dyDescent="0.3">
      <c r="A31" s="2225" t="str">
        <f>OF!A59</f>
        <v>OF10</v>
      </c>
      <c r="B31" s="1522" t="str">
        <f>OF!B59</f>
        <v>Forest Percentage (ForestPct)</v>
      </c>
      <c r="C31" s="836" t="str">
        <f>OF!C59</f>
        <v>Within a 2-mile radius of the AA center, the cumulative amount of forest (regardless of forest patch sizes, and including any in the AA) is:</v>
      </c>
      <c r="D31" s="549"/>
      <c r="E31" s="192"/>
      <c r="F31" s="192"/>
      <c r="G31" s="1470">
        <f>IF((HistOpenland=1),"",MAX(F32:F36)/MAX(E32:E36))</f>
        <v>0</v>
      </c>
      <c r="H31" s="2235"/>
    </row>
    <row r="32" spans="1:8" ht="16.2" customHeight="1" x14ac:dyDescent="0.25">
      <c r="A32" s="2226"/>
      <c r="B32" s="1521"/>
      <c r="C32" s="449" t="str">
        <f>OF!C60</f>
        <v>&lt;5% of the circle.</v>
      </c>
      <c r="D32" s="44">
        <f>OF!D60</f>
        <v>0</v>
      </c>
      <c r="E32" s="45">
        <v>5</v>
      </c>
      <c r="F32" s="45">
        <f t="shared" si="3"/>
        <v>0</v>
      </c>
      <c r="G32" s="872"/>
      <c r="H32" s="2236"/>
    </row>
    <row r="33" spans="1:8" ht="16.2" customHeight="1" x14ac:dyDescent="0.25">
      <c r="A33" s="2226"/>
      <c r="B33" s="1521"/>
      <c r="C33" s="450" t="str">
        <f>OF!C61</f>
        <v>5 to &lt;20%.</v>
      </c>
      <c r="D33" s="44">
        <f>OF!D61</f>
        <v>0</v>
      </c>
      <c r="E33" s="45">
        <v>3</v>
      </c>
      <c r="F33" s="45">
        <f t="shared" si="3"/>
        <v>0</v>
      </c>
      <c r="G33" s="872"/>
      <c r="H33" s="2236"/>
    </row>
    <row r="34" spans="1:8" ht="16.2" customHeight="1" x14ac:dyDescent="0.25">
      <c r="A34" s="2226"/>
      <c r="B34" s="1521"/>
      <c r="C34" s="450" t="str">
        <f>OF!C62</f>
        <v>20 to &lt;50%.</v>
      </c>
      <c r="D34" s="44">
        <f>OF!D62</f>
        <v>0</v>
      </c>
      <c r="E34" s="45">
        <v>2</v>
      </c>
      <c r="F34" s="45">
        <f t="shared" si="3"/>
        <v>0</v>
      </c>
      <c r="G34" s="872"/>
      <c r="H34" s="2236"/>
    </row>
    <row r="35" spans="1:8" ht="16.2" customHeight="1" x14ac:dyDescent="0.25">
      <c r="A35" s="2226"/>
      <c r="B35" s="1521"/>
      <c r="C35" s="450" t="str">
        <f>OF!C63</f>
        <v>50 to 80%.</v>
      </c>
      <c r="D35" s="44">
        <f>OF!D63</f>
        <v>0</v>
      </c>
      <c r="E35" s="45">
        <v>1</v>
      </c>
      <c r="F35" s="45">
        <f t="shared" si="3"/>
        <v>0</v>
      </c>
      <c r="G35" s="872"/>
      <c r="H35" s="2236"/>
    </row>
    <row r="36" spans="1:8" ht="16.2" customHeight="1" thickBot="1" x14ac:dyDescent="0.3">
      <c r="A36" s="2227"/>
      <c r="B36" s="1523"/>
      <c r="C36" s="443" t="str">
        <f>OF!C64</f>
        <v>&gt;80%.</v>
      </c>
      <c r="D36" s="17">
        <f>OF!D64</f>
        <v>0</v>
      </c>
      <c r="E36" s="193">
        <v>0</v>
      </c>
      <c r="F36" s="193">
        <f t="shared" si="3"/>
        <v>0</v>
      </c>
      <c r="G36" s="874"/>
      <c r="H36" s="2237"/>
    </row>
    <row r="37" spans="1:8" ht="21" customHeight="1" thickBot="1" x14ac:dyDescent="0.3">
      <c r="A37" s="2226" t="str">
        <f>OF!A71</f>
        <v>OF12</v>
      </c>
      <c r="B37" s="1521" t="str">
        <f>OF!B71</f>
        <v>Landscape Wetland Connectivity (ConnScapeW)</v>
      </c>
      <c r="C37" s="244" t="str">
        <f>OF!C71</f>
        <v xml:space="preserve">Within a 2-mile radius of the AA center: </v>
      </c>
      <c r="D37" s="549"/>
      <c r="E37" s="46"/>
      <c r="F37" s="46"/>
      <c r="G37" s="1471">
        <f>MAX(F38:F41)/MAX(E38:E41)</f>
        <v>0</v>
      </c>
      <c r="H37" s="2235"/>
    </row>
    <row r="38" spans="1:8" ht="16.2" customHeight="1" x14ac:dyDescent="0.25">
      <c r="A38" s="2226"/>
      <c r="B38" s="1521"/>
      <c r="C38" s="215" t="str">
        <f>OF!C72</f>
        <v>There are NO other wetlands.</v>
      </c>
      <c r="D38" s="44">
        <f>OF!D72</f>
        <v>0</v>
      </c>
      <c r="E38" s="45">
        <v>3</v>
      </c>
      <c r="F38" s="45">
        <f t="shared" si="3"/>
        <v>0</v>
      </c>
      <c r="G38" s="872"/>
      <c r="H38" s="2236"/>
    </row>
    <row r="39" spans="1:8" ht="42" customHeight="1" x14ac:dyDescent="0.25">
      <c r="A39" s="2226"/>
      <c r="B39" s="1521"/>
      <c r="C39" s="216" t="str">
        <f>OF!C73</f>
        <v>There are other wetlands (or a wetland), but NONE are connected to the AA by a corridor of perennial vegetation.  The corridor must be at least 150 ft wide along its entire length and not interrupted by roads with regular traffic.</v>
      </c>
      <c r="D39" s="44">
        <f>OF!D73</f>
        <v>0</v>
      </c>
      <c r="E39" s="45">
        <v>2</v>
      </c>
      <c r="F39" s="45">
        <f t="shared" si="3"/>
        <v>0</v>
      </c>
      <c r="G39" s="872"/>
      <c r="H39" s="2236"/>
    </row>
    <row r="40" spans="1:8" ht="29.25" customHeight="1" x14ac:dyDescent="0.25">
      <c r="A40" s="2226"/>
      <c r="B40" s="1521"/>
      <c r="C40" s="216" t="str">
        <f>OF!C74</f>
        <v>There are other wetlands (or a wetland), and ALL are connected to the AA by the type of corridor described.</v>
      </c>
      <c r="D40" s="44">
        <f>OF!D74</f>
        <v>0</v>
      </c>
      <c r="E40" s="45">
        <v>0</v>
      </c>
      <c r="F40" s="45">
        <f t="shared" si="3"/>
        <v>0</v>
      </c>
      <c r="G40" s="872"/>
      <c r="H40" s="2236"/>
    </row>
    <row r="41" spans="1:8" ht="27" customHeight="1" thickBot="1" x14ac:dyDescent="0.3">
      <c r="A41" s="2226"/>
      <c r="B41" s="1521"/>
      <c r="C41" s="95" t="str">
        <f>OF!C75</f>
        <v>There are other wetlands (or a wetland), and ONE or MORE (but not all) are connected to the AA by the type of corridor described.</v>
      </c>
      <c r="D41" s="198">
        <f>OF!D75</f>
        <v>0</v>
      </c>
      <c r="E41" s="54">
        <v>1</v>
      </c>
      <c r="F41" s="54">
        <f t="shared" si="3"/>
        <v>0</v>
      </c>
      <c r="G41" s="876"/>
      <c r="H41" s="2237"/>
    </row>
    <row r="42" spans="1:8" ht="21" customHeight="1" thickBot="1" x14ac:dyDescent="0.3">
      <c r="A42" s="2225" t="str">
        <f>OF!A76</f>
        <v>OF13</v>
      </c>
      <c r="B42" s="1522" t="str">
        <f>OF!B76</f>
        <v>Local Wetland Connectivity (ConnLocalW)</v>
      </c>
      <c r="C42" s="75" t="str">
        <f>OF!C76</f>
        <v>Within a 0.5 mile radius of the AA center:</v>
      </c>
      <c r="D42" s="549"/>
      <c r="E42" s="192"/>
      <c r="F42" s="192"/>
      <c r="G42" s="1470">
        <f>MAX(F43:F46)/MAX(E43:E46)</f>
        <v>0</v>
      </c>
      <c r="H42" s="2235"/>
    </row>
    <row r="43" spans="1:8" ht="16.2" customHeight="1" x14ac:dyDescent="0.25">
      <c r="A43" s="2226"/>
      <c r="B43" s="1521"/>
      <c r="C43" s="215" t="str">
        <f>OF!C77</f>
        <v>There are NO other wetlands.</v>
      </c>
      <c r="D43" s="44">
        <f>OF!D77</f>
        <v>0</v>
      </c>
      <c r="E43" s="45">
        <v>3</v>
      </c>
      <c r="F43" s="45">
        <f t="shared" si="3"/>
        <v>0</v>
      </c>
      <c r="G43" s="872"/>
      <c r="H43" s="2236"/>
    </row>
    <row r="44" spans="1:8" ht="42" customHeight="1" x14ac:dyDescent="0.25">
      <c r="A44" s="2226"/>
      <c r="B44" s="1521"/>
      <c r="C44" s="216" t="str">
        <f>OF!C78</f>
        <v>There are other wetlands (or a wetland), but NONE are connected to the AA by a corridor of perennial vegetation.  The corridor must be at least 150 ft wide along its entire length and not interrupted by roads with regular traffic.</v>
      </c>
      <c r="D44" s="44">
        <f>OF!D78</f>
        <v>0</v>
      </c>
      <c r="E44" s="45">
        <v>2</v>
      </c>
      <c r="F44" s="45">
        <f t="shared" si="3"/>
        <v>0</v>
      </c>
      <c r="G44" s="872"/>
      <c r="H44" s="2236"/>
    </row>
    <row r="45" spans="1:8" ht="28.5" customHeight="1" x14ac:dyDescent="0.25">
      <c r="A45" s="2226"/>
      <c r="B45" s="1521"/>
      <c r="C45" s="216" t="str">
        <f>OF!C79</f>
        <v>There are other wetlands (or a wetland), and ALL are connected to the AA by the type of corridor described.</v>
      </c>
      <c r="D45" s="44">
        <f>OF!D79</f>
        <v>0</v>
      </c>
      <c r="E45" s="45">
        <v>0</v>
      </c>
      <c r="F45" s="45">
        <f t="shared" si="3"/>
        <v>0</v>
      </c>
      <c r="G45" s="872"/>
      <c r="H45" s="2236"/>
    </row>
    <row r="46" spans="1:8" ht="27" customHeight="1" thickBot="1" x14ac:dyDescent="0.3">
      <c r="A46" s="2227"/>
      <c r="B46" s="1523"/>
      <c r="C46" s="254" t="str">
        <f>OF!C80</f>
        <v>There are other wetlands (or a wetland), and ONE or MORE (but not all) are connected to the AA by the type of corridor described.</v>
      </c>
      <c r="D46" s="198">
        <f>OF!D80</f>
        <v>0</v>
      </c>
      <c r="E46" s="193">
        <v>1</v>
      </c>
      <c r="F46" s="193">
        <f t="shared" si="3"/>
        <v>0</v>
      </c>
      <c r="G46" s="874"/>
      <c r="H46" s="2237"/>
    </row>
    <row r="47" spans="1:8" ht="75" customHeight="1" thickBot="1" x14ac:dyDescent="0.3">
      <c r="A47" s="2226" t="str">
        <f>OF!A152</f>
        <v>OF28</v>
      </c>
      <c r="B47" s="1521" t="str">
        <f>OF!B152</f>
        <v>Input Water - Recognized Quality Issues (WQin)</v>
      </c>
      <c r="C47" s="114"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47" s="65"/>
      <c r="E47" s="46"/>
      <c r="F47" s="60"/>
      <c r="G47" s="1471">
        <f>IF((OF!D159=1),"",(MAX(D48:D52)+(SUM(D48:D52)/5))/2)</f>
        <v>0</v>
      </c>
      <c r="H47" s="2235"/>
    </row>
    <row r="48" spans="1:8" ht="16.2" customHeight="1" x14ac:dyDescent="0.25">
      <c r="A48" s="2226"/>
      <c r="B48" s="1521"/>
      <c r="C48" s="11" t="str">
        <f>OF!C153</f>
        <v>Total suspended solids (TSS), sedimentation, or turbidity.</v>
      </c>
      <c r="D48" s="44">
        <f>OF!D153</f>
        <v>0</v>
      </c>
      <c r="E48" s="49"/>
      <c r="F48" s="59"/>
      <c r="G48" s="792"/>
      <c r="H48" s="2236"/>
    </row>
    <row r="49" spans="1:8" ht="16.2" customHeight="1" x14ac:dyDescent="0.25">
      <c r="A49" s="2226"/>
      <c r="B49" s="1521"/>
      <c r="C49" s="286" t="str">
        <f>OF!C154</f>
        <v>Phosphorus, chlorophyll-a, or algae.</v>
      </c>
      <c r="D49" s="44">
        <f>OF!D154</f>
        <v>0</v>
      </c>
      <c r="E49" s="45"/>
      <c r="F49" s="59"/>
      <c r="G49" s="793"/>
      <c r="H49" s="2236"/>
    </row>
    <row r="50" spans="1:8" ht="16.2" customHeight="1" x14ac:dyDescent="0.25">
      <c r="A50" s="2226"/>
      <c r="B50" s="1521"/>
      <c r="C50" s="286" t="str">
        <f>OF!C155</f>
        <v>Nitrates, ammonia, chlorophyll-a, or algae.</v>
      </c>
      <c r="D50" s="44">
        <f>OF!D155</f>
        <v>0</v>
      </c>
      <c r="E50" s="45"/>
      <c r="F50" s="59"/>
      <c r="G50" s="793"/>
      <c r="H50" s="2236"/>
    </row>
    <row r="51" spans="1:8" ht="16.2" customHeight="1" x14ac:dyDescent="0.25">
      <c r="A51" s="2226"/>
      <c r="B51" s="1521"/>
      <c r="C51" s="286" t="str">
        <f>OF!C156</f>
        <v>Petrochemicals, heavy metals (iron, manganese, lead, zinc, etc.), other toxins.</v>
      </c>
      <c r="D51" s="44">
        <f>OF!D156</f>
        <v>0</v>
      </c>
      <c r="E51" s="45"/>
      <c r="F51" s="59"/>
      <c r="G51" s="793"/>
      <c r="H51" s="2236"/>
    </row>
    <row r="52" spans="1:8" ht="16.2" customHeight="1" thickBot="1" x14ac:dyDescent="0.3">
      <c r="A52" s="2226"/>
      <c r="B52" s="1521"/>
      <c r="C52" s="286" t="str">
        <f>OF!C157</f>
        <v>Temperature or dissolved oxygen.</v>
      </c>
      <c r="D52" s="198">
        <f>OF!D157</f>
        <v>0</v>
      </c>
      <c r="E52" s="54"/>
      <c r="F52" s="54"/>
      <c r="G52" s="800"/>
      <c r="H52" s="2237"/>
    </row>
    <row r="53" spans="1:8" ht="21" customHeight="1" thickBot="1" x14ac:dyDescent="0.3">
      <c r="A53" s="2225" t="str">
        <f>OF!A159</f>
        <v>OF29</v>
      </c>
      <c r="B53" s="1522" t="str">
        <f>OF!B159</f>
        <v>Duration of Connection Beween Problem Area &amp; the AA (ConnecUp)</v>
      </c>
      <c r="C53" s="114" t="str">
        <f>OF!C159</f>
        <v>The upstream problem area mentioned above (OF28) has a surface water connection to the AA:</v>
      </c>
      <c r="D53" s="65"/>
      <c r="E53" s="192"/>
      <c r="F53" s="192"/>
      <c r="G53" s="1470" t="str">
        <f>IF((SUM(D48:D52))&gt;0,MAX(F54:F56)/MAX(E54:E56),"")</f>
        <v/>
      </c>
      <c r="H53" s="2235"/>
    </row>
    <row r="54" spans="1:8" ht="16.2" customHeight="1" x14ac:dyDescent="0.25">
      <c r="A54" s="2226"/>
      <c r="B54" s="1521"/>
      <c r="C54" s="11" t="str">
        <f>OF!C160</f>
        <v>For 9 or more continuous months annually.</v>
      </c>
      <c r="D54" s="44">
        <f>OF!D160</f>
        <v>0</v>
      </c>
      <c r="E54" s="45">
        <v>3</v>
      </c>
      <c r="F54" s="45">
        <f>D54*E54</f>
        <v>0</v>
      </c>
      <c r="G54" s="793"/>
      <c r="H54" s="2236"/>
    </row>
    <row r="55" spans="1:8" ht="16.2" customHeight="1" x14ac:dyDescent="0.25">
      <c r="A55" s="2226"/>
      <c r="B55" s="1521"/>
      <c r="C55" s="286" t="str">
        <f>OF!C161</f>
        <v>Intermittently (at least once annually, but for less than 9 months continually).</v>
      </c>
      <c r="D55" s="44">
        <f>OF!D161</f>
        <v>0</v>
      </c>
      <c r="E55" s="45">
        <v>2</v>
      </c>
      <c r="F55" s="45">
        <f>D55*E55</f>
        <v>0</v>
      </c>
      <c r="G55" s="793"/>
      <c r="H55" s="2236"/>
    </row>
    <row r="56" spans="1:8" ht="16.2" customHeight="1" thickBot="1" x14ac:dyDescent="0.3">
      <c r="A56" s="2227"/>
      <c r="B56" s="1523"/>
      <c r="C56" s="443" t="str">
        <f>OF!C162</f>
        <v>Never (or less than annually).</v>
      </c>
      <c r="D56" s="198">
        <f>OF!D162</f>
        <v>0</v>
      </c>
      <c r="E56" s="193">
        <v>0</v>
      </c>
      <c r="F56" s="193">
        <f>D56*E56</f>
        <v>0</v>
      </c>
      <c r="G56" s="794"/>
      <c r="H56" s="2237"/>
    </row>
    <row r="57" spans="1:8" ht="30" customHeight="1" thickBot="1" x14ac:dyDescent="0.3">
      <c r="A57" s="2226" t="str">
        <f>OF!A192</f>
        <v>OF36</v>
      </c>
      <c r="B57" s="1521" t="str">
        <f>OF!B192</f>
        <v>Unvegetated % in the RCA (ImpervRCA)</v>
      </c>
      <c r="C57" s="244" t="str">
        <f>OF!C192</f>
        <v>The proportion of the RCA comprised of buildings, roads, parking lots, exposed bedrock, and other surface that is usually unvegetated at the time of peak annual runoff is about:</v>
      </c>
      <c r="D57" s="549"/>
      <c r="E57" s="1472"/>
      <c r="F57" s="1473"/>
      <c r="G57" s="1471">
        <f>IF((NoRCA=1),"",MAX(F58:F60)/MAX(E58:E60))</f>
        <v>0</v>
      </c>
      <c r="H57" s="2235"/>
    </row>
    <row r="58" spans="1:8" ht="16.2" customHeight="1" x14ac:dyDescent="0.25">
      <c r="A58" s="2226"/>
      <c r="B58" s="1521"/>
      <c r="C58" s="215" t="str">
        <f>OF!C193</f>
        <v>&lt;10%.</v>
      </c>
      <c r="D58" s="44">
        <f>OF!D193</f>
        <v>0</v>
      </c>
      <c r="E58" s="843">
        <v>0</v>
      </c>
      <c r="F58" s="45">
        <f>D58*E58</f>
        <v>0</v>
      </c>
      <c r="G58" s="872"/>
      <c r="H58" s="2236"/>
    </row>
    <row r="59" spans="1:8" ht="16.2" customHeight="1" x14ac:dyDescent="0.25">
      <c r="A59" s="2226"/>
      <c r="B59" s="1521"/>
      <c r="C59" s="216" t="str">
        <f>OF!C194</f>
        <v>10 to 25%.</v>
      </c>
      <c r="D59" s="44">
        <f>OF!D194</f>
        <v>0</v>
      </c>
      <c r="E59" s="843">
        <v>1</v>
      </c>
      <c r="F59" s="45">
        <f>D59*E59</f>
        <v>0</v>
      </c>
      <c r="G59" s="872"/>
      <c r="H59" s="2236"/>
    </row>
    <row r="60" spans="1:8" ht="16.2" customHeight="1" thickBot="1" x14ac:dyDescent="0.3">
      <c r="A60" s="2226"/>
      <c r="B60" s="1521"/>
      <c r="C60" s="95" t="str">
        <f>OF!C195</f>
        <v>&gt;25%.</v>
      </c>
      <c r="D60" s="198">
        <f>OF!D195</f>
        <v>0</v>
      </c>
      <c r="E60" s="1474">
        <v>2</v>
      </c>
      <c r="F60" s="54">
        <f>D60*E60</f>
        <v>0</v>
      </c>
      <c r="G60" s="876"/>
      <c r="H60" s="2237"/>
    </row>
    <row r="61" spans="1:8" ht="60" customHeight="1" thickBot="1" x14ac:dyDescent="0.3">
      <c r="A61" s="2225" t="str">
        <f>OF!A196</f>
        <v>OF37</v>
      </c>
      <c r="B61" s="1522" t="str">
        <f>OF!B196</f>
        <v>Transport From Upslope (TransRCA)</v>
      </c>
      <c r="C61" s="75" t="str">
        <f>OF!C196</f>
        <v>A relatively large proportion of the precipitation that falls farther upslope in the RCA reaches this wetland quickly as indicated by the following: (a) RCA slopes are steep, and/or (b) upslope wetlands historically present have been filled or drained extensively, and/or (c) land cover is mostly non-forest, and/or (d) most RCA soils are shallow.  This statement is:</v>
      </c>
      <c r="D61" s="549"/>
      <c r="E61" s="1287"/>
      <c r="F61" s="1475"/>
      <c r="G61" s="1470">
        <f>IF((NoRCA=1),"",MAX(F62:F64)/MAX(E62:E64))</f>
        <v>0</v>
      </c>
      <c r="H61" s="2235"/>
    </row>
    <row r="62" spans="1:8" ht="16.2" customHeight="1" x14ac:dyDescent="0.25">
      <c r="A62" s="2226"/>
      <c r="B62" s="1521"/>
      <c r="C62" s="215" t="str">
        <f>OF!C197</f>
        <v>Mostly true.</v>
      </c>
      <c r="D62" s="44">
        <f>OF!D197</f>
        <v>0</v>
      </c>
      <c r="E62" s="843">
        <v>2</v>
      </c>
      <c r="F62" s="45">
        <f>D62*E62</f>
        <v>0</v>
      </c>
      <c r="G62" s="872"/>
      <c r="H62" s="2236"/>
    </row>
    <row r="63" spans="1:8" ht="16.2" customHeight="1" x14ac:dyDescent="0.25">
      <c r="A63" s="2226"/>
      <c r="B63" s="1521"/>
      <c r="C63" s="216" t="str">
        <f>OF!C198</f>
        <v>Somewhat true.</v>
      </c>
      <c r="D63" s="44">
        <f>OF!D198</f>
        <v>0</v>
      </c>
      <c r="E63" s="843">
        <v>1</v>
      </c>
      <c r="F63" s="45">
        <f>D63*E63</f>
        <v>0</v>
      </c>
      <c r="G63" s="872"/>
      <c r="H63" s="2236"/>
    </row>
    <row r="64" spans="1:8" ht="16.2" customHeight="1" thickBot="1" x14ac:dyDescent="0.3">
      <c r="A64" s="2227"/>
      <c r="B64" s="1523"/>
      <c r="C64" s="254" t="str">
        <f>OF!C199</f>
        <v>Mostly untrue.</v>
      </c>
      <c r="D64" s="17">
        <f>OF!D199</f>
        <v>0</v>
      </c>
      <c r="E64" s="1299">
        <v>0</v>
      </c>
      <c r="F64" s="193">
        <f>D64*E64</f>
        <v>0</v>
      </c>
      <c r="G64" s="874"/>
      <c r="H64" s="2237"/>
    </row>
    <row r="65" spans="1:8" ht="30" customHeight="1" thickBot="1" x14ac:dyDescent="0.3">
      <c r="A65" s="2228" t="str">
        <f>OF!A200</f>
        <v>OF38</v>
      </c>
      <c r="B65" s="1521" t="str">
        <f>OF!B200</f>
        <v>Upslope Soil Erodibility Risk (ErodeUp)</v>
      </c>
      <c r="C65" s="244" t="str">
        <f>OF!C200</f>
        <v>According to ORWAP Map Viewer's Oregon Soils layer, the erosion hazard rating of the soil within 200 ft away and upslope of the AA is:</v>
      </c>
      <c r="D65" s="549"/>
      <c r="E65" s="866"/>
      <c r="F65" s="1473"/>
      <c r="G65" s="1471">
        <f>IF((NoRCA=1),"",IF((D70=1),"",MAX(F66:F69)/MAX(E66:E69)))</f>
        <v>0</v>
      </c>
      <c r="H65" s="2235"/>
    </row>
    <row r="66" spans="1:8" ht="16.2" customHeight="1" x14ac:dyDescent="0.25">
      <c r="A66" s="2228"/>
      <c r="B66" s="1521"/>
      <c r="C66" s="215" t="str">
        <f>OF!C201</f>
        <v>Slight.</v>
      </c>
      <c r="D66" s="44">
        <f>OF!D201</f>
        <v>0</v>
      </c>
      <c r="E66" s="843">
        <v>0</v>
      </c>
      <c r="F66" s="45">
        <f>D66*E66</f>
        <v>0</v>
      </c>
      <c r="G66" s="872"/>
      <c r="H66" s="2236"/>
    </row>
    <row r="67" spans="1:8" ht="16.2" customHeight="1" x14ac:dyDescent="0.25">
      <c r="A67" s="2228"/>
      <c r="B67" s="1521"/>
      <c r="C67" s="216" t="str">
        <f>OF!C202</f>
        <v>Moderate.</v>
      </c>
      <c r="D67" s="44">
        <f>OF!D202</f>
        <v>0</v>
      </c>
      <c r="E67" s="843">
        <v>1</v>
      </c>
      <c r="F67" s="45">
        <f>D67*E67</f>
        <v>0</v>
      </c>
      <c r="G67" s="872"/>
      <c r="H67" s="2236"/>
    </row>
    <row r="68" spans="1:8" ht="16.2" customHeight="1" x14ac:dyDescent="0.25">
      <c r="A68" s="2228"/>
      <c r="B68" s="1521"/>
      <c r="C68" s="216" t="str">
        <f>OF!C203</f>
        <v>Severe.</v>
      </c>
      <c r="D68" s="44">
        <f>OF!D203</f>
        <v>0</v>
      </c>
      <c r="E68" s="843">
        <v>2</v>
      </c>
      <c r="F68" s="45">
        <f>D68*E68</f>
        <v>0</v>
      </c>
      <c r="G68" s="872"/>
      <c r="H68" s="2236"/>
    </row>
    <row r="69" spans="1:8" ht="16.2" customHeight="1" x14ac:dyDescent="0.25">
      <c r="A69" s="2228"/>
      <c r="B69" s="1521"/>
      <c r="C69" s="216" t="str">
        <f>OF!C204</f>
        <v>Very severe.</v>
      </c>
      <c r="D69" s="44">
        <f>OF!D204</f>
        <v>0</v>
      </c>
      <c r="E69" s="843">
        <v>3</v>
      </c>
      <c r="F69" s="45">
        <f>D69*E69</f>
        <v>0</v>
      </c>
      <c r="G69" s="872"/>
      <c r="H69" s="2236"/>
    </row>
    <row r="70" spans="1:8" ht="16.2" customHeight="1" thickBot="1" x14ac:dyDescent="0.3">
      <c r="A70" s="2228"/>
      <c r="B70" s="1521"/>
      <c r="C70" s="95" t="str">
        <f>OF!C205</f>
        <v>Could not determine.</v>
      </c>
      <c r="D70" s="198">
        <f>OF!D205</f>
        <v>0</v>
      </c>
      <c r="E70" s="844"/>
      <c r="F70" s="1476"/>
      <c r="G70" s="876"/>
      <c r="H70" s="2237"/>
    </row>
    <row r="71" spans="1:8" ht="30" customHeight="1" thickBot="1" x14ac:dyDescent="0.3">
      <c r="A71" s="2225" t="str">
        <f>OF!A212</f>
        <v>OF40</v>
      </c>
      <c r="B71" s="1522" t="str">
        <f>OF!B212</f>
        <v>Unvegetated % in the SCA (ImpervSCA)</v>
      </c>
      <c r="C71" s="4" t="str">
        <f>OF!C212</f>
        <v>The proportion of the SCA comprised of buildings, roads, parking lots, exposed bedrock, and other surface that is usually unvegetated at the time of peak annual runoff is about :</v>
      </c>
      <c r="D71" s="65"/>
      <c r="E71" s="1044"/>
      <c r="F71" s="1475"/>
      <c r="G71" s="1470">
        <f>IF((NoSCA=1),"",IF((NoSCA1=1),"", MAX(F72:F74)/MAX(E72:E74)))</f>
        <v>0</v>
      </c>
      <c r="H71" s="2235"/>
    </row>
    <row r="72" spans="1:8" ht="16.2" customHeight="1" x14ac:dyDescent="0.25">
      <c r="A72" s="2226"/>
      <c r="B72" s="1521"/>
      <c r="C72" s="215" t="str">
        <f>OF!C213</f>
        <v>&lt;10%.</v>
      </c>
      <c r="D72" s="44">
        <f>OF!D213</f>
        <v>0</v>
      </c>
      <c r="E72" s="843">
        <v>0</v>
      </c>
      <c r="F72" s="45">
        <f>D72*E72</f>
        <v>0</v>
      </c>
      <c r="G72" s="872"/>
      <c r="H72" s="2236"/>
    </row>
    <row r="73" spans="1:8" ht="16.2" customHeight="1" x14ac:dyDescent="0.25">
      <c r="A73" s="2226"/>
      <c r="B73" s="1521"/>
      <c r="C73" s="216" t="str">
        <f>OF!C214</f>
        <v>10 to 25%.</v>
      </c>
      <c r="D73" s="44">
        <f>OF!D214</f>
        <v>0</v>
      </c>
      <c r="E73" s="843">
        <v>2</v>
      </c>
      <c r="F73" s="45">
        <f>D73*E73</f>
        <v>0</v>
      </c>
      <c r="G73" s="872"/>
      <c r="H73" s="2236"/>
    </row>
    <row r="74" spans="1:8" ht="16.2" customHeight="1" thickBot="1" x14ac:dyDescent="0.3">
      <c r="A74" s="2227"/>
      <c r="B74" s="1523"/>
      <c r="C74" s="254" t="str">
        <f>OF!C215</f>
        <v>&gt;25%.</v>
      </c>
      <c r="D74" s="17">
        <f>OF!D215</f>
        <v>0</v>
      </c>
      <c r="E74" s="845">
        <v>3</v>
      </c>
      <c r="F74" s="193">
        <f>D74*E74</f>
        <v>0</v>
      </c>
      <c r="G74" s="874"/>
      <c r="H74" s="2237"/>
    </row>
    <row r="75" spans="1:8" ht="26.25" customHeight="1" thickBot="1" x14ac:dyDescent="0.3">
      <c r="A75" s="2229" t="str">
        <f>F!A167</f>
        <v>F32</v>
      </c>
      <c r="B75" s="1521" t="str">
        <f>F!B167</f>
        <v>Outflow Confinement (Constric)</v>
      </c>
      <c r="C75" s="244" t="str">
        <f>F!C167</f>
        <v>During major runoff events, in the places described above where surface water exits the AA, it:</v>
      </c>
      <c r="D75" s="549"/>
      <c r="E75" s="46"/>
      <c r="F75" s="46"/>
      <c r="G75" s="1477">
        <f>IF((NeverWater+TempWet&gt;0),"",IF((NoOutlet=1),"",MAX(F76:F78)/MAX(E76:E78)))</f>
        <v>0</v>
      </c>
      <c r="H75" s="2235"/>
    </row>
    <row r="76" spans="1:8" ht="27" customHeight="1" x14ac:dyDescent="0.25">
      <c r="A76" s="2229"/>
      <c r="B76" s="1521"/>
      <c r="C76" s="2" t="str">
        <f>F!C168</f>
        <v>Is impeded as it mostly passes through a pipe, culvert, tidegate, narrowly breached dike, berm, beaver dam, or other partial obstruction (other than natural topography).</v>
      </c>
      <c r="D76" s="44">
        <f>F!D168</f>
        <v>0</v>
      </c>
      <c r="E76" s="45">
        <v>1</v>
      </c>
      <c r="F76" s="45">
        <f>D76*E76</f>
        <v>0</v>
      </c>
      <c r="G76" s="59"/>
      <c r="H76" s="2236"/>
    </row>
    <row r="77" spans="1:8" ht="27" customHeight="1" x14ac:dyDescent="0.25">
      <c r="A77" s="2229"/>
      <c r="B77" s="1521"/>
      <c r="C77" s="95" t="str">
        <f>F!C169</f>
        <v>Leaves mainly through natural surface exits, not largely through artificial or temporary features which impede or accelerate outflow.</v>
      </c>
      <c r="D77" s="44">
        <f>F!D169</f>
        <v>0</v>
      </c>
      <c r="E77" s="45">
        <v>0</v>
      </c>
      <c r="F77" s="45">
        <f>D77*E77</f>
        <v>0</v>
      </c>
      <c r="G77" s="59"/>
      <c r="H77" s="2236"/>
    </row>
    <row r="78" spans="1:8" ht="39.75" customHeight="1" thickBot="1" x14ac:dyDescent="0.3">
      <c r="A78" s="2229"/>
      <c r="B78" s="1521"/>
      <c r="C78" s="95" t="str">
        <f>F!C170</f>
        <v>Is exported more quickly than usual as it mostly passes through ditches or pipes intended to accelerate drainage.  They may be within the AA or connected to its outlet or within 30 ft of the AA's edge.</v>
      </c>
      <c r="D78" s="17">
        <f>F!D170</f>
        <v>0</v>
      </c>
      <c r="E78" s="54">
        <v>2</v>
      </c>
      <c r="F78" s="54">
        <f>D78*E78</f>
        <v>0</v>
      </c>
      <c r="G78" s="58"/>
      <c r="H78" s="2237"/>
    </row>
    <row r="79" spans="1:8" s="78" customFormat="1" ht="30" customHeight="1" thickBot="1" x14ac:dyDescent="0.3">
      <c r="A79" s="2230" t="str">
        <f>F!A260</f>
        <v>F52</v>
      </c>
      <c r="B79" s="1522" t="str">
        <f>F!B260</f>
        <v>Upland Perennial Cover - % of Perimeter (PerimPctPer)</v>
      </c>
      <c r="C79" s="75" t="str">
        <f>F!C260</f>
        <v xml:space="preserve">The percentage of the AA's edge (perimeter) that is comprised of a band of upland perennial cover wider than 10 ft and taller than 6 inches, during most of the growing season is:  </v>
      </c>
      <c r="D79" s="549"/>
      <c r="E79" s="192"/>
      <c r="F79" s="192"/>
      <c r="G79" s="1478">
        <f>MAX(F80:F85)/MAX(E80:E85)</f>
        <v>0</v>
      </c>
      <c r="H79" s="2239"/>
    </row>
    <row r="80" spans="1:8" s="78" customFormat="1" ht="16.2" customHeight="1" x14ac:dyDescent="0.25">
      <c r="A80" s="2229"/>
      <c r="B80" s="1521"/>
      <c r="C80" s="2" t="str">
        <f>F!C261</f>
        <v>&lt;5%.</v>
      </c>
      <c r="D80" s="44">
        <f>F!D261</f>
        <v>0</v>
      </c>
      <c r="E80" s="45">
        <v>5</v>
      </c>
      <c r="F80" s="45">
        <f t="shared" ref="F80:F85" si="4">D80*E80</f>
        <v>0</v>
      </c>
      <c r="G80" s="59"/>
      <c r="H80" s="2240"/>
    </row>
    <row r="81" spans="1:8" s="78" customFormat="1" ht="16.2" customHeight="1" x14ac:dyDescent="0.25">
      <c r="A81" s="2229"/>
      <c r="B81" s="1521"/>
      <c r="C81" s="95" t="str">
        <f>F!C262</f>
        <v>5 to &lt;25%.</v>
      </c>
      <c r="D81" s="44">
        <f>F!D262</f>
        <v>0</v>
      </c>
      <c r="E81" s="45">
        <v>4</v>
      </c>
      <c r="F81" s="45">
        <f t="shared" si="4"/>
        <v>0</v>
      </c>
      <c r="G81" s="59"/>
      <c r="H81" s="2240"/>
    </row>
    <row r="82" spans="1:8" s="78" customFormat="1" ht="16.2" customHeight="1" x14ac:dyDescent="0.25">
      <c r="A82" s="2229"/>
      <c r="B82" s="1521"/>
      <c r="C82" s="95" t="str">
        <f>F!C263</f>
        <v>25 to &lt;50%.</v>
      </c>
      <c r="D82" s="44">
        <f>F!D263</f>
        <v>0</v>
      </c>
      <c r="E82" s="45">
        <v>3</v>
      </c>
      <c r="F82" s="45">
        <f t="shared" si="4"/>
        <v>0</v>
      </c>
      <c r="G82" s="59"/>
      <c r="H82" s="2240"/>
    </row>
    <row r="83" spans="1:8" s="78" customFormat="1" ht="16.2" customHeight="1" x14ac:dyDescent="0.25">
      <c r="A83" s="2229"/>
      <c r="B83" s="1521"/>
      <c r="C83" s="95" t="str">
        <f>F!C264</f>
        <v>50 to &lt;75%.</v>
      </c>
      <c r="D83" s="44">
        <f>F!D264</f>
        <v>0</v>
      </c>
      <c r="E83" s="45">
        <v>2</v>
      </c>
      <c r="F83" s="45">
        <f t="shared" si="4"/>
        <v>0</v>
      </c>
      <c r="G83" s="59"/>
      <c r="H83" s="2240"/>
    </row>
    <row r="84" spans="1:8" s="78" customFormat="1" ht="16.2" customHeight="1" x14ac:dyDescent="0.25">
      <c r="A84" s="2229"/>
      <c r="B84" s="1521"/>
      <c r="C84" s="95" t="str">
        <f>F!C265</f>
        <v>75 to 95%.</v>
      </c>
      <c r="D84" s="44">
        <f>F!D265</f>
        <v>0</v>
      </c>
      <c r="E84" s="45">
        <v>1</v>
      </c>
      <c r="F84" s="45">
        <f t="shared" si="4"/>
        <v>0</v>
      </c>
      <c r="G84" s="59"/>
      <c r="H84" s="2240"/>
    </row>
    <row r="85" spans="1:8" s="78" customFormat="1" ht="16.2" customHeight="1" thickBot="1" x14ac:dyDescent="0.3">
      <c r="A85" s="2231"/>
      <c r="B85" s="1523"/>
      <c r="C85" s="254" t="str">
        <f>F!C266</f>
        <v>&gt;95%.</v>
      </c>
      <c r="D85" s="17">
        <f>F!D266</f>
        <v>0</v>
      </c>
      <c r="E85" s="193">
        <v>0</v>
      </c>
      <c r="F85" s="193">
        <f t="shared" si="4"/>
        <v>0</v>
      </c>
      <c r="G85" s="243"/>
      <c r="H85" s="2241"/>
    </row>
    <row r="86" spans="1:8" s="78" customFormat="1" ht="65.25" customHeight="1" thickBot="1" x14ac:dyDescent="0.3">
      <c r="A86" s="2229" t="str">
        <f>F!A267</f>
        <v>F53</v>
      </c>
      <c r="B86" s="1521" t="str">
        <f>F!B267</f>
        <v>Upland Perennial Cover - Width (Buffer)  (BuffWidth)</v>
      </c>
      <c r="C86" s="24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86" s="549"/>
      <c r="E86" s="46"/>
      <c r="F86" s="46"/>
      <c r="G86" s="1477">
        <f>MAX(F87:F92)/MAX(E87:E92)</f>
        <v>0</v>
      </c>
      <c r="H86" s="2239"/>
    </row>
    <row r="87" spans="1:8" s="78" customFormat="1" ht="16.2" customHeight="1" x14ac:dyDescent="0.25">
      <c r="A87" s="2229"/>
      <c r="B87" s="1521"/>
      <c r="C87" s="2" t="str">
        <f>F!C268</f>
        <v xml:space="preserve">&lt; 5 ft, or none.  </v>
      </c>
      <c r="D87" s="44">
        <f>F!D268</f>
        <v>0</v>
      </c>
      <c r="E87" s="45">
        <v>5</v>
      </c>
      <c r="F87" s="45">
        <f t="shared" ref="F87:F92" si="5">D87*E87</f>
        <v>0</v>
      </c>
      <c r="G87" s="59"/>
      <c r="H87" s="2240"/>
    </row>
    <row r="88" spans="1:8" s="78" customFormat="1" ht="16.2" customHeight="1" x14ac:dyDescent="0.25">
      <c r="A88" s="2229"/>
      <c r="B88" s="1521"/>
      <c r="C88" s="95" t="str">
        <f>F!C269</f>
        <v>5 to &lt;30 ft.</v>
      </c>
      <c r="D88" s="44">
        <f>F!D269</f>
        <v>0</v>
      </c>
      <c r="E88" s="45">
        <v>4</v>
      </c>
      <c r="F88" s="45">
        <f t="shared" si="5"/>
        <v>0</v>
      </c>
      <c r="G88" s="59"/>
      <c r="H88" s="2240"/>
    </row>
    <row r="89" spans="1:8" s="78" customFormat="1" ht="16.2" customHeight="1" x14ac:dyDescent="0.25">
      <c r="A89" s="2229"/>
      <c r="B89" s="1521"/>
      <c r="C89" s="95" t="str">
        <f>F!C270</f>
        <v>30 to &lt;50 ft.</v>
      </c>
      <c r="D89" s="44">
        <f>F!D270</f>
        <v>0</v>
      </c>
      <c r="E89" s="45">
        <v>3</v>
      </c>
      <c r="F89" s="45">
        <f t="shared" si="5"/>
        <v>0</v>
      </c>
      <c r="G89" s="59"/>
      <c r="H89" s="2240"/>
    </row>
    <row r="90" spans="1:8" s="78" customFormat="1" ht="16.2" customHeight="1" x14ac:dyDescent="0.25">
      <c r="A90" s="2229"/>
      <c r="B90" s="1521"/>
      <c r="C90" s="95" t="str">
        <f>F!C271</f>
        <v>50 to &lt;100 ft.</v>
      </c>
      <c r="D90" s="44">
        <f>F!D271</f>
        <v>0</v>
      </c>
      <c r="E90" s="45">
        <v>2</v>
      </c>
      <c r="F90" s="45">
        <f t="shared" si="5"/>
        <v>0</v>
      </c>
      <c r="G90" s="59"/>
      <c r="H90" s="2240"/>
    </row>
    <row r="91" spans="1:8" s="78" customFormat="1" ht="16.2" customHeight="1" x14ac:dyDescent="0.25">
      <c r="A91" s="2229"/>
      <c r="B91" s="1521"/>
      <c r="C91" s="95" t="str">
        <f>F!C272</f>
        <v>100  to 300 ft.</v>
      </c>
      <c r="D91" s="44">
        <f>F!D272</f>
        <v>0</v>
      </c>
      <c r="E91" s="45">
        <v>1</v>
      </c>
      <c r="F91" s="45">
        <f t="shared" si="5"/>
        <v>0</v>
      </c>
      <c r="G91" s="59"/>
      <c r="H91" s="2240"/>
    </row>
    <row r="92" spans="1:8" s="78" customFormat="1" ht="16.2" customHeight="1" thickBot="1" x14ac:dyDescent="0.3">
      <c r="A92" s="2229"/>
      <c r="B92" s="1521"/>
      <c r="C92" s="95" t="str">
        <f>F!C273</f>
        <v xml:space="preserve">&gt; 300 ft. </v>
      </c>
      <c r="D92" s="17">
        <f>F!D273</f>
        <v>0</v>
      </c>
      <c r="E92" s="54">
        <v>0</v>
      </c>
      <c r="F92" s="54">
        <f t="shared" si="5"/>
        <v>0</v>
      </c>
      <c r="G92" s="58"/>
      <c r="H92" s="2241"/>
    </row>
    <row r="93" spans="1:8" ht="42" customHeight="1" thickBot="1" x14ac:dyDescent="0.3">
      <c r="A93" s="2230" t="str">
        <f>F!A281</f>
        <v>F55</v>
      </c>
      <c r="B93" s="1522" t="str">
        <f>F!B281</f>
        <v>Weeds - % of Upland Edge (UpWeed)</v>
      </c>
      <c r="C93" s="75" t="str">
        <f>F!C281</f>
        <v>Along the AA's edge (perimeter), the cover of invasive woody or herbaceous plants occupies: 
[If vegetation is so senesced that apparently-dominant edge species cannot be identified even to genus, answer "none"].</v>
      </c>
      <c r="D93" s="549"/>
      <c r="E93" s="192"/>
      <c r="F93" s="241"/>
      <c r="G93" s="1478">
        <f>MAX(F94:F97)/MAX(E94:E97)</f>
        <v>0</v>
      </c>
      <c r="H93" s="2235"/>
    </row>
    <row r="94" spans="1:8" ht="16.2" customHeight="1" x14ac:dyDescent="0.25">
      <c r="A94" s="2229"/>
      <c r="B94" s="1521"/>
      <c r="C94" s="215" t="str">
        <f>F!C282</f>
        <v>&lt;5%, or none.</v>
      </c>
      <c r="D94" s="44">
        <f>F!D282</f>
        <v>0</v>
      </c>
      <c r="E94" s="45">
        <v>0</v>
      </c>
      <c r="F94" s="45">
        <f>D94*E94</f>
        <v>0</v>
      </c>
      <c r="G94" s="867"/>
      <c r="H94" s="2236"/>
    </row>
    <row r="95" spans="1:8" ht="16.2" customHeight="1" x14ac:dyDescent="0.25">
      <c r="A95" s="2229"/>
      <c r="B95" s="1521"/>
      <c r="C95" s="216" t="str">
        <f>F!C283</f>
        <v>5 to &lt;25%.</v>
      </c>
      <c r="D95" s="44">
        <f>F!D283</f>
        <v>0</v>
      </c>
      <c r="E95" s="45">
        <v>1</v>
      </c>
      <c r="F95" s="45">
        <f>D95*E95</f>
        <v>0</v>
      </c>
      <c r="G95" s="872"/>
      <c r="H95" s="2236"/>
    </row>
    <row r="96" spans="1:8" ht="16.2" customHeight="1" x14ac:dyDescent="0.25">
      <c r="A96" s="2229"/>
      <c r="B96" s="1521"/>
      <c r="C96" s="216" t="str">
        <f>F!C284</f>
        <v>25 to &lt;50%.</v>
      </c>
      <c r="D96" s="44">
        <f>F!D284</f>
        <v>0</v>
      </c>
      <c r="E96" s="45">
        <v>2</v>
      </c>
      <c r="F96" s="45">
        <f>D96*E96</f>
        <v>0</v>
      </c>
      <c r="G96" s="872"/>
      <c r="H96" s="2236"/>
    </row>
    <row r="97" spans="1:8" ht="16.2" customHeight="1" thickBot="1" x14ac:dyDescent="0.3">
      <c r="A97" s="2231"/>
      <c r="B97" s="1523"/>
      <c r="C97" s="254" t="str">
        <f>F!C287</f>
        <v>&gt;95%.</v>
      </c>
      <c r="D97" s="17">
        <f>F!D287</f>
        <v>0</v>
      </c>
      <c r="E97" s="193">
        <v>3</v>
      </c>
      <c r="F97" s="243">
        <f>D97*E97</f>
        <v>0</v>
      </c>
      <c r="G97" s="874"/>
      <c r="H97" s="2237"/>
    </row>
    <row r="98" spans="1:8" ht="45" customHeight="1" thickBot="1" x14ac:dyDescent="0.3">
      <c r="A98" s="2229" t="str">
        <f>F!A319</f>
        <v>F66</v>
      </c>
      <c r="B98" s="1521" t="str">
        <f>F!B319</f>
        <v>Visibility (Visibil)</v>
      </c>
      <c r="C98" s="244" t="str">
        <f>F!C319</f>
        <v>The maximum percentage of the wetland that is visible from the best vantage point on public roads, public parking lots, public buildings, or public maintained trails that intersect, adjoin, or are within 300 ft of the AA (select one) is:</v>
      </c>
      <c r="D98" s="549"/>
      <c r="E98" s="46"/>
      <c r="F98" s="60"/>
      <c r="G98" s="1477">
        <f>MAX(F99:F101)/MAX(E99:E101)</f>
        <v>0</v>
      </c>
      <c r="H98" s="2235"/>
    </row>
    <row r="99" spans="1:8" ht="16.2" customHeight="1" x14ac:dyDescent="0.25">
      <c r="A99" s="2229"/>
      <c r="B99" s="1521"/>
      <c r="C99" s="215" t="str">
        <f>F!C320</f>
        <v>&lt;25%.</v>
      </c>
      <c r="D99" s="44">
        <f>F!D320</f>
        <v>0</v>
      </c>
      <c r="E99" s="45">
        <v>0</v>
      </c>
      <c r="F99" s="45">
        <f>D99*E99</f>
        <v>0</v>
      </c>
      <c r="G99" s="792"/>
      <c r="H99" s="2236"/>
    </row>
    <row r="100" spans="1:8" ht="16.2" customHeight="1" x14ac:dyDescent="0.25">
      <c r="A100" s="2229"/>
      <c r="B100" s="1521"/>
      <c r="C100" s="216" t="str">
        <f>F!C321</f>
        <v>25 - 50%.</v>
      </c>
      <c r="D100" s="44">
        <f>F!D321</f>
        <v>0</v>
      </c>
      <c r="E100" s="45">
        <v>1</v>
      </c>
      <c r="F100" s="45">
        <f>D100*E100</f>
        <v>0</v>
      </c>
      <c r="G100" s="800"/>
      <c r="H100" s="2236"/>
    </row>
    <row r="101" spans="1:8" ht="16.2" customHeight="1" thickBot="1" x14ac:dyDescent="0.3">
      <c r="A101" s="2229"/>
      <c r="B101" s="1521"/>
      <c r="C101" s="95" t="str">
        <f>F!C322</f>
        <v>&gt;50%.</v>
      </c>
      <c r="D101" s="17">
        <f>F!D322</f>
        <v>0</v>
      </c>
      <c r="E101" s="54">
        <v>2</v>
      </c>
      <c r="F101" s="58">
        <f>D101*E101</f>
        <v>0</v>
      </c>
      <c r="G101" s="800"/>
      <c r="H101" s="2237"/>
    </row>
    <row r="102" spans="1:8" ht="60" customHeight="1" thickBot="1" x14ac:dyDescent="0.3">
      <c r="A102" s="2230" t="str">
        <f>F!A328</f>
        <v>F68</v>
      </c>
      <c r="B102" s="1522" t="str">
        <f>F!B328</f>
        <v>Core Area 1 (VisitNo)</v>
      </c>
      <c r="C102" s="75" t="str">
        <f>F!C328</f>
        <v>The percentage of the AA almost never walked or driven by humans during an average growing season probably comprises:  [Note:  If more than half the wetland is visible from areas within 100 ft of the AA, include visits by people to those areas that are actually walked or driven (not simply viewed from].</v>
      </c>
      <c r="D102" s="549"/>
      <c r="E102" s="192"/>
      <c r="F102" s="241"/>
      <c r="G102" s="1478">
        <f>MAX(F103:F108)/MAX(E103:E108)</f>
        <v>0</v>
      </c>
      <c r="H102" s="2235"/>
    </row>
    <row r="103" spans="1:8" ht="16.2" customHeight="1" x14ac:dyDescent="0.25">
      <c r="A103" s="2229"/>
      <c r="B103" s="1521"/>
      <c r="C103" s="215" t="str">
        <f>F!C329</f>
        <v>&lt;5% and no inhabited building is within 300 ft of the AA.</v>
      </c>
      <c r="D103" s="44">
        <f>F!D329</f>
        <v>0</v>
      </c>
      <c r="E103" s="45">
        <v>4</v>
      </c>
      <c r="F103" s="45">
        <f t="shared" ref="F103:F108" si="6">D103*E103</f>
        <v>0</v>
      </c>
      <c r="G103" s="867"/>
      <c r="H103" s="2236"/>
    </row>
    <row r="104" spans="1:8" ht="16.2" customHeight="1" x14ac:dyDescent="0.25">
      <c r="A104" s="2229"/>
      <c r="B104" s="1521"/>
      <c r="C104" s="216" t="str">
        <f>F!C330</f>
        <v>&lt;5% and inhabited building is within 300 ft of the AA.</v>
      </c>
      <c r="D104" s="44">
        <f>F!D330</f>
        <v>0</v>
      </c>
      <c r="E104" s="45">
        <v>5</v>
      </c>
      <c r="F104" s="45">
        <f t="shared" si="6"/>
        <v>0</v>
      </c>
      <c r="G104" s="872"/>
      <c r="H104" s="2236"/>
    </row>
    <row r="105" spans="1:8" ht="16.2" customHeight="1" x14ac:dyDescent="0.25">
      <c r="A105" s="2229"/>
      <c r="B105" s="1521"/>
      <c r="C105" s="216" t="str">
        <f>F!C331</f>
        <v>5 to &lt;50% and no inhabited building is within 300 ft of the AA.</v>
      </c>
      <c r="D105" s="44">
        <f>F!D331</f>
        <v>0</v>
      </c>
      <c r="E105" s="45">
        <v>2</v>
      </c>
      <c r="F105" s="45">
        <f t="shared" si="6"/>
        <v>0</v>
      </c>
      <c r="G105" s="872"/>
      <c r="H105" s="2236"/>
    </row>
    <row r="106" spans="1:8" ht="16.2" customHeight="1" x14ac:dyDescent="0.25">
      <c r="A106" s="2229"/>
      <c r="B106" s="1521"/>
      <c r="C106" s="216" t="str">
        <f>F!C332</f>
        <v>5 to &lt;50% and inhabited building is within 300 ft of the AA.</v>
      </c>
      <c r="D106" s="44">
        <f>F!D332</f>
        <v>0</v>
      </c>
      <c r="E106" s="45">
        <v>3</v>
      </c>
      <c r="F106" s="45">
        <f t="shared" si="6"/>
        <v>0</v>
      </c>
      <c r="G106" s="872"/>
      <c r="H106" s="2236"/>
    </row>
    <row r="107" spans="1:8" ht="16.2" customHeight="1" x14ac:dyDescent="0.25">
      <c r="A107" s="2229"/>
      <c r="B107" s="1521"/>
      <c r="C107" s="216" t="str">
        <f>F!C333</f>
        <v>50 to 95% with or without inhabited building nearby.</v>
      </c>
      <c r="D107" s="44">
        <f>F!D333</f>
        <v>0</v>
      </c>
      <c r="E107" s="45">
        <v>1</v>
      </c>
      <c r="F107" s="45">
        <f t="shared" si="6"/>
        <v>0</v>
      </c>
      <c r="G107" s="872"/>
      <c r="H107" s="2236"/>
    </row>
    <row r="108" spans="1:8" ht="16.2" customHeight="1" thickBot="1" x14ac:dyDescent="0.3">
      <c r="A108" s="2231"/>
      <c r="B108" s="1523"/>
      <c r="C108" s="254" t="str">
        <f>F!C334</f>
        <v>&gt;95% of the AA with or without inhabited building nearby.</v>
      </c>
      <c r="D108" s="17">
        <f>F!D334</f>
        <v>0</v>
      </c>
      <c r="E108" s="193">
        <v>0</v>
      </c>
      <c r="F108" s="193">
        <f t="shared" si="6"/>
        <v>0</v>
      </c>
      <c r="G108" s="874"/>
      <c r="H108" s="2237"/>
    </row>
    <row r="109" spans="1:8" ht="30" customHeight="1" thickBot="1" x14ac:dyDescent="0.3">
      <c r="A109" s="2229" t="str">
        <f>F!A335</f>
        <v>F69</v>
      </c>
      <c r="B109" s="1521" t="str">
        <f>F!B335</f>
        <v>Core Area 2 (VisitOften)</v>
      </c>
      <c r="C109" s="244" t="str">
        <f>F!C335</f>
        <v>The part of the AA visited by humans almost daily for several weeks during an average growing season probably comprises:  [The Note in the preceding question applies here as well].</v>
      </c>
      <c r="D109" s="549"/>
      <c r="E109" s="46"/>
      <c r="F109" s="60"/>
      <c r="G109" s="1477">
        <f>MAX(F110:F113)/MAX(E110:E113)</f>
        <v>0</v>
      </c>
      <c r="H109" s="2235"/>
    </row>
    <row r="110" spans="1:8" ht="16.2" customHeight="1" x14ac:dyDescent="0.25">
      <c r="A110" s="2229"/>
      <c r="B110" s="1521"/>
      <c r="C110" s="215" t="str">
        <f>F!C336</f>
        <v>&lt;5%.</v>
      </c>
      <c r="D110" s="44">
        <f>F!D336</f>
        <v>0</v>
      </c>
      <c r="E110" s="45">
        <v>0</v>
      </c>
      <c r="F110" s="45">
        <f>D110*E110</f>
        <v>0</v>
      </c>
      <c r="G110" s="867"/>
      <c r="H110" s="2236"/>
    </row>
    <row r="111" spans="1:8" ht="16.2" customHeight="1" x14ac:dyDescent="0.25">
      <c r="A111" s="2229"/>
      <c r="B111" s="1521"/>
      <c r="C111" s="216" t="str">
        <f>F!C337</f>
        <v>5 to &lt;50%.</v>
      </c>
      <c r="D111" s="44">
        <f>F!D337</f>
        <v>0</v>
      </c>
      <c r="E111" s="45">
        <v>1</v>
      </c>
      <c r="F111" s="45">
        <f>D111*E111</f>
        <v>0</v>
      </c>
      <c r="G111" s="872"/>
      <c r="H111" s="2236"/>
    </row>
    <row r="112" spans="1:8" ht="16.2" customHeight="1" x14ac:dyDescent="0.25">
      <c r="A112" s="2229"/>
      <c r="B112" s="1521"/>
      <c r="C112" s="216" t="str">
        <f>F!C338</f>
        <v>50 to 95%.</v>
      </c>
      <c r="D112" s="44">
        <f>F!D338</f>
        <v>0</v>
      </c>
      <c r="E112" s="45">
        <v>2</v>
      </c>
      <c r="F112" s="45">
        <f>D112*E112</f>
        <v>0</v>
      </c>
      <c r="G112" s="872"/>
      <c r="H112" s="2236"/>
    </row>
    <row r="113" spans="1:8" ht="16.2" customHeight="1" thickBot="1" x14ac:dyDescent="0.3">
      <c r="A113" s="2229"/>
      <c r="B113" s="1521"/>
      <c r="C113" s="95" t="str">
        <f>F!C339</f>
        <v>&gt;95% of the AA.</v>
      </c>
      <c r="D113" s="17">
        <f>F!D339</f>
        <v>0</v>
      </c>
      <c r="E113" s="54">
        <v>3</v>
      </c>
      <c r="F113" s="54">
        <f>D113*E113</f>
        <v>0</v>
      </c>
      <c r="G113" s="876"/>
      <c r="H113" s="2237"/>
    </row>
    <row r="114" spans="1:8" ht="21" customHeight="1" thickBot="1" x14ac:dyDescent="0.3">
      <c r="A114" s="2233" t="str">
        <f>T!A47</f>
        <v>T8</v>
      </c>
      <c r="B114" s="1522" t="str">
        <f>T!B47</f>
        <v>Outflow Confinement (ConstricT)</v>
      </c>
      <c r="C114" s="466" t="str">
        <f>T!C47</f>
        <v>In the places where tidal water exits the AA after an average daily high tide, it is:</v>
      </c>
      <c r="D114" s="875"/>
      <c r="E114" s="192"/>
      <c r="F114" s="241"/>
      <c r="G114" s="1470">
        <f>MAX(F115:F117)/MAX(E115:E117)</f>
        <v>0</v>
      </c>
      <c r="H114" s="2235"/>
    </row>
    <row r="115" spans="1:8" ht="27" customHeight="1" x14ac:dyDescent="0.25">
      <c r="A115" s="2232"/>
      <c r="B115" s="1521"/>
      <c r="C115" s="449" t="str">
        <f>T!C48</f>
        <v>Impeded partially by a pipe, culvert, narrowly breached dike, berm, beaver dam, or other obstruction (other than natural topography).</v>
      </c>
      <c r="D115" s="44">
        <f>T!D48</f>
        <v>0</v>
      </c>
      <c r="E115" s="45">
        <v>1</v>
      </c>
      <c r="F115" s="59">
        <f>D115*E115</f>
        <v>0</v>
      </c>
      <c r="G115" s="867"/>
      <c r="H115" s="2236"/>
    </row>
    <row r="116" spans="1:8" ht="16.2" customHeight="1" x14ac:dyDescent="0.25">
      <c r="A116" s="2232"/>
      <c r="B116" s="1521"/>
      <c r="C116" s="449" t="str">
        <f>T!C49</f>
        <v>Not impeded by anything other than (possibly) natural topography.</v>
      </c>
      <c r="D116" s="44">
        <f>T!D49</f>
        <v>0</v>
      </c>
      <c r="E116" s="45">
        <v>0</v>
      </c>
      <c r="F116" s="59">
        <f>D116*E116</f>
        <v>0</v>
      </c>
      <c r="G116" s="872"/>
      <c r="H116" s="2236"/>
    </row>
    <row r="117" spans="1:8" ht="19.5" customHeight="1" thickBot="1" x14ac:dyDescent="0.3">
      <c r="A117" s="2234"/>
      <c r="B117" s="1523"/>
      <c r="C117" s="468" t="str">
        <f>T!C50</f>
        <v>Exported more quickly than usual due to ditches or pipes within the AA or connected to its outlet.</v>
      </c>
      <c r="D117" s="198">
        <f>T!D50</f>
        <v>0</v>
      </c>
      <c r="E117" s="193">
        <v>1</v>
      </c>
      <c r="F117" s="243">
        <f>D117*E117</f>
        <v>0</v>
      </c>
      <c r="G117" s="874"/>
      <c r="H117" s="2237"/>
    </row>
    <row r="118" spans="1:8" ht="30" customHeight="1" thickBot="1" x14ac:dyDescent="0.3">
      <c r="A118" s="2232" t="str">
        <f>T!A149</f>
        <v>T27</v>
      </c>
      <c r="B118" s="1521" t="str">
        <f>T!B149</f>
        <v>Upland Perennial Cover - % of AA's Edge (PerimPctPerT)</v>
      </c>
      <c r="C118" s="114" t="str">
        <f>T!C149</f>
        <v xml:space="preserve">The percentage of the AA's edge (perimeter) that is comprised of a band of upland perennial cover wider than 10 ft and taller than 6 inches during most of the growing season is:  </v>
      </c>
      <c r="D118" s="865"/>
      <c r="E118" s="46"/>
      <c r="F118" s="60"/>
      <c r="G118" s="1471">
        <f>MAX(F119:F124)/MAX(E119:E124)</f>
        <v>0</v>
      </c>
      <c r="H118" s="2235"/>
    </row>
    <row r="119" spans="1:8" ht="16.2" customHeight="1" x14ac:dyDescent="0.25">
      <c r="A119" s="2232"/>
      <c r="B119" s="1521"/>
      <c r="C119" s="449" t="str">
        <f>T!C150</f>
        <v>&lt;5%.</v>
      </c>
      <c r="D119" s="44">
        <f>T!D150</f>
        <v>0</v>
      </c>
      <c r="E119" s="45">
        <v>5</v>
      </c>
      <c r="F119" s="45">
        <f t="shared" ref="F119:F124" si="7">D119*E119</f>
        <v>0</v>
      </c>
      <c r="G119" s="867"/>
      <c r="H119" s="2236"/>
    </row>
    <row r="120" spans="1:8" ht="16.2" customHeight="1" x14ac:dyDescent="0.25">
      <c r="A120" s="2232"/>
      <c r="B120" s="1521"/>
      <c r="C120" s="449" t="str">
        <f>T!C151</f>
        <v>5 to &lt;25%.</v>
      </c>
      <c r="D120" s="44">
        <f>T!D151</f>
        <v>0</v>
      </c>
      <c r="E120" s="45">
        <v>4</v>
      </c>
      <c r="F120" s="45">
        <f t="shared" si="7"/>
        <v>0</v>
      </c>
      <c r="G120" s="872"/>
      <c r="H120" s="2236"/>
    </row>
    <row r="121" spans="1:8" ht="16.2" customHeight="1" x14ac:dyDescent="0.25">
      <c r="A121" s="2232"/>
      <c r="B121" s="1521"/>
      <c r="C121" s="449" t="str">
        <f>T!C152</f>
        <v>25 to &lt;50%.</v>
      </c>
      <c r="D121" s="44">
        <f>T!D152</f>
        <v>0</v>
      </c>
      <c r="E121" s="45">
        <v>3</v>
      </c>
      <c r="F121" s="45">
        <f t="shared" si="7"/>
        <v>0</v>
      </c>
      <c r="G121" s="793"/>
      <c r="H121" s="2236"/>
    </row>
    <row r="122" spans="1:8" ht="16.2" customHeight="1" x14ac:dyDescent="0.25">
      <c r="A122" s="2232"/>
      <c r="B122" s="1521"/>
      <c r="C122" s="449" t="str">
        <f>T!C153</f>
        <v>50 to &lt;75%.</v>
      </c>
      <c r="D122" s="44">
        <f>T!D153</f>
        <v>0</v>
      </c>
      <c r="E122" s="45">
        <v>2</v>
      </c>
      <c r="F122" s="45">
        <f t="shared" si="7"/>
        <v>0</v>
      </c>
      <c r="G122" s="872"/>
      <c r="H122" s="2236"/>
    </row>
    <row r="123" spans="1:8" ht="16.2" customHeight="1" x14ac:dyDescent="0.25">
      <c r="A123" s="2232"/>
      <c r="B123" s="1521"/>
      <c r="C123" s="449" t="str">
        <f>T!C154</f>
        <v>75 to 95%.</v>
      </c>
      <c r="D123" s="44">
        <f>T!D154</f>
        <v>0</v>
      </c>
      <c r="E123" s="45">
        <v>1</v>
      </c>
      <c r="F123" s="45">
        <f t="shared" si="7"/>
        <v>0</v>
      </c>
      <c r="G123" s="872"/>
      <c r="H123" s="2236"/>
    </row>
    <row r="124" spans="1:8" ht="16.2" customHeight="1" thickBot="1" x14ac:dyDescent="0.3">
      <c r="A124" s="2232"/>
      <c r="B124" s="1521"/>
      <c r="C124" s="11" t="str">
        <f>T!C155</f>
        <v>&gt;95%.</v>
      </c>
      <c r="D124" s="17">
        <f>T!D155</f>
        <v>0</v>
      </c>
      <c r="E124" s="54">
        <v>0</v>
      </c>
      <c r="F124" s="54">
        <f t="shared" si="7"/>
        <v>0</v>
      </c>
      <c r="G124" s="876"/>
      <c r="H124" s="2237"/>
    </row>
    <row r="125" spans="1:8" ht="42.75" customHeight="1" thickBot="1" x14ac:dyDescent="0.3">
      <c r="A125" s="2233" t="str">
        <f>T!A156</f>
        <v>T28</v>
      </c>
      <c r="B125" s="1522" t="str">
        <f>T!B156</f>
        <v>Upland Perennial Cover - Width (Buffer)  (BuffWidthT)</v>
      </c>
      <c r="C125" s="466" t="str">
        <f>T!C156</f>
        <v>Along the greatest portion of the AA's upland edge, the width (not necessarily the maximum width) of perennial cover taller than 6 inches during most of the growing season and extending upslope from the AA until mostly shorter or non-perennial cover is reached is:</v>
      </c>
      <c r="D125" s="549"/>
      <c r="E125" s="192"/>
      <c r="F125" s="241"/>
      <c r="G125" s="1470">
        <f>MAX(F126:F131)/MAX(E126:E131)</f>
        <v>0</v>
      </c>
      <c r="H125" s="2235"/>
    </row>
    <row r="126" spans="1:8" ht="16.2" customHeight="1" x14ac:dyDescent="0.25">
      <c r="A126" s="2232"/>
      <c r="B126" s="1521"/>
      <c r="C126" s="449" t="str">
        <f>T!C157</f>
        <v xml:space="preserve">&lt; 5 ft, or none.  </v>
      </c>
      <c r="D126" s="44">
        <f>T!D157</f>
        <v>0</v>
      </c>
      <c r="E126" s="45">
        <v>5</v>
      </c>
      <c r="F126" s="45">
        <f t="shared" ref="F126:F131" si="8">D126*E126</f>
        <v>0</v>
      </c>
      <c r="G126" s="1479"/>
      <c r="H126" s="2236"/>
    </row>
    <row r="127" spans="1:8" ht="16.2" customHeight="1" x14ac:dyDescent="0.25">
      <c r="A127" s="2232"/>
      <c r="B127" s="1521"/>
      <c r="C127" s="449" t="str">
        <f>T!C158</f>
        <v>5 to &lt;30 ft.</v>
      </c>
      <c r="D127" s="44">
        <f>T!D158</f>
        <v>0</v>
      </c>
      <c r="E127" s="45">
        <v>4</v>
      </c>
      <c r="F127" s="45">
        <f t="shared" si="8"/>
        <v>0</v>
      </c>
      <c r="G127" s="1480"/>
      <c r="H127" s="2236"/>
    </row>
    <row r="128" spans="1:8" ht="16.2" customHeight="1" x14ac:dyDescent="0.25">
      <c r="A128" s="2232"/>
      <c r="B128" s="1521"/>
      <c r="C128" s="449" t="str">
        <f>T!C159</f>
        <v>30 to &lt;50 ft.</v>
      </c>
      <c r="D128" s="44">
        <f>T!D159</f>
        <v>0</v>
      </c>
      <c r="E128" s="45">
        <v>3</v>
      </c>
      <c r="F128" s="45">
        <f t="shared" si="8"/>
        <v>0</v>
      </c>
      <c r="G128" s="1480"/>
      <c r="H128" s="2236"/>
    </row>
    <row r="129" spans="1:8" ht="16.2" customHeight="1" x14ac:dyDescent="0.25">
      <c r="A129" s="2232"/>
      <c r="B129" s="1521"/>
      <c r="C129" s="449" t="str">
        <f>T!C160</f>
        <v>50 to &lt;100 ft.</v>
      </c>
      <c r="D129" s="44">
        <f>T!D160</f>
        <v>0</v>
      </c>
      <c r="E129" s="45">
        <v>2</v>
      </c>
      <c r="F129" s="45">
        <f t="shared" si="8"/>
        <v>0</v>
      </c>
      <c r="G129" s="1480"/>
      <c r="H129" s="2236"/>
    </row>
    <row r="130" spans="1:8" ht="16.2" customHeight="1" x14ac:dyDescent="0.25">
      <c r="A130" s="2232"/>
      <c r="B130" s="1521"/>
      <c r="C130" s="449" t="str">
        <f>T!C161</f>
        <v>100 to 300 ft.             IF #T27 also was answered &gt;95%, enter 1 and SKIP to T30.</v>
      </c>
      <c r="D130" s="44">
        <f>T!D161</f>
        <v>0</v>
      </c>
      <c r="E130" s="45">
        <v>1</v>
      </c>
      <c r="F130" s="45">
        <f t="shared" si="8"/>
        <v>0</v>
      </c>
      <c r="G130" s="1480"/>
      <c r="H130" s="2236"/>
    </row>
    <row r="131" spans="1:8" ht="16.2" customHeight="1" thickBot="1" x14ac:dyDescent="0.3">
      <c r="A131" s="2234"/>
      <c r="B131" s="1523"/>
      <c r="C131" s="1194" t="str">
        <f>T!C162</f>
        <v>&gt; 300 ft.                    IF #T27 also was answered &gt;95%, enter 1 and SKIP to T30.</v>
      </c>
      <c r="D131" s="1481">
        <f>T!D162</f>
        <v>0</v>
      </c>
      <c r="E131" s="193">
        <v>0</v>
      </c>
      <c r="F131" s="193">
        <f t="shared" si="8"/>
        <v>0</v>
      </c>
      <c r="G131" s="1482"/>
      <c r="H131" s="2237"/>
    </row>
    <row r="132" spans="1:8" ht="41.25" customHeight="1" thickBot="1" x14ac:dyDescent="0.3">
      <c r="A132" s="1483" t="str">
        <f>S!A3</f>
        <v>S1</v>
      </c>
      <c r="B132" s="892" t="str">
        <f>S!B3</f>
        <v>Aberrant Timing of Water Inputs (AltTiming)</v>
      </c>
      <c r="C132" s="1484" t="s">
        <v>781</v>
      </c>
      <c r="D132" s="261">
        <f>S!F18</f>
        <v>0</v>
      </c>
      <c r="E132" s="877"/>
      <c r="F132" s="825"/>
      <c r="G132" s="1485">
        <f>D132</f>
        <v>0</v>
      </c>
      <c r="H132" s="712"/>
    </row>
    <row r="133" spans="1:8" ht="33" customHeight="1" thickBot="1" x14ac:dyDescent="0.3">
      <c r="A133" s="1486" t="str">
        <f>S!A19</f>
        <v>S2</v>
      </c>
      <c r="B133" s="255" t="str">
        <f>S!B19</f>
        <v>Accelerated Inputs of Nutrients (NutrLoad)</v>
      </c>
      <c r="C133" s="1487" t="s">
        <v>781</v>
      </c>
      <c r="D133" s="248">
        <f>S!F32</f>
        <v>0</v>
      </c>
      <c r="E133" s="249"/>
      <c r="F133" s="835"/>
      <c r="G133" s="1478">
        <f>D132</f>
        <v>0</v>
      </c>
      <c r="H133" s="4"/>
    </row>
    <row r="134" spans="1:8" ht="45" customHeight="1" thickBot="1" x14ac:dyDescent="0.3">
      <c r="A134" s="1488" t="str">
        <f>S!A33</f>
        <v>S3</v>
      </c>
      <c r="B134" s="1489" t="str">
        <f>S!B33</f>
        <v>Accelerated Inputs of Contaminants and/or Salts (ContamIn).</v>
      </c>
      <c r="C134" s="1484" t="s">
        <v>781</v>
      </c>
      <c r="D134" s="261">
        <f>S!F50</f>
        <v>0</v>
      </c>
      <c r="E134" s="877"/>
      <c r="F134" s="825"/>
      <c r="G134" s="1485">
        <f>D133</f>
        <v>0</v>
      </c>
      <c r="H134" s="712"/>
    </row>
    <row r="135" spans="1:8" ht="60" customHeight="1" thickBot="1" x14ac:dyDescent="0.3">
      <c r="A135" s="1486" t="str">
        <f>S!A51</f>
        <v>S4</v>
      </c>
      <c r="B135" s="255" t="str">
        <f>S!B51</f>
        <v>Excessive Sediment Loading from Runoff Contributing Area (SedRCA).</v>
      </c>
      <c r="C135" s="1487" t="s">
        <v>781</v>
      </c>
      <c r="D135" s="248">
        <f>S!F68</f>
        <v>0</v>
      </c>
      <c r="E135" s="249"/>
      <c r="F135" s="835"/>
      <c r="G135" s="1478">
        <f>D134</f>
        <v>0</v>
      </c>
      <c r="H135" s="4"/>
    </row>
    <row r="136" spans="1:8" ht="60" customHeight="1" thickBot="1" x14ac:dyDescent="0.3">
      <c r="A136" s="1490" t="str">
        <f>S!A69</f>
        <v>S5</v>
      </c>
      <c r="B136" s="1314" t="str">
        <f>S!B69</f>
        <v>Soil or Sediment Alteration Within the Assessment Area (SoilDisturb).</v>
      </c>
      <c r="C136" s="1491" t="s">
        <v>781</v>
      </c>
      <c r="D136" s="1492">
        <f>S!F86</f>
        <v>0</v>
      </c>
      <c r="E136" s="1322"/>
      <c r="F136" s="1082"/>
      <c r="G136" s="1477">
        <f>D135</f>
        <v>0</v>
      </c>
      <c r="H136" s="714"/>
    </row>
    <row r="137" spans="1:8" ht="21" customHeight="1" thickBot="1" x14ac:dyDescent="0.3">
      <c r="G137" s="15"/>
    </row>
    <row r="138" spans="1:8" ht="27.75" customHeight="1" x14ac:dyDescent="0.25">
      <c r="C138" s="1834" t="s">
        <v>615</v>
      </c>
      <c r="D138" s="2222" t="s">
        <v>618</v>
      </c>
      <c r="E138" s="2223"/>
      <c r="F138" s="2224"/>
      <c r="G138" s="1494">
        <f>IF((Tidal=1),AVERAGE(AltTiming, ConstricT20), AVERAGE(AltTiming,Constric20,TransRCA20))</f>
        <v>0</v>
      </c>
      <c r="H138" s="933" t="s">
        <v>1779</v>
      </c>
    </row>
    <row r="139" spans="1:8" ht="37.5" customHeight="1" thickBot="1" x14ac:dyDescent="0.3">
      <c r="C139" s="1962"/>
      <c r="D139" s="2219" t="s">
        <v>619</v>
      </c>
      <c r="E139" s="2220"/>
      <c r="F139" s="2221"/>
      <c r="G139" s="1495">
        <f>AVERAGE(NutrLoad,ContamIn20,SedLoad,SoilDisturb,ErodeUp20,WQin20,ConnecUp20,ImpervRCA20,ImpervSCA20)</f>
        <v>0</v>
      </c>
      <c r="H139" s="1020" t="s">
        <v>1777</v>
      </c>
    </row>
    <row r="140" spans="1:8" ht="41.25" customHeight="1" thickBot="1" x14ac:dyDescent="0.3">
      <c r="C140" s="1962"/>
      <c r="D140" s="2219" t="s">
        <v>673</v>
      </c>
      <c r="E140" s="2220"/>
      <c r="F140" s="2221"/>
      <c r="G140" s="1496">
        <f>IF((Tidal=1),AVERAGE(DistPerCov20,SizePerenn20,ForestPct20, PerCovPct20,ConnLocalW20,ConnScapeW20,BuffWidthT20,PerimPerT), AVERAGE(DistPerCov20,SizePerenn20,ForestPct20, ConnLocalW20,ConnScapeW20,BuffWidth20,PerimPctPer20))</f>
        <v>0</v>
      </c>
      <c r="H140" s="251" t="s">
        <v>1780</v>
      </c>
    </row>
    <row r="141" spans="1:8" ht="21" customHeight="1" thickBot="1" x14ac:dyDescent="0.3">
      <c r="C141" s="1963"/>
      <c r="D141" s="2216" t="s">
        <v>617</v>
      </c>
      <c r="E141" s="2217"/>
      <c r="F141" s="2218"/>
      <c r="G141" s="1497">
        <f>AVERAGE(DistRd20,UpWeed20,VisitNo20,VisitOften20,Visibil20)</f>
        <v>0</v>
      </c>
      <c r="H141" s="984" t="s">
        <v>1778</v>
      </c>
    </row>
    <row r="142" spans="1:8" ht="33" customHeight="1" thickBot="1" x14ac:dyDescent="0.3">
      <c r="C142" s="2213" t="s">
        <v>33</v>
      </c>
      <c r="D142" s="2214"/>
      <c r="E142" s="2215"/>
      <c r="F142" s="1493" t="s">
        <v>1184</v>
      </c>
      <c r="G142" s="1498">
        <f>10*(IF((WQin20=1),1, MAX(HydroStress, WQstress,ConnecStress,DisturbStress)))</f>
        <v>0</v>
      </c>
      <c r="H142" s="251" t="s">
        <v>2240</v>
      </c>
    </row>
    <row r="143" spans="1:8" x14ac:dyDescent="0.25">
      <c r="C143" s="108"/>
      <c r="D143" s="437"/>
      <c r="F143" s="109"/>
    </row>
    <row r="144" spans="1:8" x14ac:dyDescent="0.25">
      <c r="C144" s="78"/>
    </row>
  </sheetData>
  <sheetProtection password="C74A" sheet="1" objects="1" scenarios="1" formatCells="0" formatColumns="0" formatRows="0"/>
  <customSheetViews>
    <customSheetView guid="{B8E02330-2419-4DE6-AD01-7ACC7A5D18DD}" scale="75">
      <selection activeCell="H8" sqref="H8"/>
      <pageMargins left="0.75" right="0.75" top="1" bottom="1" header="0.5" footer="0.5"/>
      <pageSetup orientation="portrait" r:id="rId1"/>
      <headerFooter alignWithMargins="0"/>
    </customSheetView>
  </customSheetViews>
  <mergeCells count="77">
    <mergeCell ref="H118:H124"/>
    <mergeCell ref="H125:H131"/>
    <mergeCell ref="E1:H1"/>
    <mergeCell ref="H86:H92"/>
    <mergeCell ref="H93:H97"/>
    <mergeCell ref="H98:H101"/>
    <mergeCell ref="H102:H108"/>
    <mergeCell ref="H109:H113"/>
    <mergeCell ref="H114:H117"/>
    <mergeCell ref="H61:H64"/>
    <mergeCell ref="H65:H70"/>
    <mergeCell ref="H71:H74"/>
    <mergeCell ref="H75:H78"/>
    <mergeCell ref="H79:H85"/>
    <mergeCell ref="H37:H41"/>
    <mergeCell ref="H42:H46"/>
    <mergeCell ref="H47:H52"/>
    <mergeCell ref="H53:H56"/>
    <mergeCell ref="H57:H60"/>
    <mergeCell ref="H3:H9"/>
    <mergeCell ref="H10:H16"/>
    <mergeCell ref="H17:H24"/>
    <mergeCell ref="H25:H30"/>
    <mergeCell ref="H31:H36"/>
    <mergeCell ref="A93:A97"/>
    <mergeCell ref="B93:B97"/>
    <mergeCell ref="B114:B117"/>
    <mergeCell ref="A118:A124"/>
    <mergeCell ref="A125:A131"/>
    <mergeCell ref="A98:A101"/>
    <mergeCell ref="B98:B101"/>
    <mergeCell ref="A102:A108"/>
    <mergeCell ref="B102:B108"/>
    <mergeCell ref="A109:A113"/>
    <mergeCell ref="B109:B113"/>
    <mergeCell ref="B125:B131"/>
    <mergeCell ref="B118:B124"/>
    <mergeCell ref="A114:A117"/>
    <mergeCell ref="A75:A78"/>
    <mergeCell ref="B75:B78"/>
    <mergeCell ref="A79:A85"/>
    <mergeCell ref="B79:B85"/>
    <mergeCell ref="A86:A92"/>
    <mergeCell ref="B86:B92"/>
    <mergeCell ref="A65:A70"/>
    <mergeCell ref="B65:B70"/>
    <mergeCell ref="A61:A64"/>
    <mergeCell ref="B61:B64"/>
    <mergeCell ref="A71:A74"/>
    <mergeCell ref="B71:B74"/>
    <mergeCell ref="A47:A52"/>
    <mergeCell ref="B47:B52"/>
    <mergeCell ref="A53:A56"/>
    <mergeCell ref="B53:B56"/>
    <mergeCell ref="A57:A60"/>
    <mergeCell ref="B57:B60"/>
    <mergeCell ref="B31:B36"/>
    <mergeCell ref="A37:A41"/>
    <mergeCell ref="B37:B41"/>
    <mergeCell ref="A42:A46"/>
    <mergeCell ref="B42:B46"/>
    <mergeCell ref="C142:E142"/>
    <mergeCell ref="A1:B1"/>
    <mergeCell ref="D141:F141"/>
    <mergeCell ref="C138:C141"/>
    <mergeCell ref="D140:F140"/>
    <mergeCell ref="D138:F138"/>
    <mergeCell ref="D139:F139"/>
    <mergeCell ref="A3:A9"/>
    <mergeCell ref="B3:B9"/>
    <mergeCell ref="A10:A16"/>
    <mergeCell ref="B10:B16"/>
    <mergeCell ref="A17:A24"/>
    <mergeCell ref="B17:B24"/>
    <mergeCell ref="A25:A30"/>
    <mergeCell ref="B25:B30"/>
    <mergeCell ref="A31:A36"/>
  </mergeCells>
  <phoneticPr fontId="3" type="noConversion"/>
  <pageMargins left="0.75" right="0.75" top="1" bottom="1" header="0.5" footer="0.5"/>
  <pageSetup orientation="portrait"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66FF99"/>
  </sheetPr>
  <dimension ref="A1:IW362"/>
  <sheetViews>
    <sheetView zoomScaleNormal="100" workbookViewId="0">
      <selection sqref="A1:B1"/>
    </sheetView>
  </sheetViews>
  <sheetFormatPr defaultColWidth="9.33203125" defaultRowHeight="16.2" customHeight="1" x14ac:dyDescent="0.25"/>
  <cols>
    <col min="1" max="1" width="5.77734375" style="3" customWidth="1"/>
    <col min="2" max="2" width="18.77734375" style="2" customWidth="1"/>
    <col min="3" max="3" width="91.44140625" style="2" customWidth="1"/>
    <col min="4" max="4" width="6.77734375" style="92" customWidth="1"/>
    <col min="5" max="5" width="71.77734375" style="3" customWidth="1"/>
    <col min="6" max="6" width="11.77734375" style="81" customWidth="1"/>
    <col min="7" max="7" width="40.77734375" style="3" customWidth="1"/>
    <col min="8" max="16" width="9.33203125" style="3"/>
    <col min="17" max="17" width="9.33203125" style="3" customWidth="1"/>
    <col min="18" max="19" width="9.33203125" style="3"/>
    <col min="20" max="24" width="9.33203125" style="3" customWidth="1"/>
    <col min="25" max="16384" width="9.33203125" style="3"/>
  </cols>
  <sheetData>
    <row r="1" spans="1:257" ht="24" customHeight="1" thickBot="1" x14ac:dyDescent="0.3">
      <c r="A1" s="1554" t="s">
        <v>102</v>
      </c>
      <c r="B1" s="1555"/>
      <c r="C1" s="667" t="s">
        <v>1510</v>
      </c>
      <c r="D1" s="1556" t="s">
        <v>1495</v>
      </c>
      <c r="E1" s="1557"/>
      <c r="F1" s="1647"/>
      <c r="G1" s="762"/>
    </row>
    <row r="2" spans="1:257" s="160" customFormat="1" ht="99" customHeight="1" thickBot="1" x14ac:dyDescent="0.3">
      <c r="A2" s="1577" t="s">
        <v>2647</v>
      </c>
      <c r="B2" s="1578"/>
      <c r="C2" s="579" t="s">
        <v>2734</v>
      </c>
      <c r="D2" s="1579" t="s">
        <v>2340</v>
      </c>
      <c r="E2" s="1507"/>
      <c r="F2" s="1508"/>
      <c r="G2" s="582" t="s">
        <v>2344</v>
      </c>
    </row>
    <row r="3" spans="1:257" s="316" customFormat="1" ht="30" customHeight="1" thickBot="1" x14ac:dyDescent="0.3">
      <c r="A3" s="514" t="s">
        <v>126</v>
      </c>
      <c r="B3" s="514" t="s">
        <v>1509</v>
      </c>
      <c r="C3" s="515" t="s">
        <v>1410</v>
      </c>
      <c r="D3" s="580" t="s">
        <v>115</v>
      </c>
      <c r="E3" s="516" t="s">
        <v>2624</v>
      </c>
      <c r="F3" s="517" t="s">
        <v>1999</v>
      </c>
      <c r="G3" s="515" t="s">
        <v>2233</v>
      </c>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7"/>
      <c r="EC3" s="317"/>
      <c r="ED3" s="317"/>
      <c r="EE3" s="317"/>
      <c r="EF3" s="317"/>
      <c r="EG3" s="317"/>
      <c r="EH3" s="317"/>
      <c r="EI3" s="317"/>
      <c r="EJ3" s="317"/>
      <c r="EK3" s="317"/>
      <c r="EL3" s="317"/>
      <c r="EM3" s="317"/>
      <c r="EN3" s="317"/>
      <c r="EO3" s="317"/>
      <c r="EP3" s="317"/>
      <c r="EQ3" s="317"/>
      <c r="ER3" s="317"/>
      <c r="ES3" s="317"/>
      <c r="ET3" s="317"/>
      <c r="EU3" s="317"/>
      <c r="EV3" s="317"/>
      <c r="EW3" s="317"/>
      <c r="EX3" s="317"/>
      <c r="EY3" s="317"/>
      <c r="EZ3" s="317"/>
      <c r="FA3" s="317"/>
      <c r="FB3" s="317"/>
      <c r="FC3" s="317"/>
      <c r="FD3" s="317"/>
      <c r="FE3" s="317"/>
      <c r="FF3" s="317"/>
      <c r="FG3" s="317"/>
      <c r="FH3" s="317"/>
      <c r="FI3" s="317"/>
      <c r="FJ3" s="317"/>
      <c r="FK3" s="317"/>
      <c r="FL3" s="317"/>
      <c r="FM3" s="317"/>
      <c r="FN3" s="317"/>
      <c r="FO3" s="317"/>
      <c r="FP3" s="317"/>
      <c r="FQ3" s="317"/>
      <c r="FR3" s="317"/>
      <c r="FS3" s="317"/>
      <c r="FT3" s="317"/>
      <c r="FU3" s="317"/>
      <c r="FV3" s="317"/>
      <c r="FW3" s="317"/>
      <c r="FX3" s="317"/>
      <c r="FY3" s="317"/>
      <c r="FZ3" s="317"/>
      <c r="GA3" s="317"/>
      <c r="GB3" s="317"/>
      <c r="GC3" s="317"/>
      <c r="GD3" s="317"/>
      <c r="GE3" s="317"/>
      <c r="GF3" s="317"/>
      <c r="GG3" s="317"/>
      <c r="GH3" s="317"/>
      <c r="GI3" s="317"/>
      <c r="GJ3" s="317"/>
      <c r="GK3" s="317"/>
      <c r="GL3" s="317"/>
      <c r="GM3" s="317"/>
      <c r="GN3" s="317"/>
      <c r="GO3" s="317"/>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c r="IW3" s="317"/>
    </row>
    <row r="4" spans="1:257" ht="78.75" customHeight="1" thickBot="1" x14ac:dyDescent="0.3">
      <c r="A4" s="140" t="s">
        <v>191</v>
      </c>
      <c r="B4" s="140" t="s">
        <v>2538</v>
      </c>
      <c r="C4" s="749" t="s">
        <v>2691</v>
      </c>
      <c r="D4" s="750"/>
      <c r="E4" s="270" t="s">
        <v>2288</v>
      </c>
      <c r="F4" s="292"/>
      <c r="G4" s="694"/>
    </row>
    <row r="5" spans="1:257" ht="52.5" customHeight="1" thickBot="1" x14ac:dyDescent="0.3">
      <c r="A5" s="713" t="s">
        <v>35</v>
      </c>
      <c r="B5" s="710" t="s">
        <v>776</v>
      </c>
      <c r="C5" s="129" t="s">
        <v>2692</v>
      </c>
      <c r="D5" s="414">
        <v>0</v>
      </c>
      <c r="E5" s="714" t="s">
        <v>2539</v>
      </c>
      <c r="F5" s="310" t="s">
        <v>1411</v>
      </c>
      <c r="G5" s="707"/>
    </row>
    <row r="6" spans="1:257" ht="75" customHeight="1" thickBot="1" x14ac:dyDescent="0.3">
      <c r="A6" s="1574" t="s">
        <v>2596</v>
      </c>
      <c r="B6" s="1575"/>
      <c r="C6" s="1575"/>
      <c r="D6" s="751"/>
      <c r="E6" s="518" t="s">
        <v>2426</v>
      </c>
      <c r="F6" s="519"/>
      <c r="G6" s="695"/>
    </row>
    <row r="7" spans="1:257" ht="39" customHeight="1" thickBot="1" x14ac:dyDescent="0.3">
      <c r="A7" s="1582" t="s">
        <v>36</v>
      </c>
      <c r="B7" s="1521" t="s">
        <v>474</v>
      </c>
      <c r="C7" s="4" t="s">
        <v>2759</v>
      </c>
      <c r="D7" s="757"/>
      <c r="E7" s="1522" t="s">
        <v>2464</v>
      </c>
      <c r="F7" s="313"/>
      <c r="G7" s="1564"/>
    </row>
    <row r="8" spans="1:257" ht="42" customHeight="1" x14ac:dyDescent="0.25">
      <c r="A8" s="1583"/>
      <c r="B8" s="1583"/>
      <c r="C8" s="130" t="s">
        <v>2693</v>
      </c>
      <c r="D8" s="415">
        <v>0</v>
      </c>
      <c r="E8" s="1521"/>
      <c r="F8" s="314" t="s">
        <v>1412</v>
      </c>
      <c r="G8" s="1558"/>
    </row>
    <row r="9" spans="1:257" ht="54" customHeight="1" x14ac:dyDescent="0.25">
      <c r="A9" s="1583"/>
      <c r="B9" s="1583"/>
      <c r="C9" s="131" t="s">
        <v>2694</v>
      </c>
      <c r="D9" s="416">
        <v>0</v>
      </c>
      <c r="E9" s="1521"/>
      <c r="F9" s="314" t="s">
        <v>1413</v>
      </c>
      <c r="G9" s="1558"/>
    </row>
    <row r="10" spans="1:257" ht="42" customHeight="1" x14ac:dyDescent="0.25">
      <c r="A10" s="1583"/>
      <c r="B10" s="1583"/>
      <c r="C10" s="131" t="s">
        <v>2695</v>
      </c>
      <c r="D10" s="416">
        <v>0</v>
      </c>
      <c r="E10" s="1521"/>
      <c r="F10" s="314" t="s">
        <v>1414</v>
      </c>
      <c r="G10" s="1558"/>
    </row>
    <row r="11" spans="1:257" ht="42" customHeight="1" x14ac:dyDescent="0.25">
      <c r="A11" s="1583"/>
      <c r="B11" s="1583"/>
      <c r="C11" s="131" t="s">
        <v>2696</v>
      </c>
      <c r="D11" s="416">
        <v>0</v>
      </c>
      <c r="E11" s="1576"/>
      <c r="F11" s="314" t="s">
        <v>1415</v>
      </c>
      <c r="G11" s="1656"/>
    </row>
    <row r="12" spans="1:257" ht="43.5" customHeight="1" thickBot="1" x14ac:dyDescent="0.3">
      <c r="A12" s="1584"/>
      <c r="B12" s="1584"/>
      <c r="C12" s="115" t="s">
        <v>2697</v>
      </c>
      <c r="D12" s="417">
        <v>0</v>
      </c>
      <c r="E12" s="262" t="s">
        <v>2698</v>
      </c>
      <c r="F12" s="320" t="s">
        <v>1416</v>
      </c>
      <c r="G12" s="709"/>
    </row>
    <row r="13" spans="1:257" ht="32.25" customHeight="1" thickBot="1" x14ac:dyDescent="0.3">
      <c r="A13" s="1585" t="s">
        <v>64</v>
      </c>
      <c r="B13" s="1585" t="s">
        <v>473</v>
      </c>
      <c r="C13" s="4" t="s">
        <v>2540</v>
      </c>
      <c r="D13" s="757"/>
      <c r="E13" s="1550" t="s">
        <v>2541</v>
      </c>
      <c r="F13" s="313"/>
      <c r="G13" s="1568"/>
    </row>
    <row r="14" spans="1:257" ht="16.2" customHeight="1" x14ac:dyDescent="0.25">
      <c r="A14" s="1586"/>
      <c r="B14" s="1586"/>
      <c r="C14" s="84" t="s">
        <v>2286</v>
      </c>
      <c r="D14" s="420">
        <v>0</v>
      </c>
      <c r="E14" s="1552"/>
      <c r="F14" s="314"/>
      <c r="G14" s="1569"/>
    </row>
    <row r="15" spans="1:257" ht="16.2" customHeight="1" x14ac:dyDescent="0.25">
      <c r="A15" s="1586"/>
      <c r="B15" s="1586"/>
      <c r="C15" s="84" t="s">
        <v>2188</v>
      </c>
      <c r="D15" s="418">
        <v>0</v>
      </c>
      <c r="E15" s="1552"/>
      <c r="F15" s="314"/>
      <c r="G15" s="1569"/>
    </row>
    <row r="16" spans="1:257" ht="16.2" customHeight="1" x14ac:dyDescent="0.25">
      <c r="A16" s="1586"/>
      <c r="B16" s="1586"/>
      <c r="C16" s="84" t="s">
        <v>2189</v>
      </c>
      <c r="D16" s="418">
        <v>0</v>
      </c>
      <c r="E16" s="1552"/>
      <c r="F16" s="314"/>
      <c r="G16" s="1569"/>
    </row>
    <row r="17" spans="1:7" ht="16.2" customHeight="1" thickBot="1" x14ac:dyDescent="0.3">
      <c r="A17" s="1587"/>
      <c r="B17" s="1587"/>
      <c r="C17" s="117" t="s">
        <v>1234</v>
      </c>
      <c r="D17" s="419">
        <v>0</v>
      </c>
      <c r="E17" s="1553"/>
      <c r="F17" s="320" t="s">
        <v>1417</v>
      </c>
      <c r="G17" s="1570"/>
    </row>
    <row r="18" spans="1:7" ht="30.6" customHeight="1" thickBot="1" x14ac:dyDescent="0.3">
      <c r="A18" s="1588" t="s">
        <v>192</v>
      </c>
      <c r="B18" s="1588" t="s">
        <v>481</v>
      </c>
      <c r="C18" s="4" t="s">
        <v>2606</v>
      </c>
      <c r="D18" s="757"/>
      <c r="E18" s="1514" t="s">
        <v>2465</v>
      </c>
      <c r="F18" s="313"/>
      <c r="G18" s="1561"/>
    </row>
    <row r="19" spans="1:7" ht="16.2" customHeight="1" x14ac:dyDescent="0.25">
      <c r="A19" s="1589"/>
      <c r="B19" s="1589"/>
      <c r="C19" s="238" t="s">
        <v>2287</v>
      </c>
      <c r="D19" s="420">
        <v>0</v>
      </c>
      <c r="E19" s="1515"/>
      <c r="F19" s="314"/>
      <c r="G19" s="1562"/>
    </row>
    <row r="20" spans="1:7" ht="16.2" customHeight="1" x14ac:dyDescent="0.25">
      <c r="A20" s="1589"/>
      <c r="B20" s="1589"/>
      <c r="C20" s="84" t="s">
        <v>2190</v>
      </c>
      <c r="D20" s="418">
        <v>0</v>
      </c>
      <c r="E20" s="1515"/>
      <c r="F20" s="314"/>
      <c r="G20" s="1562"/>
    </row>
    <row r="21" spans="1:7" ht="16.2" customHeight="1" x14ac:dyDescent="0.25">
      <c r="A21" s="1589"/>
      <c r="B21" s="1589"/>
      <c r="C21" s="84" t="s">
        <v>2191</v>
      </c>
      <c r="D21" s="418">
        <v>0</v>
      </c>
      <c r="E21" s="1515"/>
      <c r="F21" s="314"/>
      <c r="G21" s="1562"/>
    </row>
    <row r="22" spans="1:7" ht="16.2" customHeight="1" x14ac:dyDescent="0.25">
      <c r="A22" s="1589"/>
      <c r="B22" s="1589"/>
      <c r="C22" s="84" t="s">
        <v>2597</v>
      </c>
      <c r="D22" s="418">
        <v>0</v>
      </c>
      <c r="E22" s="1515"/>
      <c r="F22" s="314"/>
      <c r="G22" s="1562"/>
    </row>
    <row r="23" spans="1:7" ht="16.2" customHeight="1" thickBot="1" x14ac:dyDescent="0.3">
      <c r="A23" s="1590"/>
      <c r="B23" s="1590"/>
      <c r="C23" s="117" t="s">
        <v>1802</v>
      </c>
      <c r="D23" s="419">
        <v>0</v>
      </c>
      <c r="E23" s="1516"/>
      <c r="F23" s="315"/>
      <c r="G23" s="1563"/>
    </row>
    <row r="24" spans="1:7" ht="27.75" customHeight="1" thickBot="1" x14ac:dyDescent="0.3">
      <c r="A24" s="1591" t="s">
        <v>65</v>
      </c>
      <c r="B24" s="1591" t="s">
        <v>482</v>
      </c>
      <c r="C24" s="4" t="s">
        <v>2290</v>
      </c>
      <c r="D24" s="758"/>
      <c r="E24" s="1514" t="s">
        <v>2466</v>
      </c>
      <c r="F24" s="313"/>
      <c r="G24" s="1561"/>
    </row>
    <row r="25" spans="1:7" ht="16.2" customHeight="1" x14ac:dyDescent="0.25">
      <c r="A25" s="1592"/>
      <c r="B25" s="1592"/>
      <c r="C25" s="393" t="s">
        <v>1767</v>
      </c>
      <c r="D25" s="523">
        <v>0</v>
      </c>
      <c r="E25" s="1515"/>
      <c r="F25" s="314"/>
      <c r="G25" s="1562"/>
    </row>
    <row r="26" spans="1:7" ht="16.2" customHeight="1" x14ac:dyDescent="0.25">
      <c r="A26" s="1592"/>
      <c r="B26" s="1592"/>
      <c r="C26" s="237" t="s">
        <v>1768</v>
      </c>
      <c r="D26" s="418">
        <v>0</v>
      </c>
      <c r="E26" s="1515"/>
      <c r="F26" s="314"/>
      <c r="G26" s="1562"/>
    </row>
    <row r="27" spans="1:7" ht="16.2" customHeight="1" thickBot="1" x14ac:dyDescent="0.3">
      <c r="A27" s="1593"/>
      <c r="B27" s="1593"/>
      <c r="C27" s="212" t="s">
        <v>625</v>
      </c>
      <c r="D27" s="419">
        <v>0</v>
      </c>
      <c r="E27" s="1516"/>
      <c r="F27" s="320"/>
      <c r="G27" s="1563"/>
    </row>
    <row r="28" spans="1:7" ht="42" customHeight="1" thickBot="1" x14ac:dyDescent="0.3">
      <c r="A28" s="1591" t="s">
        <v>1208</v>
      </c>
      <c r="B28" s="1597" t="s">
        <v>491</v>
      </c>
      <c r="C28" s="4" t="s">
        <v>829</v>
      </c>
      <c r="D28" s="690" t="s">
        <v>1572</v>
      </c>
      <c r="E28" s="1524" t="s">
        <v>2467</v>
      </c>
      <c r="F28" s="313"/>
      <c r="G28" s="1564"/>
    </row>
    <row r="29" spans="1:7" ht="16.2" customHeight="1" x14ac:dyDescent="0.25">
      <c r="A29" s="1592"/>
      <c r="B29" s="1598"/>
      <c r="C29" s="112" t="s">
        <v>2657</v>
      </c>
      <c r="D29" s="163">
        <v>0</v>
      </c>
      <c r="E29" s="1511"/>
      <c r="F29" s="314" t="s">
        <v>1418</v>
      </c>
      <c r="G29" s="1558"/>
    </row>
    <row r="30" spans="1:7" ht="16.2" customHeight="1" x14ac:dyDescent="0.25">
      <c r="A30" s="1592"/>
      <c r="B30" s="1598"/>
      <c r="C30" s="112" t="s">
        <v>2547</v>
      </c>
      <c r="D30" s="161">
        <v>0</v>
      </c>
      <c r="E30" s="1511"/>
      <c r="F30" s="314"/>
      <c r="G30" s="1558"/>
    </row>
    <row r="31" spans="1:7" ht="16.2" customHeight="1" x14ac:dyDescent="0.25">
      <c r="A31" s="1592"/>
      <c r="B31" s="1598"/>
      <c r="C31" s="112" t="s">
        <v>2383</v>
      </c>
      <c r="D31" s="161">
        <v>0</v>
      </c>
      <c r="E31" s="1511"/>
      <c r="F31" s="314"/>
      <c r="G31" s="1558"/>
    </row>
    <row r="32" spans="1:7" ht="16.2" customHeight="1" x14ac:dyDescent="0.25">
      <c r="A32" s="1592"/>
      <c r="B32" s="1598"/>
      <c r="C32" s="84" t="s">
        <v>2548</v>
      </c>
      <c r="D32" s="161">
        <v>0</v>
      </c>
      <c r="E32" s="1511"/>
      <c r="F32" s="314"/>
      <c r="G32" s="1558"/>
    </row>
    <row r="33" spans="1:7" ht="16.2" customHeight="1" x14ac:dyDescent="0.25">
      <c r="A33" s="1592"/>
      <c r="B33" s="1598"/>
      <c r="C33" s="84" t="s">
        <v>2549</v>
      </c>
      <c r="D33" s="161">
        <v>0</v>
      </c>
      <c r="E33" s="1511"/>
      <c r="F33" s="314"/>
      <c r="G33" s="1558"/>
    </row>
    <row r="34" spans="1:7" ht="16.2" customHeight="1" thickBot="1" x14ac:dyDescent="0.3">
      <c r="A34" s="1592"/>
      <c r="B34" s="1598"/>
      <c r="C34" s="132" t="s">
        <v>1803</v>
      </c>
      <c r="D34" s="161">
        <v>0</v>
      </c>
      <c r="E34" s="1511"/>
      <c r="F34" s="320"/>
      <c r="G34" s="1558"/>
    </row>
    <row r="35" spans="1:7" ht="21" customHeight="1" thickBot="1" x14ac:dyDescent="0.3">
      <c r="A35" s="1588" t="s">
        <v>82</v>
      </c>
      <c r="B35" s="1588" t="s">
        <v>490</v>
      </c>
      <c r="C35" s="4" t="s">
        <v>1764</v>
      </c>
      <c r="D35" s="757"/>
      <c r="E35" s="1514" t="s">
        <v>1419</v>
      </c>
      <c r="F35" s="313"/>
      <c r="G35" s="1561"/>
    </row>
    <row r="36" spans="1:7" ht="16.2" customHeight="1" x14ac:dyDescent="0.25">
      <c r="A36" s="1589"/>
      <c r="B36" s="1589"/>
      <c r="C36" s="84" t="s">
        <v>1765</v>
      </c>
      <c r="D36" s="420">
        <v>0</v>
      </c>
      <c r="E36" s="1580"/>
      <c r="F36" s="321"/>
      <c r="G36" s="1657"/>
    </row>
    <row r="37" spans="1:7" ht="16.2" customHeight="1" x14ac:dyDescent="0.25">
      <c r="A37" s="1589"/>
      <c r="B37" s="1589"/>
      <c r="C37" s="84" t="s">
        <v>2192</v>
      </c>
      <c r="D37" s="418">
        <v>0</v>
      </c>
      <c r="E37" s="1580"/>
      <c r="F37" s="321"/>
      <c r="G37" s="1657"/>
    </row>
    <row r="38" spans="1:7" ht="16.2" customHeight="1" x14ac:dyDescent="0.25">
      <c r="A38" s="1589"/>
      <c r="B38" s="1589"/>
      <c r="C38" s="84" t="s">
        <v>2193</v>
      </c>
      <c r="D38" s="418">
        <v>0</v>
      </c>
      <c r="E38" s="1580"/>
      <c r="F38" s="321"/>
      <c r="G38" s="1657"/>
    </row>
    <row r="39" spans="1:7" ht="16.2" customHeight="1" x14ac:dyDescent="0.25">
      <c r="A39" s="1589"/>
      <c r="B39" s="1589"/>
      <c r="C39" s="84" t="s">
        <v>2550</v>
      </c>
      <c r="D39" s="418">
        <v>0</v>
      </c>
      <c r="E39" s="1580"/>
      <c r="F39" s="321"/>
      <c r="G39" s="1657"/>
    </row>
    <row r="40" spans="1:7" ht="16.2" customHeight="1" thickBot="1" x14ac:dyDescent="0.3">
      <c r="A40" s="1590"/>
      <c r="B40" s="1590"/>
      <c r="C40" s="238" t="s">
        <v>1766</v>
      </c>
      <c r="D40" s="421">
        <v>0</v>
      </c>
      <c r="E40" s="1581"/>
      <c r="F40" s="322"/>
      <c r="G40" s="1658"/>
    </row>
    <row r="41" spans="1:7" ht="21" customHeight="1" thickBot="1" x14ac:dyDescent="0.3">
      <c r="A41" s="1597" t="s">
        <v>83</v>
      </c>
      <c r="B41" s="1597" t="s">
        <v>1188</v>
      </c>
      <c r="C41" s="529" t="s">
        <v>2468</v>
      </c>
      <c r="D41" s="758"/>
      <c r="E41" s="1524" t="s">
        <v>1420</v>
      </c>
      <c r="F41" s="313"/>
      <c r="G41" s="1564"/>
    </row>
    <row r="42" spans="1:7" ht="16.2" customHeight="1" x14ac:dyDescent="0.25">
      <c r="A42" s="1598"/>
      <c r="B42" s="1598"/>
      <c r="C42" s="153" t="s">
        <v>1804</v>
      </c>
      <c r="D42" s="524">
        <v>0</v>
      </c>
      <c r="E42" s="1511"/>
      <c r="F42" s="314"/>
      <c r="G42" s="1558"/>
    </row>
    <row r="43" spans="1:7" ht="16.2" customHeight="1" x14ac:dyDescent="0.25">
      <c r="A43" s="1598"/>
      <c r="B43" s="1598"/>
      <c r="C43" s="154" t="s">
        <v>2194</v>
      </c>
      <c r="D43" s="422">
        <v>0</v>
      </c>
      <c r="E43" s="1511"/>
      <c r="F43" s="314"/>
      <c r="G43" s="1558"/>
    </row>
    <row r="44" spans="1:7" ht="16.2" customHeight="1" x14ac:dyDescent="0.25">
      <c r="A44" s="1598"/>
      <c r="B44" s="1598"/>
      <c r="C44" s="154" t="s">
        <v>2551</v>
      </c>
      <c r="D44" s="422">
        <v>0</v>
      </c>
      <c r="E44" s="1511"/>
      <c r="F44" s="314"/>
      <c r="G44" s="1558"/>
    </row>
    <row r="45" spans="1:7" ht="16.2" customHeight="1" thickBot="1" x14ac:dyDescent="0.3">
      <c r="A45" s="1627"/>
      <c r="B45" s="1627"/>
      <c r="C45" s="155" t="s">
        <v>1805</v>
      </c>
      <c r="D45" s="422">
        <v>0</v>
      </c>
      <c r="E45" s="1525"/>
      <c r="F45" s="320"/>
      <c r="G45" s="1565"/>
    </row>
    <row r="46" spans="1:7" ht="41.25" customHeight="1" thickBot="1" x14ac:dyDescent="0.3">
      <c r="A46" s="1585" t="s">
        <v>1</v>
      </c>
      <c r="B46" s="1628" t="s">
        <v>656</v>
      </c>
      <c r="C46" s="4" t="s">
        <v>1994</v>
      </c>
      <c r="D46" s="758"/>
      <c r="E46" s="1524" t="s">
        <v>1421</v>
      </c>
      <c r="F46" s="313"/>
      <c r="G46" s="1564"/>
    </row>
    <row r="47" spans="1:7" ht="16.2" customHeight="1" x14ac:dyDescent="0.25">
      <c r="A47" s="1586"/>
      <c r="B47" s="1629"/>
      <c r="C47" s="84" t="s">
        <v>2658</v>
      </c>
      <c r="D47" s="523">
        <v>0</v>
      </c>
      <c r="E47" s="1511"/>
      <c r="F47" s="314"/>
      <c r="G47" s="1558"/>
    </row>
    <row r="48" spans="1:7" ht="16.2" customHeight="1" x14ac:dyDescent="0.25">
      <c r="A48" s="1586"/>
      <c r="B48" s="1629"/>
      <c r="C48" s="84" t="s">
        <v>2659</v>
      </c>
      <c r="D48" s="418">
        <v>0</v>
      </c>
      <c r="E48" s="1511"/>
      <c r="F48" s="314"/>
      <c r="G48" s="1558"/>
    </row>
    <row r="49" spans="1:7" ht="16.2" customHeight="1" x14ac:dyDescent="0.25">
      <c r="A49" s="1586"/>
      <c r="B49" s="1629"/>
      <c r="C49" s="84" t="s">
        <v>2195</v>
      </c>
      <c r="D49" s="418">
        <v>0</v>
      </c>
      <c r="E49" s="1511"/>
      <c r="F49" s="314"/>
      <c r="G49" s="1558"/>
    </row>
    <row r="50" spans="1:7" ht="16.2" customHeight="1" x14ac:dyDescent="0.25">
      <c r="A50" s="1586"/>
      <c r="B50" s="1629"/>
      <c r="C50" s="84" t="s">
        <v>2196</v>
      </c>
      <c r="D50" s="418">
        <v>0</v>
      </c>
      <c r="E50" s="1511"/>
      <c r="F50" s="314"/>
      <c r="G50" s="1558"/>
    </row>
    <row r="51" spans="1:7" ht="16.2" customHeight="1" x14ac:dyDescent="0.25">
      <c r="A51" s="1586"/>
      <c r="B51" s="1629"/>
      <c r="C51" s="84" t="s">
        <v>2598</v>
      </c>
      <c r="D51" s="418">
        <v>0</v>
      </c>
      <c r="E51" s="1511"/>
      <c r="F51" s="314"/>
      <c r="G51" s="1558"/>
    </row>
    <row r="52" spans="1:7" ht="16.2" customHeight="1" thickBot="1" x14ac:dyDescent="0.3">
      <c r="A52" s="1587"/>
      <c r="B52" s="1630"/>
      <c r="C52" s="117" t="s">
        <v>1995</v>
      </c>
      <c r="D52" s="419">
        <v>0</v>
      </c>
      <c r="E52" s="1525"/>
      <c r="F52" s="315"/>
      <c r="G52" s="1565"/>
    </row>
    <row r="53" spans="1:7" ht="42.75" customHeight="1" thickBot="1" x14ac:dyDescent="0.3">
      <c r="A53" s="718" t="s">
        <v>181</v>
      </c>
      <c r="B53" s="271" t="s">
        <v>1189</v>
      </c>
      <c r="C53" s="399" t="s">
        <v>2699</v>
      </c>
      <c r="D53" s="432">
        <v>0</v>
      </c>
      <c r="E53" s="4" t="s">
        <v>2427</v>
      </c>
      <c r="F53" s="311" t="s">
        <v>1480</v>
      </c>
      <c r="G53" s="696"/>
    </row>
    <row r="54" spans="1:7" ht="30" customHeight="1" thickBot="1" x14ac:dyDescent="0.3">
      <c r="A54" s="1591" t="s">
        <v>4</v>
      </c>
      <c r="B54" s="1597" t="s">
        <v>778</v>
      </c>
      <c r="C54" s="4" t="s">
        <v>2470</v>
      </c>
      <c r="D54" s="757"/>
      <c r="E54" s="1601" t="s">
        <v>2560</v>
      </c>
      <c r="F54" s="313"/>
      <c r="G54" s="1659"/>
    </row>
    <row r="55" spans="1:7" ht="26.25" customHeight="1" x14ac:dyDescent="0.25">
      <c r="A55" s="1592"/>
      <c r="B55" s="1598"/>
      <c r="C55" s="128" t="s">
        <v>2607</v>
      </c>
      <c r="D55" s="420">
        <v>0</v>
      </c>
      <c r="E55" s="1602"/>
      <c r="F55" s="314" t="s">
        <v>1422</v>
      </c>
      <c r="G55" s="1660"/>
    </row>
    <row r="56" spans="1:7" ht="16.2" customHeight="1" x14ac:dyDescent="0.25">
      <c r="A56" s="1592"/>
      <c r="B56" s="1598"/>
      <c r="C56" s="112" t="s">
        <v>2016</v>
      </c>
      <c r="D56" s="415">
        <v>0</v>
      </c>
      <c r="E56" s="1602"/>
      <c r="F56" s="314"/>
      <c r="G56" s="1660"/>
    </row>
    <row r="57" spans="1:7" ht="16.2" customHeight="1" x14ac:dyDescent="0.25">
      <c r="A57" s="1592"/>
      <c r="B57" s="1598"/>
      <c r="C57" s="84" t="s">
        <v>2197</v>
      </c>
      <c r="D57" s="418">
        <v>0</v>
      </c>
      <c r="E57" s="1602"/>
      <c r="F57" s="314"/>
      <c r="G57" s="1660"/>
    </row>
    <row r="58" spans="1:7" ht="16.2" customHeight="1" x14ac:dyDescent="0.25">
      <c r="A58" s="1592"/>
      <c r="B58" s="1598"/>
      <c r="C58" s="84" t="s">
        <v>2198</v>
      </c>
      <c r="D58" s="418">
        <v>0</v>
      </c>
      <c r="E58" s="1602"/>
      <c r="F58" s="314"/>
      <c r="G58" s="1660"/>
    </row>
    <row r="59" spans="1:7" ht="16.2" customHeight="1" x14ac:dyDescent="0.25">
      <c r="A59" s="1592"/>
      <c r="B59" s="1598"/>
      <c r="C59" s="84" t="s">
        <v>2552</v>
      </c>
      <c r="D59" s="418">
        <v>0</v>
      </c>
      <c r="E59" s="1602"/>
      <c r="F59" s="314"/>
      <c r="G59" s="1660"/>
    </row>
    <row r="60" spans="1:7" ht="16.2" customHeight="1" thickBot="1" x14ac:dyDescent="0.3">
      <c r="A60" s="1593"/>
      <c r="B60" s="1627"/>
      <c r="C60" s="115" t="s">
        <v>1234</v>
      </c>
      <c r="D60" s="419">
        <v>0</v>
      </c>
      <c r="E60" s="1603"/>
      <c r="F60" s="320"/>
      <c r="G60" s="1661"/>
    </row>
    <row r="61" spans="1:7" ht="22.5" customHeight="1" thickBot="1" x14ac:dyDescent="0.3">
      <c r="A61" s="1588" t="s">
        <v>1209</v>
      </c>
      <c r="B61" s="1597" t="s">
        <v>2154</v>
      </c>
      <c r="C61" s="4" t="s">
        <v>2471</v>
      </c>
      <c r="D61" s="691" t="s">
        <v>1572</v>
      </c>
      <c r="E61" s="1524" t="s">
        <v>2469</v>
      </c>
      <c r="F61" s="313"/>
      <c r="G61" s="1564"/>
    </row>
    <row r="62" spans="1:7" ht="16.2" customHeight="1" x14ac:dyDescent="0.25">
      <c r="A62" s="1589"/>
      <c r="B62" s="1598"/>
      <c r="C62" s="112" t="s">
        <v>2700</v>
      </c>
      <c r="D62" s="525">
        <v>0</v>
      </c>
      <c r="E62" s="1511"/>
      <c r="F62" s="314" t="s">
        <v>1481</v>
      </c>
      <c r="G62" s="1558"/>
    </row>
    <row r="63" spans="1:7" ht="16.2" customHeight="1" x14ac:dyDescent="0.25">
      <c r="A63" s="1589"/>
      <c r="B63" s="1598"/>
      <c r="C63" s="112" t="s">
        <v>2553</v>
      </c>
      <c r="D63" s="416">
        <v>0</v>
      </c>
      <c r="E63" s="1511"/>
      <c r="F63" s="314"/>
      <c r="G63" s="1558"/>
    </row>
    <row r="64" spans="1:7" ht="16.2" customHeight="1" x14ac:dyDescent="0.25">
      <c r="A64" s="1589"/>
      <c r="B64" s="1598"/>
      <c r="C64" s="84" t="s">
        <v>2554</v>
      </c>
      <c r="D64" s="416">
        <v>0</v>
      </c>
      <c r="E64" s="1511"/>
      <c r="F64" s="314"/>
      <c r="G64" s="1558"/>
    </row>
    <row r="65" spans="1:7" ht="16.2" customHeight="1" x14ac:dyDescent="0.25">
      <c r="A65" s="1589"/>
      <c r="B65" s="1598"/>
      <c r="C65" s="84" t="s">
        <v>2555</v>
      </c>
      <c r="D65" s="416">
        <v>0</v>
      </c>
      <c r="E65" s="1511"/>
      <c r="F65" s="314"/>
      <c r="G65" s="1558"/>
    </row>
    <row r="66" spans="1:7" ht="16.2" customHeight="1" x14ac:dyDescent="0.25">
      <c r="A66" s="1589"/>
      <c r="B66" s="1598"/>
      <c r="C66" s="132" t="s">
        <v>2556</v>
      </c>
      <c r="D66" s="416">
        <v>0</v>
      </c>
      <c r="E66" s="1511"/>
      <c r="F66" s="314"/>
      <c r="G66" s="1558"/>
    </row>
    <row r="67" spans="1:7" ht="16.2" customHeight="1" x14ac:dyDescent="0.25">
      <c r="A67" s="1589"/>
      <c r="B67" s="1598"/>
      <c r="C67" s="84" t="s">
        <v>2557</v>
      </c>
      <c r="D67" s="416">
        <v>0</v>
      </c>
      <c r="E67" s="1511"/>
      <c r="F67" s="314"/>
      <c r="G67" s="1558"/>
    </row>
    <row r="68" spans="1:7" ht="16.2" customHeight="1" x14ac:dyDescent="0.25">
      <c r="A68" s="1589"/>
      <c r="B68" s="1598"/>
      <c r="C68" s="84" t="s">
        <v>2558</v>
      </c>
      <c r="D68" s="416">
        <v>0</v>
      </c>
      <c r="E68" s="1511"/>
      <c r="F68" s="314"/>
      <c r="G68" s="1558"/>
    </row>
    <row r="69" spans="1:7" ht="16.2" customHeight="1" x14ac:dyDescent="0.25">
      <c r="A69" s="1589"/>
      <c r="B69" s="1598"/>
      <c r="C69" s="84" t="s">
        <v>2559</v>
      </c>
      <c r="D69" s="416">
        <v>0</v>
      </c>
      <c r="E69" s="1511"/>
      <c r="F69" s="314"/>
      <c r="G69" s="1558"/>
    </row>
    <row r="70" spans="1:7" ht="16.2" customHeight="1" thickBot="1" x14ac:dyDescent="0.3">
      <c r="A70" s="1590"/>
      <c r="B70" s="1627"/>
      <c r="C70" s="115" t="s">
        <v>1769</v>
      </c>
      <c r="D70" s="417">
        <v>0</v>
      </c>
      <c r="E70" s="1525"/>
      <c r="F70" s="320"/>
      <c r="G70" s="1565"/>
    </row>
    <row r="71" spans="1:7" ht="30" customHeight="1" thickBot="1" x14ac:dyDescent="0.3">
      <c r="A71" s="1591" t="s">
        <v>1210</v>
      </c>
      <c r="B71" s="1597" t="s">
        <v>654</v>
      </c>
      <c r="C71" s="186" t="s">
        <v>2660</v>
      </c>
      <c r="D71" s="757"/>
      <c r="E71" s="1601" t="s">
        <v>2013</v>
      </c>
      <c r="F71" s="313"/>
      <c r="G71" s="1659"/>
    </row>
    <row r="72" spans="1:7" ht="42" customHeight="1" x14ac:dyDescent="0.25">
      <c r="A72" s="1592"/>
      <c r="B72" s="1598"/>
      <c r="C72" s="236" t="s">
        <v>2561</v>
      </c>
      <c r="D72" s="420">
        <v>0</v>
      </c>
      <c r="E72" s="1602"/>
      <c r="F72" s="314"/>
      <c r="G72" s="1660"/>
    </row>
    <row r="73" spans="1:7" ht="42" customHeight="1" x14ac:dyDescent="0.25">
      <c r="A73" s="1592"/>
      <c r="B73" s="1598"/>
      <c r="C73" s="237" t="s">
        <v>2562</v>
      </c>
      <c r="D73" s="418">
        <v>0</v>
      </c>
      <c r="E73" s="1602"/>
      <c r="F73" s="314"/>
      <c r="G73" s="1660"/>
    </row>
    <row r="74" spans="1:7" ht="40.5" customHeight="1" x14ac:dyDescent="0.25">
      <c r="A74" s="1592"/>
      <c r="B74" s="1598"/>
      <c r="C74" s="236" t="s">
        <v>2564</v>
      </c>
      <c r="D74" s="418">
        <v>0</v>
      </c>
      <c r="E74" s="1602"/>
      <c r="F74" s="314"/>
      <c r="G74" s="1660"/>
    </row>
    <row r="75" spans="1:7" ht="57" customHeight="1" thickBot="1" x14ac:dyDescent="0.3">
      <c r="A75" s="1593"/>
      <c r="B75" s="1627"/>
      <c r="C75" s="246" t="s">
        <v>2563</v>
      </c>
      <c r="D75" s="419">
        <v>0</v>
      </c>
      <c r="E75" s="1603"/>
      <c r="F75" s="320"/>
      <c r="G75" s="1661"/>
    </row>
    <row r="76" spans="1:7" ht="42" customHeight="1" thickBot="1" x14ac:dyDescent="0.3">
      <c r="A76" s="1588" t="s">
        <v>269</v>
      </c>
      <c r="B76" s="1594" t="s">
        <v>655</v>
      </c>
      <c r="C76" s="4" t="s">
        <v>2578</v>
      </c>
      <c r="D76" s="757"/>
      <c r="E76" s="1524" t="s">
        <v>2579</v>
      </c>
      <c r="F76" s="313"/>
      <c r="G76" s="1564"/>
    </row>
    <row r="77" spans="1:7" ht="16.2" customHeight="1" x14ac:dyDescent="0.25">
      <c r="A77" s="1589"/>
      <c r="B77" s="1595"/>
      <c r="C77" s="112" t="s">
        <v>1793</v>
      </c>
      <c r="D77" s="420">
        <v>0</v>
      </c>
      <c r="E77" s="1511"/>
      <c r="F77" s="314"/>
      <c r="G77" s="1558"/>
    </row>
    <row r="78" spans="1:7" ht="16.2" customHeight="1" x14ac:dyDescent="0.25">
      <c r="A78" s="1589"/>
      <c r="B78" s="1595"/>
      <c r="C78" s="84" t="s">
        <v>2362</v>
      </c>
      <c r="D78" s="418">
        <v>0</v>
      </c>
      <c r="E78" s="1511"/>
      <c r="F78" s="314"/>
      <c r="G78" s="1558"/>
    </row>
    <row r="79" spans="1:7" ht="16.2" customHeight="1" x14ac:dyDescent="0.25">
      <c r="A79" s="1589"/>
      <c r="B79" s="1595"/>
      <c r="C79" s="84" t="s">
        <v>2363</v>
      </c>
      <c r="D79" s="418">
        <v>0</v>
      </c>
      <c r="E79" s="1511"/>
      <c r="F79" s="314"/>
      <c r="G79" s="1558"/>
    </row>
    <row r="80" spans="1:7" ht="16.2" customHeight="1" x14ac:dyDescent="0.25">
      <c r="A80" s="1589"/>
      <c r="B80" s="1595"/>
      <c r="C80" s="84" t="s">
        <v>2364</v>
      </c>
      <c r="D80" s="418">
        <v>0</v>
      </c>
      <c r="E80" s="1511"/>
      <c r="F80" s="314"/>
      <c r="G80" s="1558"/>
    </row>
    <row r="81" spans="1:7" ht="16.2" customHeight="1" x14ac:dyDescent="0.25">
      <c r="A81" s="1589"/>
      <c r="B81" s="1595"/>
      <c r="C81" s="84" t="s">
        <v>2365</v>
      </c>
      <c r="D81" s="418">
        <v>0</v>
      </c>
      <c r="E81" s="1511"/>
      <c r="F81" s="314"/>
      <c r="G81" s="1558"/>
    </row>
    <row r="82" spans="1:7" ht="16.2" customHeight="1" thickBot="1" x14ac:dyDescent="0.3">
      <c r="A82" s="1590"/>
      <c r="B82" s="1596"/>
      <c r="C82" s="115" t="s">
        <v>1806</v>
      </c>
      <c r="D82" s="419">
        <v>0</v>
      </c>
      <c r="E82" s="1525"/>
      <c r="F82" s="320"/>
      <c r="G82" s="1565"/>
    </row>
    <row r="83" spans="1:7" ht="42.75" customHeight="1" thickBot="1" x14ac:dyDescent="0.3">
      <c r="A83" s="1607" t="s">
        <v>182</v>
      </c>
      <c r="B83" s="1610" t="s">
        <v>1783</v>
      </c>
      <c r="C83" s="4" t="s">
        <v>2472</v>
      </c>
      <c r="D83" s="758"/>
      <c r="E83" s="1524" t="s">
        <v>2565</v>
      </c>
      <c r="F83" s="752"/>
      <c r="G83" s="1564"/>
    </row>
    <row r="84" spans="1:7" ht="23.25" customHeight="1" x14ac:dyDescent="0.25">
      <c r="A84" s="1608"/>
      <c r="B84" s="1611"/>
      <c r="C84" s="128" t="s">
        <v>2608</v>
      </c>
      <c r="D84" s="523">
        <v>0</v>
      </c>
      <c r="E84" s="1511"/>
      <c r="F84" s="314" t="s">
        <v>1423</v>
      </c>
      <c r="G84" s="1558"/>
    </row>
    <row r="85" spans="1:7" ht="18.600000000000001" customHeight="1" x14ac:dyDescent="0.25">
      <c r="A85" s="1608"/>
      <c r="B85" s="1611"/>
      <c r="C85" s="112" t="s">
        <v>2599</v>
      </c>
      <c r="D85" s="415">
        <v>0</v>
      </c>
      <c r="E85" s="1511"/>
      <c r="F85" s="314"/>
      <c r="G85" s="1558"/>
    </row>
    <row r="86" spans="1:7" ht="16.2" customHeight="1" x14ac:dyDescent="0.25">
      <c r="A86" s="1608"/>
      <c r="B86" s="1611"/>
      <c r="C86" s="84" t="s">
        <v>2197</v>
      </c>
      <c r="D86" s="418">
        <v>0</v>
      </c>
      <c r="E86" s="1511"/>
      <c r="F86" s="314"/>
      <c r="G86" s="1558"/>
    </row>
    <row r="87" spans="1:7" ht="16.2" customHeight="1" x14ac:dyDescent="0.25">
      <c r="A87" s="1608"/>
      <c r="B87" s="1611"/>
      <c r="C87" s="84" t="s">
        <v>2198</v>
      </c>
      <c r="D87" s="418">
        <v>0</v>
      </c>
      <c r="E87" s="1511"/>
      <c r="F87" s="314"/>
      <c r="G87" s="1558"/>
    </row>
    <row r="88" spans="1:7" ht="16.2" customHeight="1" x14ac:dyDescent="0.25">
      <c r="A88" s="1608"/>
      <c r="B88" s="1611"/>
      <c r="C88" s="84" t="s">
        <v>2552</v>
      </c>
      <c r="D88" s="418">
        <v>0</v>
      </c>
      <c r="E88" s="1511"/>
      <c r="F88" s="314"/>
      <c r="G88" s="1558"/>
    </row>
    <row r="89" spans="1:7" ht="16.2" customHeight="1" thickBot="1" x14ac:dyDescent="0.3">
      <c r="A89" s="1609"/>
      <c r="B89" s="1612"/>
      <c r="C89" s="115" t="s">
        <v>1234</v>
      </c>
      <c r="D89" s="419">
        <v>0</v>
      </c>
      <c r="E89" s="1525"/>
      <c r="F89" s="320"/>
      <c r="G89" s="1565"/>
    </row>
    <row r="90" spans="1:7" ht="30" customHeight="1" thickBot="1" x14ac:dyDescent="0.3">
      <c r="A90" s="1613" t="s">
        <v>66</v>
      </c>
      <c r="B90" s="1616" t="s">
        <v>653</v>
      </c>
      <c r="C90" s="4" t="s">
        <v>2473</v>
      </c>
      <c r="D90" s="690" t="s">
        <v>1572</v>
      </c>
      <c r="E90" s="1604" t="s">
        <v>2566</v>
      </c>
      <c r="F90" s="313"/>
      <c r="G90" s="1564"/>
    </row>
    <row r="91" spans="1:7" ht="16.2" customHeight="1" x14ac:dyDescent="0.25">
      <c r="A91" s="1614"/>
      <c r="B91" s="1617"/>
      <c r="C91" s="112" t="s">
        <v>2609</v>
      </c>
      <c r="D91" s="433">
        <v>0</v>
      </c>
      <c r="E91" s="1605"/>
      <c r="F91" s="314" t="s">
        <v>1424</v>
      </c>
      <c r="G91" s="1558"/>
    </row>
    <row r="92" spans="1:7" ht="16.2" customHeight="1" x14ac:dyDescent="0.25">
      <c r="A92" s="1614"/>
      <c r="B92" s="1617"/>
      <c r="C92" s="112" t="s">
        <v>2383</v>
      </c>
      <c r="D92" s="416">
        <v>0</v>
      </c>
      <c r="E92" s="1605"/>
      <c r="F92" s="314"/>
      <c r="G92" s="1558"/>
    </row>
    <row r="93" spans="1:7" ht="16.2" customHeight="1" x14ac:dyDescent="0.25">
      <c r="A93" s="1614"/>
      <c r="B93" s="1617"/>
      <c r="C93" s="84" t="s">
        <v>2542</v>
      </c>
      <c r="D93" s="416">
        <v>0</v>
      </c>
      <c r="E93" s="1605"/>
      <c r="F93" s="314"/>
      <c r="G93" s="1558"/>
    </row>
    <row r="94" spans="1:7" ht="16.2" customHeight="1" x14ac:dyDescent="0.25">
      <c r="A94" s="1614"/>
      <c r="B94" s="1617"/>
      <c r="C94" s="84" t="s">
        <v>1807</v>
      </c>
      <c r="D94" s="416">
        <v>0</v>
      </c>
      <c r="E94" s="1605"/>
      <c r="F94" s="314"/>
      <c r="G94" s="1558"/>
    </row>
    <row r="95" spans="1:7" ht="16.2" customHeight="1" x14ac:dyDescent="0.25">
      <c r="A95" s="1614"/>
      <c r="B95" s="1617"/>
      <c r="C95" s="400" t="s">
        <v>2386</v>
      </c>
      <c r="D95" s="416">
        <v>0</v>
      </c>
      <c r="E95" s="1605"/>
      <c r="F95" s="314"/>
      <c r="G95" s="1558"/>
    </row>
    <row r="96" spans="1:7" ht="16.2" customHeight="1" x14ac:dyDescent="0.25">
      <c r="A96" s="1614"/>
      <c r="B96" s="1617"/>
      <c r="C96" s="84" t="s">
        <v>2387</v>
      </c>
      <c r="D96" s="416">
        <v>0</v>
      </c>
      <c r="E96" s="1605"/>
      <c r="F96" s="314"/>
      <c r="G96" s="1558"/>
    </row>
    <row r="97" spans="1:7" ht="16.2" customHeight="1" x14ac:dyDescent="0.25">
      <c r="A97" s="1614"/>
      <c r="B97" s="1617"/>
      <c r="C97" s="84" t="s">
        <v>2543</v>
      </c>
      <c r="D97" s="416">
        <v>0</v>
      </c>
      <c r="E97" s="1605"/>
      <c r="F97" s="314"/>
      <c r="G97" s="1558"/>
    </row>
    <row r="98" spans="1:7" ht="16.2" customHeight="1" x14ac:dyDescent="0.25">
      <c r="A98" s="1614"/>
      <c r="B98" s="1617"/>
      <c r="C98" s="84" t="s">
        <v>2389</v>
      </c>
      <c r="D98" s="416">
        <v>0</v>
      </c>
      <c r="E98" s="1605"/>
      <c r="F98" s="314"/>
      <c r="G98" s="1558"/>
    </row>
    <row r="99" spans="1:7" ht="16.2" customHeight="1" thickBot="1" x14ac:dyDescent="0.3">
      <c r="A99" s="1615"/>
      <c r="B99" s="1618"/>
      <c r="C99" s="115" t="s">
        <v>1808</v>
      </c>
      <c r="D99" s="417">
        <v>0</v>
      </c>
      <c r="E99" s="1606"/>
      <c r="F99" s="320"/>
      <c r="G99" s="1565"/>
    </row>
    <row r="100" spans="1:7" ht="30" customHeight="1" thickBot="1" x14ac:dyDescent="0.3">
      <c r="A100" s="1610" t="s">
        <v>2</v>
      </c>
      <c r="B100" s="1610" t="s">
        <v>475</v>
      </c>
      <c r="C100" s="4" t="s">
        <v>2661</v>
      </c>
      <c r="D100" s="757"/>
      <c r="E100" s="1601" t="s">
        <v>2015</v>
      </c>
      <c r="F100" s="313"/>
      <c r="G100" s="1659"/>
    </row>
    <row r="101" spans="1:7" ht="42" customHeight="1" x14ac:dyDescent="0.25">
      <c r="A101" s="1611"/>
      <c r="B101" s="1631"/>
      <c r="C101" s="188" t="s">
        <v>2567</v>
      </c>
      <c r="D101" s="420">
        <v>0</v>
      </c>
      <c r="E101" s="1602"/>
      <c r="F101" s="314"/>
      <c r="G101" s="1660"/>
    </row>
    <row r="102" spans="1:7" ht="42" customHeight="1" x14ac:dyDescent="0.25">
      <c r="A102" s="1611"/>
      <c r="B102" s="1611"/>
      <c r="C102" s="84" t="s">
        <v>2744</v>
      </c>
      <c r="D102" s="418">
        <v>0</v>
      </c>
      <c r="E102" s="1602"/>
      <c r="F102" s="314"/>
      <c r="G102" s="1660"/>
    </row>
    <row r="103" spans="1:7" ht="42.75" customHeight="1" x14ac:dyDescent="0.25">
      <c r="A103" s="1611"/>
      <c r="B103" s="1611"/>
      <c r="C103" s="112" t="s">
        <v>2743</v>
      </c>
      <c r="D103" s="418">
        <v>0</v>
      </c>
      <c r="E103" s="1602"/>
      <c r="F103" s="314"/>
      <c r="G103" s="1660"/>
    </row>
    <row r="104" spans="1:7" ht="57" customHeight="1" thickBot="1" x14ac:dyDescent="0.3">
      <c r="A104" s="1612"/>
      <c r="B104" s="1612"/>
      <c r="C104" s="117" t="s">
        <v>2742</v>
      </c>
      <c r="D104" s="419">
        <v>0</v>
      </c>
      <c r="E104" s="1603"/>
      <c r="F104" s="315"/>
      <c r="G104" s="1661"/>
    </row>
    <row r="105" spans="1:7" ht="57.75" customHeight="1" thickBot="1" x14ac:dyDescent="0.3">
      <c r="A105" s="272" t="s">
        <v>146</v>
      </c>
      <c r="B105" s="272" t="s">
        <v>477</v>
      </c>
      <c r="C105" s="127" t="s">
        <v>2580</v>
      </c>
      <c r="D105" s="423">
        <v>0</v>
      </c>
      <c r="E105" s="4" t="s">
        <v>2600</v>
      </c>
      <c r="F105" s="311"/>
      <c r="G105" s="689"/>
    </row>
    <row r="106" spans="1:7" ht="27.75" customHeight="1" thickBot="1" x14ac:dyDescent="0.3">
      <c r="A106" s="1607" t="s">
        <v>67</v>
      </c>
      <c r="B106" s="1607" t="s">
        <v>478</v>
      </c>
      <c r="C106" s="4" t="s">
        <v>1770</v>
      </c>
      <c r="D106" s="757"/>
      <c r="E106" s="1514" t="s">
        <v>2474</v>
      </c>
      <c r="F106" s="313"/>
      <c r="G106" s="1561"/>
    </row>
    <row r="107" spans="1:7" ht="16.2" customHeight="1" x14ac:dyDescent="0.25">
      <c r="A107" s="1608"/>
      <c r="B107" s="1608"/>
      <c r="C107" s="189" t="s">
        <v>1809</v>
      </c>
      <c r="D107" s="420">
        <v>0</v>
      </c>
      <c r="E107" s="1515"/>
      <c r="F107" s="314" t="s">
        <v>1425</v>
      </c>
      <c r="G107" s="1562"/>
    </row>
    <row r="108" spans="1:7" ht="16.2" customHeight="1" x14ac:dyDescent="0.25">
      <c r="A108" s="1608"/>
      <c r="B108" s="1608"/>
      <c r="C108" s="84" t="s">
        <v>2199</v>
      </c>
      <c r="D108" s="418">
        <v>0</v>
      </c>
      <c r="E108" s="1515"/>
      <c r="F108" s="314"/>
      <c r="G108" s="1562"/>
    </row>
    <row r="109" spans="1:7" ht="16.2" customHeight="1" x14ac:dyDescent="0.25">
      <c r="A109" s="1608"/>
      <c r="B109" s="1608"/>
      <c r="C109" s="84" t="s">
        <v>2200</v>
      </c>
      <c r="D109" s="418">
        <v>0</v>
      </c>
      <c r="E109" s="1515"/>
      <c r="F109" s="314"/>
      <c r="G109" s="1562"/>
    </row>
    <row r="110" spans="1:7" ht="16.2" customHeight="1" x14ac:dyDescent="0.25">
      <c r="A110" s="1608"/>
      <c r="B110" s="1608"/>
      <c r="C110" s="84" t="s">
        <v>2568</v>
      </c>
      <c r="D110" s="418">
        <v>0</v>
      </c>
      <c r="E110" s="1515"/>
      <c r="F110" s="314"/>
      <c r="G110" s="1562"/>
    </row>
    <row r="111" spans="1:7" ht="16.2" customHeight="1" x14ac:dyDescent="0.25">
      <c r="A111" s="1608"/>
      <c r="B111" s="1608"/>
      <c r="C111" s="84" t="s">
        <v>1810</v>
      </c>
      <c r="D111" s="418">
        <v>0</v>
      </c>
      <c r="E111" s="1515"/>
      <c r="F111" s="314"/>
      <c r="G111" s="1562"/>
    </row>
    <row r="112" spans="1:7" ht="16.2" customHeight="1" thickBot="1" x14ac:dyDescent="0.3">
      <c r="A112" s="1609"/>
      <c r="B112" s="1609"/>
      <c r="C112" s="144" t="s">
        <v>779</v>
      </c>
      <c r="D112" s="116">
        <v>0</v>
      </c>
      <c r="E112" s="1516"/>
      <c r="F112" s="320"/>
      <c r="G112" s="1563"/>
    </row>
    <row r="113" spans="1:7" ht="45" customHeight="1" thickBot="1" x14ac:dyDescent="0.3">
      <c r="A113" s="1607" t="s">
        <v>147</v>
      </c>
      <c r="B113" s="1610" t="s">
        <v>476</v>
      </c>
      <c r="C113" s="4" t="s">
        <v>2576</v>
      </c>
      <c r="D113" s="757"/>
      <c r="E113" s="1524" t="s">
        <v>2577</v>
      </c>
      <c r="F113" s="313"/>
      <c r="G113" s="1564"/>
    </row>
    <row r="114" spans="1:7" ht="16.2" customHeight="1" x14ac:dyDescent="0.25">
      <c r="A114" s="1608"/>
      <c r="B114" s="1611"/>
      <c r="C114" s="112" t="s">
        <v>1793</v>
      </c>
      <c r="D114" s="420">
        <v>0</v>
      </c>
      <c r="E114" s="1511"/>
      <c r="F114" s="314"/>
      <c r="G114" s="1558"/>
    </row>
    <row r="115" spans="1:7" ht="16.2" customHeight="1" x14ac:dyDescent="0.25">
      <c r="A115" s="1608"/>
      <c r="B115" s="1611"/>
      <c r="C115" s="84" t="s">
        <v>2362</v>
      </c>
      <c r="D115" s="418">
        <v>0</v>
      </c>
      <c r="E115" s="1511"/>
      <c r="F115" s="314"/>
      <c r="G115" s="1558"/>
    </row>
    <row r="116" spans="1:7" ht="16.2" customHeight="1" x14ac:dyDescent="0.25">
      <c r="A116" s="1608"/>
      <c r="B116" s="1611"/>
      <c r="C116" s="84" t="s">
        <v>2363</v>
      </c>
      <c r="D116" s="418">
        <v>0</v>
      </c>
      <c r="E116" s="1511"/>
      <c r="F116" s="314"/>
      <c r="G116" s="1558"/>
    </row>
    <row r="117" spans="1:7" ht="16.2" customHeight="1" x14ac:dyDescent="0.25">
      <c r="A117" s="1608"/>
      <c r="B117" s="1611"/>
      <c r="C117" s="84" t="s">
        <v>2364</v>
      </c>
      <c r="D117" s="418">
        <v>0</v>
      </c>
      <c r="E117" s="1511"/>
      <c r="F117" s="314"/>
      <c r="G117" s="1558"/>
    </row>
    <row r="118" spans="1:7" ht="16.2" customHeight="1" x14ac:dyDescent="0.25">
      <c r="A118" s="1608"/>
      <c r="B118" s="1611"/>
      <c r="C118" s="84" t="s">
        <v>2365</v>
      </c>
      <c r="D118" s="418">
        <v>0</v>
      </c>
      <c r="E118" s="1511"/>
      <c r="F118" s="314"/>
      <c r="G118" s="1558"/>
    </row>
    <row r="119" spans="1:7" ht="16.2" customHeight="1" thickBot="1" x14ac:dyDescent="0.3">
      <c r="A119" s="1609"/>
      <c r="B119" s="1612"/>
      <c r="C119" s="115" t="s">
        <v>1806</v>
      </c>
      <c r="D119" s="419">
        <v>0</v>
      </c>
      <c r="E119" s="1525"/>
      <c r="F119" s="320"/>
      <c r="G119" s="1565"/>
    </row>
    <row r="120" spans="1:7" ht="21" customHeight="1" thickBot="1" x14ac:dyDescent="0.3">
      <c r="A120" s="1613" t="s">
        <v>68</v>
      </c>
      <c r="B120" s="1616" t="s">
        <v>479</v>
      </c>
      <c r="C120" s="4" t="s">
        <v>2291</v>
      </c>
      <c r="D120" s="757"/>
      <c r="E120" s="1514" t="s">
        <v>2475</v>
      </c>
      <c r="F120" s="313"/>
      <c r="G120" s="1561"/>
    </row>
    <row r="121" spans="1:7" ht="16.2" customHeight="1" x14ac:dyDescent="0.25">
      <c r="A121" s="1614"/>
      <c r="B121" s="1617"/>
      <c r="C121" s="112" t="s">
        <v>2701</v>
      </c>
      <c r="D121" s="163">
        <v>0</v>
      </c>
      <c r="E121" s="1515"/>
      <c r="F121" s="314"/>
      <c r="G121" s="1562"/>
    </row>
    <row r="122" spans="1:7" ht="57" customHeight="1" x14ac:dyDescent="0.25">
      <c r="A122" s="1614"/>
      <c r="B122" s="1617"/>
      <c r="C122" s="84" t="s">
        <v>2760</v>
      </c>
      <c r="D122" s="161">
        <v>0</v>
      </c>
      <c r="E122" s="1515"/>
      <c r="F122" s="314"/>
      <c r="G122" s="1562"/>
    </row>
    <row r="123" spans="1:7" ht="57" customHeight="1" x14ac:dyDescent="0.25">
      <c r="A123" s="1614"/>
      <c r="B123" s="1617"/>
      <c r="C123" s="84" t="s">
        <v>2761</v>
      </c>
      <c r="D123" s="161">
        <v>0</v>
      </c>
      <c r="E123" s="1515"/>
      <c r="F123" s="314"/>
      <c r="G123" s="1562"/>
    </row>
    <row r="124" spans="1:7" ht="27" customHeight="1" x14ac:dyDescent="0.25">
      <c r="A124" s="1614"/>
      <c r="B124" s="1617"/>
      <c r="C124" s="133" t="s">
        <v>1794</v>
      </c>
      <c r="D124" s="161">
        <v>0</v>
      </c>
      <c r="E124" s="1515"/>
      <c r="F124" s="314"/>
      <c r="G124" s="1562"/>
    </row>
    <row r="125" spans="1:7" ht="16.2" customHeight="1" thickBot="1" x14ac:dyDescent="0.3">
      <c r="A125" s="1615"/>
      <c r="B125" s="1618"/>
      <c r="C125" s="115" t="s">
        <v>1795</v>
      </c>
      <c r="D125" s="162">
        <v>0</v>
      </c>
      <c r="E125" s="1516"/>
      <c r="F125" s="315"/>
      <c r="G125" s="1563"/>
    </row>
    <row r="126" spans="1:7" ht="45" customHeight="1" thickBot="1" x14ac:dyDescent="0.3">
      <c r="A126" s="272" t="s">
        <v>183</v>
      </c>
      <c r="B126" s="272" t="s">
        <v>480</v>
      </c>
      <c r="C126" s="127" t="s">
        <v>2292</v>
      </c>
      <c r="D126" s="424">
        <v>0</v>
      </c>
      <c r="E126" s="114" t="s">
        <v>2014</v>
      </c>
      <c r="F126" s="309"/>
      <c r="G126" s="697"/>
    </row>
    <row r="127" spans="1:7" ht="33" customHeight="1" thickBot="1" x14ac:dyDescent="0.3">
      <c r="A127" s="272" t="s">
        <v>69</v>
      </c>
      <c r="B127" s="272" t="s">
        <v>486</v>
      </c>
      <c r="C127" s="127" t="s">
        <v>2293</v>
      </c>
      <c r="D127" s="424">
        <v>0</v>
      </c>
      <c r="E127" s="4" t="s">
        <v>1426</v>
      </c>
      <c r="F127" s="310"/>
      <c r="G127" s="689"/>
    </row>
    <row r="128" spans="1:7" ht="21" customHeight="1" thickBot="1" x14ac:dyDescent="0.3">
      <c r="A128" s="1599" t="s">
        <v>184</v>
      </c>
      <c r="B128" s="1599" t="s">
        <v>1774</v>
      </c>
      <c r="C128" s="114" t="s">
        <v>2425</v>
      </c>
      <c r="D128" s="757"/>
      <c r="E128" s="1550" t="s">
        <v>2428</v>
      </c>
      <c r="F128" s="313"/>
      <c r="G128" s="1568"/>
    </row>
    <row r="129" spans="1:7" ht="16.2" customHeight="1" x14ac:dyDescent="0.25">
      <c r="A129" s="1582"/>
      <c r="B129" s="1582"/>
      <c r="C129" s="238" t="s">
        <v>1811</v>
      </c>
      <c r="D129" s="425">
        <v>0</v>
      </c>
      <c r="E129" s="1552"/>
      <c r="F129" s="314"/>
      <c r="G129" s="1569"/>
    </row>
    <row r="130" spans="1:7" ht="16.2" customHeight="1" x14ac:dyDescent="0.25">
      <c r="A130" s="1582"/>
      <c r="B130" s="1582"/>
      <c r="C130" s="84" t="s">
        <v>2201</v>
      </c>
      <c r="D130" s="416">
        <v>0</v>
      </c>
      <c r="E130" s="1552"/>
      <c r="F130" s="314"/>
      <c r="G130" s="1569"/>
    </row>
    <row r="131" spans="1:7" ht="16.2" customHeight="1" x14ac:dyDescent="0.25">
      <c r="A131" s="1582"/>
      <c r="B131" s="1582"/>
      <c r="C131" s="84" t="s">
        <v>2202</v>
      </c>
      <c r="D131" s="418">
        <v>0</v>
      </c>
      <c r="E131" s="1552"/>
      <c r="F131" s="314"/>
      <c r="G131" s="1569"/>
    </row>
    <row r="132" spans="1:7" ht="16.2" customHeight="1" x14ac:dyDescent="0.25">
      <c r="A132" s="1582"/>
      <c r="B132" s="1582"/>
      <c r="C132" s="84" t="s">
        <v>2424</v>
      </c>
      <c r="D132" s="418">
        <v>0</v>
      </c>
      <c r="E132" s="1552"/>
      <c r="F132" s="314"/>
      <c r="G132" s="1569"/>
    </row>
    <row r="133" spans="1:7" ht="16.2" customHeight="1" thickBot="1" x14ac:dyDescent="0.3">
      <c r="A133" s="1600"/>
      <c r="B133" s="1600"/>
      <c r="C133" s="117" t="s">
        <v>2017</v>
      </c>
      <c r="D133" s="419">
        <v>0</v>
      </c>
      <c r="E133" s="1553"/>
      <c r="F133" s="320"/>
      <c r="G133" s="1570"/>
    </row>
    <row r="134" spans="1:7" ht="45" customHeight="1" thickBot="1" x14ac:dyDescent="0.3">
      <c r="A134" s="1599" t="s">
        <v>185</v>
      </c>
      <c r="B134" s="1599" t="s">
        <v>1190</v>
      </c>
      <c r="C134" s="4" t="s">
        <v>2289</v>
      </c>
      <c r="D134" s="757"/>
      <c r="E134" s="1514" t="s">
        <v>2581</v>
      </c>
      <c r="F134" s="313"/>
      <c r="G134" s="1561"/>
    </row>
    <row r="135" spans="1:7" ht="19.2" customHeight="1" x14ac:dyDescent="0.25">
      <c r="A135" s="1582"/>
      <c r="B135" s="1582"/>
      <c r="C135" s="238" t="s">
        <v>1812</v>
      </c>
      <c r="D135" s="420">
        <v>0</v>
      </c>
      <c r="E135" s="1515"/>
      <c r="F135" s="314" t="s">
        <v>1482</v>
      </c>
      <c r="G135" s="1562"/>
    </row>
    <row r="136" spans="1:7" ht="19.2" customHeight="1" x14ac:dyDescent="0.25">
      <c r="A136" s="1582"/>
      <c r="B136" s="1582"/>
      <c r="C136" s="84" t="s">
        <v>2203</v>
      </c>
      <c r="D136" s="418">
        <v>0</v>
      </c>
      <c r="E136" s="1515"/>
      <c r="F136" s="314"/>
      <c r="G136" s="1562"/>
    </row>
    <row r="137" spans="1:7" ht="19.2" customHeight="1" x14ac:dyDescent="0.25">
      <c r="A137" s="1582"/>
      <c r="B137" s="1582"/>
      <c r="C137" s="84" t="s">
        <v>2188</v>
      </c>
      <c r="D137" s="418">
        <v>0</v>
      </c>
      <c r="E137" s="1515"/>
      <c r="F137" s="314"/>
      <c r="G137" s="1562"/>
    </row>
    <row r="138" spans="1:7" ht="19.2" customHeight="1" x14ac:dyDescent="0.25">
      <c r="A138" s="1582"/>
      <c r="B138" s="1582"/>
      <c r="C138" s="84" t="s">
        <v>2569</v>
      </c>
      <c r="D138" s="418">
        <v>0</v>
      </c>
      <c r="E138" s="1515"/>
      <c r="F138" s="314"/>
      <c r="G138" s="1562"/>
    </row>
    <row r="139" spans="1:7" ht="24" customHeight="1" thickBot="1" x14ac:dyDescent="0.3">
      <c r="A139" s="1600"/>
      <c r="B139" s="1600"/>
      <c r="C139" s="117" t="s">
        <v>2018</v>
      </c>
      <c r="D139" s="419">
        <v>0</v>
      </c>
      <c r="E139" s="1516"/>
      <c r="F139" s="320"/>
      <c r="G139" s="1563"/>
    </row>
    <row r="140" spans="1:7" ht="21" customHeight="1" thickBot="1" x14ac:dyDescent="0.3">
      <c r="A140" s="1599" t="s">
        <v>186</v>
      </c>
      <c r="B140" s="1522" t="s">
        <v>489</v>
      </c>
      <c r="C140" s="4" t="s">
        <v>767</v>
      </c>
      <c r="D140" s="757"/>
      <c r="E140" s="1524" t="s">
        <v>2582</v>
      </c>
      <c r="F140" s="313"/>
      <c r="G140" s="1564"/>
    </row>
    <row r="141" spans="1:7" ht="27" customHeight="1" x14ac:dyDescent="0.25">
      <c r="A141" s="1582"/>
      <c r="B141" s="1521"/>
      <c r="C141" s="128" t="s">
        <v>2583</v>
      </c>
      <c r="D141" s="425">
        <v>0</v>
      </c>
      <c r="E141" s="1511"/>
      <c r="F141" s="314"/>
      <c r="G141" s="1558"/>
    </row>
    <row r="142" spans="1:7" ht="27" customHeight="1" x14ac:dyDescent="0.25">
      <c r="A142" s="1582"/>
      <c r="B142" s="1521"/>
      <c r="C142" s="84" t="s">
        <v>2584</v>
      </c>
      <c r="D142" s="416">
        <v>0</v>
      </c>
      <c r="E142" s="1511"/>
      <c r="F142" s="314"/>
      <c r="G142" s="1558"/>
    </row>
    <row r="143" spans="1:7" ht="27" customHeight="1" x14ac:dyDescent="0.25">
      <c r="A143" s="1582"/>
      <c r="B143" s="1521"/>
      <c r="C143" s="238" t="s">
        <v>2585</v>
      </c>
      <c r="D143" s="416">
        <v>0</v>
      </c>
      <c r="E143" s="1511"/>
      <c r="F143" s="314" t="s">
        <v>1483</v>
      </c>
      <c r="G143" s="1558"/>
    </row>
    <row r="144" spans="1:7" ht="16.2" customHeight="1" thickBot="1" x14ac:dyDescent="0.3">
      <c r="A144" s="1600"/>
      <c r="B144" s="1523"/>
      <c r="C144" s="115" t="s">
        <v>1813</v>
      </c>
      <c r="D144" s="417">
        <v>0</v>
      </c>
      <c r="E144" s="1525"/>
      <c r="F144" s="320"/>
      <c r="G144" s="1565"/>
    </row>
    <row r="145" spans="1:7" ht="21" customHeight="1" thickBot="1" x14ac:dyDescent="0.3">
      <c r="A145" s="1622" t="s">
        <v>187</v>
      </c>
      <c r="B145" s="1622" t="s">
        <v>487</v>
      </c>
      <c r="C145" s="4" t="s">
        <v>2372</v>
      </c>
      <c r="D145" s="758"/>
      <c r="E145" s="1514" t="s">
        <v>2012</v>
      </c>
      <c r="F145" s="313"/>
      <c r="G145" s="1561"/>
    </row>
    <row r="146" spans="1:7" ht="16.2" customHeight="1" x14ac:dyDescent="0.25">
      <c r="A146" s="1623"/>
      <c r="B146" s="1623"/>
      <c r="C146" s="112" t="s">
        <v>1796</v>
      </c>
      <c r="D146" s="523">
        <v>0</v>
      </c>
      <c r="E146" s="1515"/>
      <c r="F146" s="314"/>
      <c r="G146" s="1562"/>
    </row>
    <row r="147" spans="1:7" ht="27" customHeight="1" x14ac:dyDescent="0.25">
      <c r="A147" s="1623"/>
      <c r="B147" s="1623"/>
      <c r="C147" s="84" t="s">
        <v>2586</v>
      </c>
      <c r="D147" s="418">
        <v>0</v>
      </c>
      <c r="E147" s="1515"/>
      <c r="F147" s="314"/>
      <c r="G147" s="1562"/>
    </row>
    <row r="148" spans="1:7" ht="16.2" customHeight="1" x14ac:dyDescent="0.25">
      <c r="A148" s="1623"/>
      <c r="B148" s="1623"/>
      <c r="C148" s="84" t="s">
        <v>1797</v>
      </c>
      <c r="D148" s="418">
        <v>0</v>
      </c>
      <c r="E148" s="1515"/>
      <c r="F148" s="314"/>
      <c r="G148" s="1562"/>
    </row>
    <row r="149" spans="1:7" ht="16.2" customHeight="1" thickBot="1" x14ac:dyDescent="0.3">
      <c r="A149" s="1624"/>
      <c r="B149" s="1624"/>
      <c r="C149" s="117" t="s">
        <v>1798</v>
      </c>
      <c r="D149" s="419">
        <v>0</v>
      </c>
      <c r="E149" s="1516"/>
      <c r="F149" s="320"/>
      <c r="G149" s="1563"/>
    </row>
    <row r="150" spans="1:7" ht="30" customHeight="1" thickBot="1" x14ac:dyDescent="0.3">
      <c r="A150" s="1622" t="s">
        <v>70</v>
      </c>
      <c r="B150" s="1622" t="s">
        <v>488</v>
      </c>
      <c r="C150" s="4" t="s">
        <v>2702</v>
      </c>
      <c r="D150" s="758"/>
      <c r="E150" s="1514" t="s">
        <v>2662</v>
      </c>
      <c r="F150" s="313"/>
      <c r="G150" s="1561"/>
    </row>
    <row r="151" spans="1:7" ht="16.2" customHeight="1" x14ac:dyDescent="0.25">
      <c r="A151" s="1623"/>
      <c r="B151" s="1623"/>
      <c r="C151" s="112" t="s">
        <v>1814</v>
      </c>
      <c r="D151" s="526">
        <v>0</v>
      </c>
      <c r="E151" s="1515"/>
      <c r="F151" s="314"/>
      <c r="G151" s="1562"/>
    </row>
    <row r="152" spans="1:7" ht="16.2" customHeight="1" x14ac:dyDescent="0.25">
      <c r="A152" s="1623"/>
      <c r="B152" s="1623"/>
      <c r="C152" s="84" t="s">
        <v>1815</v>
      </c>
      <c r="D152" s="161">
        <v>0</v>
      </c>
      <c r="E152" s="1515"/>
      <c r="F152" s="314"/>
      <c r="G152" s="1562"/>
    </row>
    <row r="153" spans="1:7" ht="16.2" customHeight="1" x14ac:dyDescent="0.25">
      <c r="A153" s="1623"/>
      <c r="B153" s="1623"/>
      <c r="C153" s="84" t="s">
        <v>1816</v>
      </c>
      <c r="D153" s="418">
        <v>0</v>
      </c>
      <c r="E153" s="1515"/>
      <c r="F153" s="314"/>
      <c r="G153" s="1562"/>
    </row>
    <row r="154" spans="1:7" ht="16.2" customHeight="1" x14ac:dyDescent="0.25">
      <c r="A154" s="1623"/>
      <c r="B154" s="1623"/>
      <c r="C154" s="84" t="s">
        <v>1817</v>
      </c>
      <c r="D154" s="161">
        <v>0</v>
      </c>
      <c r="E154" s="1515"/>
      <c r="F154" s="314"/>
      <c r="G154" s="1562"/>
    </row>
    <row r="155" spans="1:7" ht="16.2" customHeight="1" x14ac:dyDescent="0.25">
      <c r="A155" s="1623"/>
      <c r="B155" s="1623"/>
      <c r="C155" s="84" t="s">
        <v>1818</v>
      </c>
      <c r="D155" s="418">
        <v>0</v>
      </c>
      <c r="E155" s="1515"/>
      <c r="F155" s="314"/>
      <c r="G155" s="1562"/>
    </row>
    <row r="156" spans="1:7" ht="36" customHeight="1" thickBot="1" x14ac:dyDescent="0.3">
      <c r="A156" s="1624"/>
      <c r="B156" s="1624"/>
      <c r="C156" s="115" t="s">
        <v>1819</v>
      </c>
      <c r="D156" s="162">
        <v>0</v>
      </c>
      <c r="E156" s="1516"/>
      <c r="F156" s="320"/>
      <c r="G156" s="1563"/>
    </row>
    <row r="157" spans="1:7" ht="30" customHeight="1" thickBot="1" x14ac:dyDescent="0.3">
      <c r="A157" s="1599" t="s">
        <v>71</v>
      </c>
      <c r="B157" s="1522" t="s">
        <v>494</v>
      </c>
      <c r="C157" s="4" t="s">
        <v>2294</v>
      </c>
      <c r="D157" s="758"/>
      <c r="E157" s="1524" t="s">
        <v>2476</v>
      </c>
      <c r="F157" s="313"/>
      <c r="G157" s="1564"/>
    </row>
    <row r="158" spans="1:7" ht="16.2" customHeight="1" x14ac:dyDescent="0.25">
      <c r="A158" s="1582"/>
      <c r="B158" s="1521"/>
      <c r="C158" s="84" t="s">
        <v>1820</v>
      </c>
      <c r="D158" s="525">
        <v>0</v>
      </c>
      <c r="E158" s="1511"/>
      <c r="F158" s="314"/>
      <c r="G158" s="1558"/>
    </row>
    <row r="159" spans="1:7" ht="16.2" customHeight="1" x14ac:dyDescent="0.25">
      <c r="A159" s="1582"/>
      <c r="B159" s="1521"/>
      <c r="C159" s="113" t="s">
        <v>2204</v>
      </c>
      <c r="D159" s="416">
        <v>0</v>
      </c>
      <c r="E159" s="1511"/>
      <c r="F159" s="314"/>
      <c r="G159" s="1558"/>
    </row>
    <row r="160" spans="1:7" ht="16.2" customHeight="1" x14ac:dyDescent="0.25">
      <c r="A160" s="1582"/>
      <c r="B160" s="1521"/>
      <c r="C160" s="113" t="s">
        <v>2354</v>
      </c>
      <c r="D160" s="416">
        <v>0</v>
      </c>
      <c r="E160" s="1511"/>
      <c r="F160" s="314"/>
      <c r="G160" s="1558"/>
    </row>
    <row r="161" spans="1:7" ht="16.2" customHeight="1" thickBot="1" x14ac:dyDescent="0.3">
      <c r="A161" s="1582"/>
      <c r="B161" s="1521"/>
      <c r="C161" s="189" t="s">
        <v>2587</v>
      </c>
      <c r="D161" s="509">
        <v>0</v>
      </c>
      <c r="E161" s="1511"/>
      <c r="F161" s="320"/>
      <c r="G161" s="1558"/>
    </row>
    <row r="162" spans="1:7" ht="69" customHeight="1" thickBot="1" x14ac:dyDescent="0.3">
      <c r="A162" s="1619" t="s">
        <v>1211</v>
      </c>
      <c r="B162" s="1619" t="s">
        <v>483</v>
      </c>
      <c r="C162" s="4" t="s">
        <v>2762</v>
      </c>
      <c r="D162" s="692" t="s">
        <v>1572</v>
      </c>
      <c r="E162" s="1599" t="s">
        <v>2588</v>
      </c>
      <c r="F162" s="313"/>
      <c r="G162" s="1561"/>
    </row>
    <row r="163" spans="1:7" ht="16.2" customHeight="1" x14ac:dyDescent="0.25">
      <c r="A163" s="1620"/>
      <c r="B163" s="1620"/>
      <c r="C163" s="134" t="s">
        <v>1822</v>
      </c>
      <c r="D163" s="510">
        <v>0</v>
      </c>
      <c r="E163" s="1582"/>
      <c r="F163" s="314"/>
      <c r="G163" s="1562"/>
    </row>
    <row r="164" spans="1:7" ht="16.2" customHeight="1" x14ac:dyDescent="0.25">
      <c r="A164" s="1620"/>
      <c r="B164" s="1620"/>
      <c r="C164" s="135" t="s">
        <v>1823</v>
      </c>
      <c r="D164" s="511">
        <v>0</v>
      </c>
      <c r="E164" s="1582"/>
      <c r="F164" s="314"/>
      <c r="G164" s="1562"/>
    </row>
    <row r="165" spans="1:7" ht="16.2" customHeight="1" x14ac:dyDescent="0.25">
      <c r="A165" s="1620"/>
      <c r="B165" s="1620"/>
      <c r="C165" s="135" t="s">
        <v>1824</v>
      </c>
      <c r="D165" s="511">
        <v>0</v>
      </c>
      <c r="E165" s="1582"/>
      <c r="F165" s="314"/>
      <c r="G165" s="1562"/>
    </row>
    <row r="166" spans="1:7" ht="27" customHeight="1" thickBot="1" x14ac:dyDescent="0.3">
      <c r="A166" s="1621"/>
      <c r="B166" s="1621"/>
      <c r="C166" s="115" t="s">
        <v>2610</v>
      </c>
      <c r="D166" s="512">
        <v>0</v>
      </c>
      <c r="E166" s="1600"/>
      <c r="F166" s="320" t="s">
        <v>1427</v>
      </c>
      <c r="G166" s="1563"/>
    </row>
    <row r="167" spans="1:7" ht="21" customHeight="1" thickBot="1" x14ac:dyDescent="0.3">
      <c r="A167" s="1619" t="s">
        <v>1212</v>
      </c>
      <c r="B167" s="1619" t="s">
        <v>484</v>
      </c>
      <c r="C167" s="4" t="s">
        <v>2297</v>
      </c>
      <c r="D167" s="693" t="s">
        <v>1572</v>
      </c>
      <c r="E167" s="1550" t="s">
        <v>2477</v>
      </c>
      <c r="F167" s="313"/>
      <c r="G167" s="1568"/>
    </row>
    <row r="168" spans="1:7" ht="27" customHeight="1" x14ac:dyDescent="0.25">
      <c r="A168" s="1620"/>
      <c r="B168" s="1620"/>
      <c r="C168" s="235" t="s">
        <v>2295</v>
      </c>
      <c r="D168" s="523">
        <v>0</v>
      </c>
      <c r="E168" s="1552"/>
      <c r="F168" s="314"/>
      <c r="G168" s="1569"/>
    </row>
    <row r="169" spans="1:7" ht="24.75" customHeight="1" x14ac:dyDescent="0.25">
      <c r="A169" s="1620"/>
      <c r="B169" s="1620"/>
      <c r="C169" s="235" t="s">
        <v>2296</v>
      </c>
      <c r="D169" s="426">
        <v>0</v>
      </c>
      <c r="E169" s="1552"/>
      <c r="F169" s="314"/>
      <c r="G169" s="1569"/>
    </row>
    <row r="170" spans="1:7" ht="27" customHeight="1" thickBot="1" x14ac:dyDescent="0.3">
      <c r="A170" s="1621"/>
      <c r="B170" s="1621"/>
      <c r="C170" s="117" t="s">
        <v>1799</v>
      </c>
      <c r="D170" s="419">
        <v>0</v>
      </c>
      <c r="E170" s="1553"/>
      <c r="F170" s="315"/>
      <c r="G170" s="1570"/>
    </row>
    <row r="171" spans="1:7" ht="45" customHeight="1" thickBot="1" x14ac:dyDescent="0.3">
      <c r="A171" s="4" t="s">
        <v>72</v>
      </c>
      <c r="B171" s="4" t="s">
        <v>777</v>
      </c>
      <c r="C171" s="127" t="s">
        <v>2611</v>
      </c>
      <c r="D171" s="424">
        <v>0</v>
      </c>
      <c r="E171" s="4" t="s">
        <v>1771</v>
      </c>
      <c r="F171" s="311" t="s">
        <v>1428</v>
      </c>
      <c r="G171" s="689"/>
    </row>
    <row r="172" spans="1:7" ht="30" customHeight="1" thickBot="1" x14ac:dyDescent="0.3">
      <c r="A172" s="1622" t="s">
        <v>188</v>
      </c>
      <c r="B172" s="1547" t="s">
        <v>485</v>
      </c>
      <c r="C172" s="114" t="s">
        <v>2589</v>
      </c>
      <c r="D172" s="758"/>
      <c r="E172" s="1514" t="s">
        <v>1429</v>
      </c>
      <c r="F172" s="313"/>
      <c r="G172" s="1561"/>
    </row>
    <row r="173" spans="1:7" ht="16.2" customHeight="1" x14ac:dyDescent="0.25">
      <c r="A173" s="1623"/>
      <c r="B173" s="1548"/>
      <c r="C173" s="112" t="s">
        <v>1869</v>
      </c>
      <c r="D173" s="523">
        <v>0</v>
      </c>
      <c r="E173" s="1515"/>
      <c r="F173" s="314"/>
      <c r="G173" s="1562"/>
    </row>
    <row r="174" spans="1:7" ht="16.2" customHeight="1" x14ac:dyDescent="0.25">
      <c r="A174" s="1623"/>
      <c r="B174" s="1548"/>
      <c r="C174" s="84" t="s">
        <v>2205</v>
      </c>
      <c r="D174" s="418">
        <v>0</v>
      </c>
      <c r="E174" s="1515"/>
      <c r="F174" s="314"/>
      <c r="G174" s="1562"/>
    </row>
    <row r="175" spans="1:7" ht="16.2" customHeight="1" x14ac:dyDescent="0.25">
      <c r="A175" s="1623"/>
      <c r="B175" s="1548"/>
      <c r="C175" s="84" t="s">
        <v>2570</v>
      </c>
      <c r="D175" s="418">
        <v>0</v>
      </c>
      <c r="E175" s="1515"/>
      <c r="F175" s="314"/>
      <c r="G175" s="1562"/>
    </row>
    <row r="176" spans="1:7" ht="16.2" customHeight="1" thickBot="1" x14ac:dyDescent="0.3">
      <c r="A176" s="1624"/>
      <c r="B176" s="1549"/>
      <c r="C176" s="115" t="s">
        <v>1870</v>
      </c>
      <c r="D176" s="419">
        <v>0</v>
      </c>
      <c r="E176" s="1516"/>
      <c r="F176" s="320"/>
      <c r="G176" s="1563"/>
    </row>
    <row r="177" spans="1:7" ht="42.75" customHeight="1" thickBot="1" x14ac:dyDescent="0.3">
      <c r="A177" s="1599" t="s">
        <v>189</v>
      </c>
      <c r="B177" s="1599" t="s">
        <v>568</v>
      </c>
      <c r="C177" s="530" t="s">
        <v>2763</v>
      </c>
      <c r="D177" s="758"/>
      <c r="E177" s="1599" t="s">
        <v>2478</v>
      </c>
      <c r="F177" s="313"/>
      <c r="G177" s="1561"/>
    </row>
    <row r="178" spans="1:7" ht="42" customHeight="1" x14ac:dyDescent="0.25">
      <c r="A178" s="1582"/>
      <c r="B178" s="1582"/>
      <c r="C178" s="394" t="s">
        <v>2663</v>
      </c>
      <c r="D178" s="434">
        <v>0</v>
      </c>
      <c r="E178" s="1625"/>
      <c r="F178" s="314"/>
      <c r="G178" s="1562"/>
    </row>
    <row r="179" spans="1:7" ht="17.399999999999999" customHeight="1" x14ac:dyDescent="0.25">
      <c r="A179" s="1582"/>
      <c r="B179" s="1582"/>
      <c r="C179" s="395" t="s">
        <v>2298</v>
      </c>
      <c r="D179" s="434">
        <v>0</v>
      </c>
      <c r="E179" s="1625"/>
      <c r="F179" s="314"/>
      <c r="G179" s="1562"/>
    </row>
    <row r="180" spans="1:7" ht="27" customHeight="1" x14ac:dyDescent="0.25">
      <c r="A180" s="1582"/>
      <c r="B180" s="1582"/>
      <c r="C180" s="395" t="s">
        <v>2300</v>
      </c>
      <c r="D180" s="434">
        <v>0</v>
      </c>
      <c r="E180" s="1625"/>
      <c r="F180" s="314"/>
      <c r="G180" s="1562"/>
    </row>
    <row r="181" spans="1:7" ht="17.399999999999999" customHeight="1" x14ac:dyDescent="0.25">
      <c r="A181" s="1582"/>
      <c r="B181" s="1582"/>
      <c r="C181" s="395" t="s">
        <v>2299</v>
      </c>
      <c r="D181" s="434">
        <v>0</v>
      </c>
      <c r="E181" s="1625"/>
      <c r="F181" s="314"/>
      <c r="G181" s="1562"/>
    </row>
    <row r="182" spans="1:7" ht="27" customHeight="1" thickBot="1" x14ac:dyDescent="0.3">
      <c r="A182" s="1600"/>
      <c r="B182" s="1600"/>
      <c r="C182" s="396" t="s">
        <v>2301</v>
      </c>
      <c r="D182" s="532">
        <v>0</v>
      </c>
      <c r="E182" s="1626"/>
      <c r="F182" s="315"/>
      <c r="G182" s="1563"/>
    </row>
    <row r="183" spans="1:7" ht="21" customHeight="1" thickBot="1" x14ac:dyDescent="0.3">
      <c r="A183" s="1582" t="s">
        <v>73</v>
      </c>
      <c r="B183" s="1582" t="s">
        <v>495</v>
      </c>
      <c r="C183" s="714" t="s">
        <v>2303</v>
      </c>
      <c r="D183" s="759"/>
      <c r="E183" s="1511" t="s">
        <v>2302</v>
      </c>
      <c r="F183" s="753"/>
      <c r="G183" s="1558"/>
    </row>
    <row r="184" spans="1:7" ht="16.2" customHeight="1" x14ac:dyDescent="0.25">
      <c r="A184" s="1582"/>
      <c r="B184" s="1582"/>
      <c r="C184" s="84" t="s">
        <v>1825</v>
      </c>
      <c r="D184" s="420">
        <v>0</v>
      </c>
      <c r="E184" s="1511"/>
      <c r="F184" s="754"/>
      <c r="G184" s="1558"/>
    </row>
    <row r="185" spans="1:7" ht="16.2" customHeight="1" x14ac:dyDescent="0.25">
      <c r="A185" s="1582"/>
      <c r="B185" s="1582"/>
      <c r="C185" s="84" t="s">
        <v>2206</v>
      </c>
      <c r="D185" s="418">
        <v>0</v>
      </c>
      <c r="E185" s="1511"/>
      <c r="F185" s="754"/>
      <c r="G185" s="1558"/>
    </row>
    <row r="186" spans="1:7" ht="16.2" customHeight="1" x14ac:dyDescent="0.25">
      <c r="A186" s="1582"/>
      <c r="B186" s="1582"/>
      <c r="C186" s="84" t="s">
        <v>2571</v>
      </c>
      <c r="D186" s="418">
        <v>0</v>
      </c>
      <c r="E186" s="1511"/>
      <c r="F186" s="314" t="s">
        <v>1430</v>
      </c>
      <c r="G186" s="1558"/>
    </row>
    <row r="187" spans="1:7" ht="16.2" customHeight="1" thickBot="1" x14ac:dyDescent="0.3">
      <c r="A187" s="1600"/>
      <c r="B187" s="1600"/>
      <c r="C187" s="115" t="s">
        <v>1871</v>
      </c>
      <c r="D187" s="419">
        <v>0</v>
      </c>
      <c r="E187" s="1525"/>
      <c r="F187" s="320" t="s">
        <v>1431</v>
      </c>
      <c r="G187" s="1565"/>
    </row>
    <row r="188" spans="1:7" ht="21" customHeight="1" thickBot="1" x14ac:dyDescent="0.3">
      <c r="A188" s="1599" t="s">
        <v>230</v>
      </c>
      <c r="B188" s="1599" t="s">
        <v>1166</v>
      </c>
      <c r="C188" s="576" t="s">
        <v>2373</v>
      </c>
      <c r="D188" s="757"/>
      <c r="E188" s="1550" t="s">
        <v>2705</v>
      </c>
      <c r="F188" s="313"/>
      <c r="G188" s="1568"/>
    </row>
    <row r="189" spans="1:7" ht="88.5" customHeight="1" x14ac:dyDescent="0.25">
      <c r="A189" s="1582"/>
      <c r="B189" s="1582"/>
      <c r="C189" s="112" t="s">
        <v>2664</v>
      </c>
      <c r="D189" s="420">
        <v>0</v>
      </c>
      <c r="E189" s="1552"/>
      <c r="F189" s="314"/>
      <c r="G189" s="1569"/>
    </row>
    <row r="190" spans="1:7" ht="94.5" customHeight="1" x14ac:dyDescent="0.25">
      <c r="A190" s="1582"/>
      <c r="B190" s="1582"/>
      <c r="C190" s="84" t="s">
        <v>2703</v>
      </c>
      <c r="D190" s="418">
        <v>0</v>
      </c>
      <c r="E190" s="1552"/>
      <c r="F190" s="314"/>
      <c r="G190" s="1569"/>
    </row>
    <row r="191" spans="1:7" ht="27" customHeight="1" x14ac:dyDescent="0.25">
      <c r="A191" s="1582"/>
      <c r="B191" s="1582"/>
      <c r="C191" s="84" t="s">
        <v>2704</v>
      </c>
      <c r="D191" s="418">
        <v>0</v>
      </c>
      <c r="E191" s="1552"/>
      <c r="F191" s="314"/>
      <c r="G191" s="1569"/>
    </row>
    <row r="192" spans="1:7" ht="26.25" customHeight="1" thickBot="1" x14ac:dyDescent="0.3">
      <c r="A192" s="1600"/>
      <c r="B192" s="1600"/>
      <c r="C192" s="115" t="s">
        <v>2304</v>
      </c>
      <c r="D192" s="419">
        <v>0</v>
      </c>
      <c r="E192" s="1553"/>
      <c r="F192" s="320"/>
      <c r="G192" s="1570"/>
    </row>
    <row r="193" spans="1:7" ht="30" customHeight="1" thickBot="1" x14ac:dyDescent="0.3">
      <c r="A193" s="1632" t="s">
        <v>229</v>
      </c>
      <c r="B193" s="1632" t="s">
        <v>496</v>
      </c>
      <c r="C193" s="4" t="s">
        <v>2590</v>
      </c>
      <c r="D193" s="758"/>
      <c r="E193" s="1514" t="s">
        <v>2706</v>
      </c>
      <c r="F193" s="313"/>
      <c r="G193" s="1561"/>
    </row>
    <row r="194" spans="1:7" ht="16.2" customHeight="1" x14ac:dyDescent="0.25">
      <c r="A194" s="1633"/>
      <c r="B194" s="1633"/>
      <c r="C194" s="189" t="s">
        <v>2612</v>
      </c>
      <c r="D194" s="523">
        <v>0</v>
      </c>
      <c r="E194" s="1515"/>
      <c r="F194" s="314" t="s">
        <v>1432</v>
      </c>
      <c r="G194" s="1562"/>
    </row>
    <row r="195" spans="1:7" ht="16.2" customHeight="1" x14ac:dyDescent="0.25">
      <c r="A195" s="1633"/>
      <c r="B195" s="1633"/>
      <c r="C195" s="84" t="s">
        <v>2207</v>
      </c>
      <c r="D195" s="418">
        <v>0</v>
      </c>
      <c r="E195" s="1580"/>
      <c r="F195" s="314"/>
      <c r="G195" s="1657"/>
    </row>
    <row r="196" spans="1:7" ht="16.2" customHeight="1" x14ac:dyDescent="0.25">
      <c r="A196" s="1633"/>
      <c r="B196" s="1633"/>
      <c r="C196" s="84" t="s">
        <v>2208</v>
      </c>
      <c r="D196" s="418">
        <v>0</v>
      </c>
      <c r="E196" s="1580"/>
      <c r="F196" s="314"/>
      <c r="G196" s="1657"/>
    </row>
    <row r="197" spans="1:7" ht="16.2" customHeight="1" x14ac:dyDescent="0.25">
      <c r="A197" s="1633"/>
      <c r="B197" s="1633"/>
      <c r="C197" s="84" t="s">
        <v>1826</v>
      </c>
      <c r="D197" s="418">
        <v>0</v>
      </c>
      <c r="E197" s="1580"/>
      <c r="F197" s="314"/>
      <c r="G197" s="1657"/>
    </row>
    <row r="198" spans="1:7" ht="16.2" customHeight="1" thickBot="1" x14ac:dyDescent="0.3">
      <c r="A198" s="1634"/>
      <c r="B198" s="1634"/>
      <c r="C198" s="117" t="s">
        <v>2305</v>
      </c>
      <c r="D198" s="419">
        <v>0</v>
      </c>
      <c r="E198" s="1516"/>
      <c r="F198" s="320"/>
      <c r="G198" s="1563"/>
    </row>
    <row r="199" spans="1:7" ht="32.25" customHeight="1" thickBot="1" x14ac:dyDescent="0.3">
      <c r="A199" s="1635" t="s">
        <v>103</v>
      </c>
      <c r="B199" s="1635" t="s">
        <v>497</v>
      </c>
      <c r="C199" s="4" t="s">
        <v>434</v>
      </c>
      <c r="D199" s="758"/>
      <c r="E199" s="1526" t="s">
        <v>2479</v>
      </c>
      <c r="F199" s="323"/>
      <c r="G199" s="1567"/>
    </row>
    <row r="200" spans="1:7" ht="16.2" customHeight="1" x14ac:dyDescent="0.25">
      <c r="A200" s="1636"/>
      <c r="B200" s="1636"/>
      <c r="C200" s="189" t="s">
        <v>435</v>
      </c>
      <c r="D200" s="523">
        <v>0</v>
      </c>
      <c r="E200" s="1580"/>
      <c r="F200" s="321"/>
      <c r="G200" s="1657"/>
    </row>
    <row r="201" spans="1:7" ht="16.2" customHeight="1" x14ac:dyDescent="0.25">
      <c r="A201" s="1636"/>
      <c r="B201" s="1636"/>
      <c r="C201" s="84" t="s">
        <v>2209</v>
      </c>
      <c r="D201" s="418">
        <v>0</v>
      </c>
      <c r="E201" s="1515"/>
      <c r="F201" s="314"/>
      <c r="G201" s="1562"/>
    </row>
    <row r="202" spans="1:7" ht="16.2" customHeight="1" x14ac:dyDescent="0.25">
      <c r="A202" s="1636"/>
      <c r="B202" s="1636"/>
      <c r="C202" s="84" t="s">
        <v>2210</v>
      </c>
      <c r="D202" s="418">
        <v>0</v>
      </c>
      <c r="E202" s="1515"/>
      <c r="F202" s="314"/>
      <c r="G202" s="1562"/>
    </row>
    <row r="203" spans="1:7" ht="16.2" customHeight="1" x14ac:dyDescent="0.25">
      <c r="A203" s="1636"/>
      <c r="B203" s="1636"/>
      <c r="C203" s="84" t="s">
        <v>2391</v>
      </c>
      <c r="D203" s="418">
        <v>0</v>
      </c>
      <c r="E203" s="1515"/>
      <c r="F203" s="314"/>
      <c r="G203" s="1562"/>
    </row>
    <row r="204" spans="1:7" ht="16.2" customHeight="1" thickBot="1" x14ac:dyDescent="0.3">
      <c r="A204" s="1637"/>
      <c r="B204" s="1637"/>
      <c r="C204" s="117" t="s">
        <v>1827</v>
      </c>
      <c r="D204" s="419">
        <v>0</v>
      </c>
      <c r="E204" s="1516"/>
      <c r="F204" s="320"/>
      <c r="G204" s="1563"/>
    </row>
    <row r="205" spans="1:7" ht="30" customHeight="1" thickBot="1" x14ac:dyDescent="0.3">
      <c r="A205" s="1635" t="s">
        <v>104</v>
      </c>
      <c r="B205" s="1638" t="s">
        <v>498</v>
      </c>
      <c r="C205" s="4" t="s">
        <v>2374</v>
      </c>
      <c r="D205" s="757"/>
      <c r="E205" s="1522" t="s">
        <v>1575</v>
      </c>
      <c r="F205" s="313"/>
      <c r="G205" s="1564"/>
    </row>
    <row r="206" spans="1:7" ht="40.5" customHeight="1" x14ac:dyDescent="0.25">
      <c r="A206" s="1636"/>
      <c r="B206" s="1639"/>
      <c r="C206" s="112" t="s">
        <v>2306</v>
      </c>
      <c r="D206" s="420">
        <v>0</v>
      </c>
      <c r="E206" s="1521"/>
      <c r="F206" s="314"/>
      <c r="G206" s="1558"/>
    </row>
    <row r="207" spans="1:7" ht="29.25" customHeight="1" thickBot="1" x14ac:dyDescent="0.3">
      <c r="A207" s="1636"/>
      <c r="B207" s="1639"/>
      <c r="C207" s="238" t="s">
        <v>2307</v>
      </c>
      <c r="D207" s="426">
        <v>0</v>
      </c>
      <c r="E207" s="1521"/>
      <c r="F207" s="320"/>
      <c r="G207" s="1558"/>
    </row>
    <row r="208" spans="1:7" ht="21" customHeight="1" thickBot="1" x14ac:dyDescent="0.3">
      <c r="A208" s="1635" t="s">
        <v>105</v>
      </c>
      <c r="B208" s="1638" t="s">
        <v>1986</v>
      </c>
      <c r="C208" s="4" t="s">
        <v>1743</v>
      </c>
      <c r="D208" s="760"/>
      <c r="E208" s="1604" t="s">
        <v>2591</v>
      </c>
      <c r="F208" s="752"/>
      <c r="G208" s="1564"/>
    </row>
    <row r="209" spans="1:7" ht="27" customHeight="1" x14ac:dyDescent="0.25">
      <c r="A209" s="1636"/>
      <c r="B209" s="1639"/>
      <c r="C209" s="265" t="s">
        <v>2480</v>
      </c>
      <c r="D209" s="434">
        <v>0</v>
      </c>
      <c r="E209" s="1605"/>
      <c r="F209" s="294" t="s">
        <v>1583</v>
      </c>
      <c r="G209" s="1558"/>
    </row>
    <row r="210" spans="1:7" ht="27" customHeight="1" x14ac:dyDescent="0.25">
      <c r="A210" s="1636"/>
      <c r="B210" s="1639"/>
      <c r="C210" s="266" t="s">
        <v>2481</v>
      </c>
      <c r="D210" s="422">
        <v>0</v>
      </c>
      <c r="E210" s="1605"/>
      <c r="F210" s="314"/>
      <c r="G210" s="1558"/>
    </row>
    <row r="211" spans="1:7" ht="16.2" customHeight="1" x14ac:dyDescent="0.25">
      <c r="A211" s="1636"/>
      <c r="B211" s="1639"/>
      <c r="C211" s="266" t="s">
        <v>1828</v>
      </c>
      <c r="D211" s="434">
        <v>0</v>
      </c>
      <c r="E211" s="1605"/>
      <c r="F211" s="314"/>
      <c r="G211" s="1558"/>
    </row>
    <row r="212" spans="1:7" ht="16.2" customHeight="1" thickBot="1" x14ac:dyDescent="0.3">
      <c r="A212" s="1637"/>
      <c r="B212" s="1640"/>
      <c r="C212" s="262" t="s">
        <v>1829</v>
      </c>
      <c r="D212" s="532">
        <v>0</v>
      </c>
      <c r="E212" s="1606"/>
      <c r="F212" s="315"/>
      <c r="G212" s="1565"/>
    </row>
    <row r="213" spans="1:7" ht="45" customHeight="1" thickBot="1" x14ac:dyDescent="0.3">
      <c r="A213" s="1582" t="s">
        <v>106</v>
      </c>
      <c r="B213" s="1521" t="s">
        <v>492</v>
      </c>
      <c r="C213" s="533" t="s">
        <v>2308</v>
      </c>
      <c r="D213" s="761"/>
      <c r="E213" s="1511" t="s">
        <v>2429</v>
      </c>
      <c r="F213" s="294"/>
      <c r="G213" s="1558"/>
    </row>
    <row r="214" spans="1:7" ht="16.2" customHeight="1" x14ac:dyDescent="0.25">
      <c r="A214" s="1582"/>
      <c r="B214" s="1521"/>
      <c r="C214" s="136" t="s">
        <v>1975</v>
      </c>
      <c r="D214" s="523">
        <v>0</v>
      </c>
      <c r="E214" s="1511"/>
      <c r="F214" s="314" t="s">
        <v>1433</v>
      </c>
      <c r="G214" s="1558"/>
    </row>
    <row r="215" spans="1:7" ht="27" customHeight="1" x14ac:dyDescent="0.25">
      <c r="A215" s="1582"/>
      <c r="B215" s="1521"/>
      <c r="C215" s="136" t="s">
        <v>1800</v>
      </c>
      <c r="D215" s="418">
        <v>0</v>
      </c>
      <c r="E215" s="1511"/>
      <c r="F215" s="314"/>
      <c r="G215" s="1558"/>
    </row>
    <row r="216" spans="1:7" ht="16.2" customHeight="1" x14ac:dyDescent="0.25">
      <c r="A216" s="1582"/>
      <c r="B216" s="1521"/>
      <c r="C216" s="137" t="s">
        <v>2211</v>
      </c>
      <c r="D216" s="418">
        <v>0</v>
      </c>
      <c r="E216" s="1511"/>
      <c r="F216" s="314"/>
      <c r="G216" s="1558"/>
    </row>
    <row r="217" spans="1:7" ht="16.2" customHeight="1" x14ac:dyDescent="0.25">
      <c r="A217" s="1582"/>
      <c r="B217" s="1521"/>
      <c r="C217" s="137" t="s">
        <v>2572</v>
      </c>
      <c r="D217" s="418">
        <v>0</v>
      </c>
      <c r="E217" s="1511"/>
      <c r="F217" s="314"/>
      <c r="G217" s="1558"/>
    </row>
    <row r="218" spans="1:7" ht="16.2" customHeight="1" thickBot="1" x14ac:dyDescent="0.3">
      <c r="A218" s="1600"/>
      <c r="B218" s="1523"/>
      <c r="C218" s="142" t="s">
        <v>1830</v>
      </c>
      <c r="D218" s="162">
        <v>0</v>
      </c>
      <c r="E218" s="1525"/>
      <c r="F218" s="315"/>
      <c r="G218" s="1565"/>
    </row>
    <row r="219" spans="1:7" ht="45" customHeight="1" thickBot="1" x14ac:dyDescent="0.3">
      <c r="A219" s="114" t="s">
        <v>107</v>
      </c>
      <c r="B219" s="114" t="s">
        <v>457</v>
      </c>
      <c r="C219" s="127" t="s">
        <v>2601</v>
      </c>
      <c r="D219" s="123">
        <v>0</v>
      </c>
      <c r="E219" s="4" t="s">
        <v>2430</v>
      </c>
      <c r="F219" s="312" t="s">
        <v>1434</v>
      </c>
      <c r="G219" s="689"/>
    </row>
    <row r="220" spans="1:7" ht="54" customHeight="1" thickBot="1" x14ac:dyDescent="0.3">
      <c r="A220" s="4" t="s">
        <v>1213</v>
      </c>
      <c r="B220" s="114" t="s">
        <v>493</v>
      </c>
      <c r="C220" s="127" t="s">
        <v>2707</v>
      </c>
      <c r="D220" s="427">
        <v>0</v>
      </c>
      <c r="E220" s="4" t="s">
        <v>2482</v>
      </c>
      <c r="F220" s="310"/>
      <c r="G220" s="689"/>
    </row>
    <row r="221" spans="1:7" ht="21" customHeight="1" thickBot="1" x14ac:dyDescent="0.3">
      <c r="A221" s="1641" t="s">
        <v>1214</v>
      </c>
      <c r="B221" s="1542" t="s">
        <v>499</v>
      </c>
      <c r="C221" s="4" t="s">
        <v>2309</v>
      </c>
      <c r="D221" s="757"/>
      <c r="E221" s="1524" t="s">
        <v>2708</v>
      </c>
      <c r="F221" s="314"/>
      <c r="G221" s="1564"/>
    </row>
    <row r="222" spans="1:7" ht="16.2" customHeight="1" x14ac:dyDescent="0.25">
      <c r="A222" s="1642"/>
      <c r="B222" s="1543"/>
      <c r="C222" s="84" t="s">
        <v>2613</v>
      </c>
      <c r="D222" s="420">
        <v>0</v>
      </c>
      <c r="E222" s="1511"/>
      <c r="F222" s="313" t="s">
        <v>1435</v>
      </c>
      <c r="G222" s="1558"/>
    </row>
    <row r="223" spans="1:7" ht="16.2" customHeight="1" x14ac:dyDescent="0.25">
      <c r="A223" s="1642"/>
      <c r="B223" s="1543"/>
      <c r="C223" s="84" t="s">
        <v>622</v>
      </c>
      <c r="D223" s="418">
        <v>0</v>
      </c>
      <c r="E223" s="1511"/>
      <c r="F223" s="314"/>
      <c r="G223" s="1558"/>
    </row>
    <row r="224" spans="1:7" ht="16.2" customHeight="1" x14ac:dyDescent="0.25">
      <c r="A224" s="1642"/>
      <c r="B224" s="1543"/>
      <c r="C224" s="84" t="s">
        <v>2212</v>
      </c>
      <c r="D224" s="418">
        <v>0</v>
      </c>
      <c r="E224" s="1511"/>
      <c r="F224" s="314"/>
      <c r="G224" s="1558"/>
    </row>
    <row r="225" spans="1:7" ht="16.2" customHeight="1" x14ac:dyDescent="0.25">
      <c r="A225" s="1642"/>
      <c r="B225" s="1543"/>
      <c r="C225" s="84" t="s">
        <v>2213</v>
      </c>
      <c r="D225" s="418">
        <v>0</v>
      </c>
      <c r="E225" s="1511"/>
      <c r="F225" s="314"/>
      <c r="G225" s="1558"/>
    </row>
    <row r="226" spans="1:7" ht="16.2" customHeight="1" x14ac:dyDescent="0.25">
      <c r="A226" s="1642"/>
      <c r="B226" s="1543"/>
      <c r="C226" s="84" t="s">
        <v>2573</v>
      </c>
      <c r="D226" s="418">
        <v>0</v>
      </c>
      <c r="E226" s="1511"/>
      <c r="F226" s="314"/>
      <c r="G226" s="1558"/>
    </row>
    <row r="227" spans="1:7" ht="16.2" customHeight="1" thickBot="1" x14ac:dyDescent="0.3">
      <c r="A227" s="1643"/>
      <c r="B227" s="1544"/>
      <c r="C227" s="117" t="s">
        <v>1831</v>
      </c>
      <c r="D227" s="419">
        <v>0</v>
      </c>
      <c r="E227" s="1525"/>
      <c r="F227" s="320"/>
      <c r="G227" s="1565"/>
    </row>
    <row r="228" spans="1:7" ht="27.75" customHeight="1" thickBot="1" x14ac:dyDescent="0.3">
      <c r="A228" s="1542" t="s">
        <v>5</v>
      </c>
      <c r="B228" s="1542" t="s">
        <v>500</v>
      </c>
      <c r="C228" s="4" t="s">
        <v>2602</v>
      </c>
      <c r="D228" s="757"/>
      <c r="E228" s="1514" t="s">
        <v>2709</v>
      </c>
      <c r="F228" s="313"/>
      <c r="G228" s="1561"/>
    </row>
    <row r="229" spans="1:7" ht="16.2" customHeight="1" x14ac:dyDescent="0.25">
      <c r="A229" s="1543"/>
      <c r="B229" s="1543"/>
      <c r="C229" s="112" t="s">
        <v>2665</v>
      </c>
      <c r="D229" s="420">
        <v>0</v>
      </c>
      <c r="E229" s="1515"/>
      <c r="F229" s="314"/>
      <c r="G229" s="1562"/>
    </row>
    <row r="230" spans="1:7" ht="16.2" customHeight="1" x14ac:dyDescent="0.25">
      <c r="A230" s="1543"/>
      <c r="B230" s="1543"/>
      <c r="C230" s="84" t="s">
        <v>1832</v>
      </c>
      <c r="D230" s="418">
        <v>0</v>
      </c>
      <c r="E230" s="1515"/>
      <c r="F230" s="314"/>
      <c r="G230" s="1562"/>
    </row>
    <row r="231" spans="1:7" ht="16.2" customHeight="1" x14ac:dyDescent="0.25">
      <c r="A231" s="1543"/>
      <c r="B231" s="1543"/>
      <c r="C231" s="84" t="s">
        <v>1833</v>
      </c>
      <c r="D231" s="418">
        <v>0</v>
      </c>
      <c r="E231" s="1515"/>
      <c r="F231" s="314"/>
      <c r="G231" s="1562"/>
    </row>
    <row r="232" spans="1:7" ht="16.2" customHeight="1" x14ac:dyDescent="0.25">
      <c r="A232" s="1543"/>
      <c r="B232" s="1543"/>
      <c r="C232" s="84" t="s">
        <v>1834</v>
      </c>
      <c r="D232" s="418">
        <v>0</v>
      </c>
      <c r="E232" s="1515"/>
      <c r="F232" s="314"/>
      <c r="G232" s="1562"/>
    </row>
    <row r="233" spans="1:7" ht="16.2" customHeight="1" x14ac:dyDescent="0.25">
      <c r="A233" s="1543"/>
      <c r="B233" s="1543"/>
      <c r="C233" s="84" t="s">
        <v>1835</v>
      </c>
      <c r="D233" s="418">
        <v>0</v>
      </c>
      <c r="E233" s="1515"/>
      <c r="F233" s="314"/>
      <c r="G233" s="1562"/>
    </row>
    <row r="234" spans="1:7" ht="16.2" customHeight="1" x14ac:dyDescent="0.25">
      <c r="A234" s="1543"/>
      <c r="B234" s="1543"/>
      <c r="C234" s="84" t="s">
        <v>1836</v>
      </c>
      <c r="D234" s="418">
        <v>0</v>
      </c>
      <c r="E234" s="1515"/>
      <c r="F234" s="314"/>
      <c r="G234" s="1562"/>
    </row>
    <row r="235" spans="1:7" ht="16.2" customHeight="1" x14ac:dyDescent="0.25">
      <c r="A235" s="1543"/>
      <c r="B235" s="1543"/>
      <c r="C235" s="84" t="s">
        <v>1837</v>
      </c>
      <c r="D235" s="418">
        <v>0</v>
      </c>
      <c r="E235" s="1515"/>
      <c r="F235" s="314"/>
      <c r="G235" s="1562"/>
    </row>
    <row r="236" spans="1:7" ht="16.2" customHeight="1" thickBot="1" x14ac:dyDescent="0.3">
      <c r="A236" s="1544"/>
      <c r="B236" s="1544"/>
      <c r="C236" s="115" t="s">
        <v>1838</v>
      </c>
      <c r="D236" s="419">
        <v>0</v>
      </c>
      <c r="E236" s="1516"/>
      <c r="F236" s="320"/>
      <c r="G236" s="1563"/>
    </row>
    <row r="237" spans="1:7" ht="21" customHeight="1" thickBot="1" x14ac:dyDescent="0.3">
      <c r="A237" s="1641" t="s">
        <v>74</v>
      </c>
      <c r="B237" s="1542" t="s">
        <v>501</v>
      </c>
      <c r="C237" s="4" t="s">
        <v>2711</v>
      </c>
      <c r="D237" s="757"/>
      <c r="E237" s="1524" t="s">
        <v>2710</v>
      </c>
      <c r="F237" s="313"/>
      <c r="G237" s="1564"/>
    </row>
    <row r="238" spans="1:7" ht="16.2" customHeight="1" x14ac:dyDescent="0.25">
      <c r="A238" s="1642"/>
      <c r="B238" s="1543"/>
      <c r="C238" s="128" t="s">
        <v>1872</v>
      </c>
      <c r="D238" s="420">
        <v>0</v>
      </c>
      <c r="E238" s="1511"/>
      <c r="F238" s="314"/>
      <c r="G238" s="1558"/>
    </row>
    <row r="239" spans="1:7" ht="16.2" customHeight="1" thickBot="1" x14ac:dyDescent="0.3">
      <c r="A239" s="1642"/>
      <c r="B239" s="1543"/>
      <c r="C239" s="189" t="s">
        <v>1839</v>
      </c>
      <c r="D239" s="426">
        <v>0</v>
      </c>
      <c r="E239" s="1511"/>
      <c r="F239" s="320"/>
      <c r="G239" s="1558"/>
    </row>
    <row r="240" spans="1:7" ht="30" customHeight="1" thickBot="1" x14ac:dyDescent="0.3">
      <c r="A240" s="1542" t="s">
        <v>179</v>
      </c>
      <c r="B240" s="1542" t="s">
        <v>503</v>
      </c>
      <c r="C240" s="4" t="s">
        <v>2310</v>
      </c>
      <c r="D240" s="758"/>
      <c r="E240" s="1524" t="s">
        <v>2483</v>
      </c>
      <c r="F240" s="313"/>
      <c r="G240" s="1564"/>
    </row>
    <row r="241" spans="1:7" ht="16.2" customHeight="1" x14ac:dyDescent="0.25">
      <c r="A241" s="1543"/>
      <c r="B241" s="1543"/>
      <c r="C241" s="84" t="s">
        <v>1840</v>
      </c>
      <c r="D241" s="523">
        <v>0</v>
      </c>
      <c r="E241" s="1511"/>
      <c r="F241" s="314"/>
      <c r="G241" s="1558"/>
    </row>
    <row r="242" spans="1:7" ht="16.2" customHeight="1" x14ac:dyDescent="0.25">
      <c r="A242" s="1543"/>
      <c r="B242" s="1543"/>
      <c r="C242" s="84" t="s">
        <v>1841</v>
      </c>
      <c r="D242" s="418">
        <v>0</v>
      </c>
      <c r="E242" s="1511"/>
      <c r="F242" s="314"/>
      <c r="G242" s="1558"/>
    </row>
    <row r="243" spans="1:7" ht="16.2" customHeight="1" thickBot="1" x14ac:dyDescent="0.3">
      <c r="A243" s="1543"/>
      <c r="B243" s="1543"/>
      <c r="C243" s="117" t="s">
        <v>1842</v>
      </c>
      <c r="D243" s="419">
        <v>0</v>
      </c>
      <c r="E243" s="1525"/>
      <c r="F243" s="320"/>
      <c r="G243" s="1565"/>
    </row>
    <row r="244" spans="1:7" ht="30" customHeight="1" thickBot="1" x14ac:dyDescent="0.3">
      <c r="A244" s="719" t="s">
        <v>108</v>
      </c>
      <c r="B244" s="1542" t="s">
        <v>502</v>
      </c>
      <c r="C244" s="4" t="s">
        <v>2666</v>
      </c>
      <c r="D244" s="758"/>
      <c r="E244" s="1524" t="s">
        <v>2484</v>
      </c>
      <c r="F244" s="313"/>
      <c r="G244" s="1564"/>
    </row>
    <row r="245" spans="1:7" ht="16.2" customHeight="1" x14ac:dyDescent="0.25">
      <c r="A245" s="720"/>
      <c r="B245" s="1543"/>
      <c r="C245" s="128" t="s">
        <v>1872</v>
      </c>
      <c r="D245" s="523">
        <v>0</v>
      </c>
      <c r="E245" s="1511"/>
      <c r="F245" s="314"/>
      <c r="G245" s="1558"/>
    </row>
    <row r="246" spans="1:7" ht="16.2" customHeight="1" thickBot="1" x14ac:dyDescent="0.3">
      <c r="A246" s="721"/>
      <c r="B246" s="1544"/>
      <c r="C246" s="117" t="s">
        <v>1839</v>
      </c>
      <c r="D246" s="419">
        <v>0</v>
      </c>
      <c r="E246" s="1525"/>
      <c r="F246" s="320"/>
      <c r="G246" s="1565"/>
    </row>
    <row r="247" spans="1:7" ht="30" customHeight="1" thickBot="1" x14ac:dyDescent="0.3">
      <c r="A247" s="1641" t="s">
        <v>109</v>
      </c>
      <c r="B247" s="1542" t="s">
        <v>1191</v>
      </c>
      <c r="C247" s="4" t="s">
        <v>2712</v>
      </c>
      <c r="D247" s="757"/>
      <c r="E247" s="1524" t="s">
        <v>2485</v>
      </c>
      <c r="F247" s="313"/>
      <c r="G247" s="1564"/>
    </row>
    <row r="248" spans="1:7" ht="16.2" customHeight="1" x14ac:dyDescent="0.25">
      <c r="A248" s="1642"/>
      <c r="B248" s="1543"/>
      <c r="C248" s="189" t="s">
        <v>1235</v>
      </c>
      <c r="D248" s="420">
        <v>0</v>
      </c>
      <c r="E248" s="1511"/>
      <c r="F248" s="314"/>
      <c r="G248" s="1558"/>
    </row>
    <row r="249" spans="1:7" ht="16.2" customHeight="1" x14ac:dyDescent="0.25">
      <c r="A249" s="1642"/>
      <c r="B249" s="1543"/>
      <c r="C249" s="84" t="s">
        <v>2214</v>
      </c>
      <c r="D249" s="418">
        <v>0</v>
      </c>
      <c r="E249" s="1511"/>
      <c r="F249" s="314"/>
      <c r="G249" s="1558"/>
    </row>
    <row r="250" spans="1:7" ht="16.2" customHeight="1" x14ac:dyDescent="0.25">
      <c r="A250" s="1642"/>
      <c r="B250" s="1543"/>
      <c r="C250" s="84" t="s">
        <v>2215</v>
      </c>
      <c r="D250" s="418">
        <v>0</v>
      </c>
      <c r="E250" s="1511"/>
      <c r="F250" s="314"/>
      <c r="G250" s="1558"/>
    </row>
    <row r="251" spans="1:7" ht="16.2" customHeight="1" x14ac:dyDescent="0.25">
      <c r="A251" s="1642"/>
      <c r="B251" s="1543"/>
      <c r="C251" s="84" t="s">
        <v>2574</v>
      </c>
      <c r="D251" s="418">
        <v>0</v>
      </c>
      <c r="E251" s="1511"/>
      <c r="F251" s="314"/>
      <c r="G251" s="1558"/>
    </row>
    <row r="252" spans="1:7" ht="16.2" customHeight="1" thickBot="1" x14ac:dyDescent="0.3">
      <c r="A252" s="1643"/>
      <c r="B252" s="1544"/>
      <c r="C252" s="117" t="s">
        <v>1843</v>
      </c>
      <c r="D252" s="419">
        <v>0</v>
      </c>
      <c r="E252" s="1525"/>
      <c r="F252" s="320"/>
      <c r="G252" s="1565"/>
    </row>
    <row r="253" spans="1:7" ht="30" customHeight="1" thickBot="1" x14ac:dyDescent="0.3">
      <c r="A253" s="1599" t="s">
        <v>110</v>
      </c>
      <c r="B253" s="1522" t="s">
        <v>504</v>
      </c>
      <c r="C253" s="4" t="s">
        <v>2311</v>
      </c>
      <c r="D253" s="758"/>
      <c r="E253" s="1524" t="s">
        <v>2486</v>
      </c>
      <c r="F253" s="313"/>
      <c r="G253" s="1564"/>
    </row>
    <row r="254" spans="1:7" ht="16.2" customHeight="1" x14ac:dyDescent="0.25">
      <c r="A254" s="1582"/>
      <c r="B254" s="1521"/>
      <c r="C254" s="112" t="s">
        <v>1844</v>
      </c>
      <c r="D254" s="523">
        <v>0</v>
      </c>
      <c r="E254" s="1511"/>
      <c r="F254" s="314"/>
      <c r="G254" s="1558"/>
    </row>
    <row r="255" spans="1:7" ht="16.2" customHeight="1" x14ac:dyDescent="0.25">
      <c r="A255" s="1582"/>
      <c r="B255" s="1521"/>
      <c r="C255" s="84" t="s">
        <v>2216</v>
      </c>
      <c r="D255" s="418">
        <v>0</v>
      </c>
      <c r="E255" s="1511"/>
      <c r="F255" s="314"/>
      <c r="G255" s="1558"/>
    </row>
    <row r="256" spans="1:7" ht="16.2" customHeight="1" x14ac:dyDescent="0.25">
      <c r="A256" s="1582"/>
      <c r="B256" s="1521"/>
      <c r="C256" s="84" t="s">
        <v>2217</v>
      </c>
      <c r="D256" s="418">
        <v>0</v>
      </c>
      <c r="E256" s="1511"/>
      <c r="F256" s="314"/>
      <c r="G256" s="1558"/>
    </row>
    <row r="257" spans="1:7" ht="16.2" customHeight="1" x14ac:dyDescent="0.25">
      <c r="A257" s="1582"/>
      <c r="B257" s="1521"/>
      <c r="C257" s="84" t="s">
        <v>2575</v>
      </c>
      <c r="D257" s="418">
        <v>0</v>
      </c>
      <c r="E257" s="1511"/>
      <c r="F257" s="314"/>
      <c r="G257" s="1558"/>
    </row>
    <row r="258" spans="1:7" ht="15.75" customHeight="1" thickBot="1" x14ac:dyDescent="0.3">
      <c r="A258" s="1582"/>
      <c r="B258" s="1521"/>
      <c r="C258" s="238" t="s">
        <v>1845</v>
      </c>
      <c r="D258" s="426">
        <v>0</v>
      </c>
      <c r="E258" s="1511"/>
      <c r="F258" s="320"/>
      <c r="G258" s="1558"/>
    </row>
    <row r="259" spans="1:7" ht="33" customHeight="1" thickBot="1" x14ac:dyDescent="0.3">
      <c r="A259" s="1644" t="s">
        <v>2713</v>
      </c>
      <c r="B259" s="1645"/>
      <c r="C259" s="1646"/>
      <c r="D259" s="520"/>
      <c r="E259" s="521"/>
      <c r="F259" s="522"/>
      <c r="G259" s="698"/>
    </row>
    <row r="260" spans="1:7" ht="30" customHeight="1" thickBot="1" x14ac:dyDescent="0.3">
      <c r="A260" s="1622" t="s">
        <v>75</v>
      </c>
      <c r="B260" s="1547" t="s">
        <v>506</v>
      </c>
      <c r="C260" s="4" t="s">
        <v>2714</v>
      </c>
      <c r="D260" s="758"/>
      <c r="E260" s="1524" t="s">
        <v>2312</v>
      </c>
      <c r="F260" s="313"/>
      <c r="G260" s="1564"/>
    </row>
    <row r="261" spans="1:7" ht="16.2" customHeight="1" x14ac:dyDescent="0.25">
      <c r="A261" s="1623"/>
      <c r="B261" s="1548"/>
      <c r="C261" s="112" t="s">
        <v>1846</v>
      </c>
      <c r="D261" s="523">
        <v>0</v>
      </c>
      <c r="E261" s="1511"/>
      <c r="F261" s="314"/>
      <c r="G261" s="1558"/>
    </row>
    <row r="262" spans="1:7" ht="16.2" customHeight="1" x14ac:dyDescent="0.25">
      <c r="A262" s="1623"/>
      <c r="B262" s="1548"/>
      <c r="C262" s="84" t="s">
        <v>2218</v>
      </c>
      <c r="D262" s="426">
        <v>0</v>
      </c>
      <c r="E262" s="1511"/>
      <c r="F262" s="314"/>
      <c r="G262" s="1558"/>
    </row>
    <row r="263" spans="1:7" ht="16.2" customHeight="1" x14ac:dyDescent="0.25">
      <c r="A263" s="1623"/>
      <c r="B263" s="1548"/>
      <c r="C263" s="84" t="s">
        <v>2217</v>
      </c>
      <c r="D263" s="426">
        <v>0</v>
      </c>
      <c r="E263" s="1511"/>
      <c r="F263" s="314"/>
      <c r="G263" s="1558"/>
    </row>
    <row r="264" spans="1:7" ht="16.2" customHeight="1" x14ac:dyDescent="0.25">
      <c r="A264" s="1623"/>
      <c r="B264" s="1548"/>
      <c r="C264" s="84" t="s">
        <v>2219</v>
      </c>
      <c r="D264" s="426">
        <v>0</v>
      </c>
      <c r="E264" s="1511"/>
      <c r="F264" s="314"/>
      <c r="G264" s="1558"/>
    </row>
    <row r="265" spans="1:7" ht="16.2" customHeight="1" x14ac:dyDescent="0.25">
      <c r="A265" s="1623"/>
      <c r="B265" s="1548"/>
      <c r="C265" s="84" t="s">
        <v>2397</v>
      </c>
      <c r="D265" s="426">
        <v>0</v>
      </c>
      <c r="E265" s="1511"/>
      <c r="F265" s="314"/>
      <c r="G265" s="1558"/>
    </row>
    <row r="266" spans="1:7" ht="16.2" customHeight="1" thickBot="1" x14ac:dyDescent="0.3">
      <c r="A266" s="1624"/>
      <c r="B266" s="1549"/>
      <c r="C266" s="115" t="s">
        <v>1847</v>
      </c>
      <c r="D266" s="419">
        <v>0</v>
      </c>
      <c r="E266" s="1525"/>
      <c r="F266" s="320"/>
      <c r="G266" s="1565"/>
    </row>
    <row r="267" spans="1:7" ht="45" customHeight="1" thickBot="1" x14ac:dyDescent="0.3">
      <c r="A267" s="1599" t="s">
        <v>76</v>
      </c>
      <c r="B267" s="1522" t="s">
        <v>507</v>
      </c>
      <c r="C267" s="4" t="s">
        <v>2717</v>
      </c>
      <c r="D267" s="757"/>
      <c r="E267" s="1524" t="s">
        <v>2715</v>
      </c>
      <c r="F267" s="313"/>
      <c r="G267" s="1564"/>
    </row>
    <row r="268" spans="1:7" ht="16.2" customHeight="1" x14ac:dyDescent="0.25">
      <c r="A268" s="1582"/>
      <c r="B268" s="1521"/>
      <c r="C268" s="112" t="s">
        <v>330</v>
      </c>
      <c r="D268" s="420">
        <v>0</v>
      </c>
      <c r="E268" s="1511"/>
      <c r="F268" s="314" t="s">
        <v>1484</v>
      </c>
      <c r="G268" s="1558"/>
    </row>
    <row r="269" spans="1:7" ht="16.2" customHeight="1" x14ac:dyDescent="0.25">
      <c r="A269" s="1582"/>
      <c r="B269" s="1521"/>
      <c r="C269" s="84" t="s">
        <v>2362</v>
      </c>
      <c r="D269" s="426">
        <v>0</v>
      </c>
      <c r="E269" s="1511"/>
      <c r="F269" s="314"/>
      <c r="G269" s="1558"/>
    </row>
    <row r="270" spans="1:7" ht="16.2" customHeight="1" x14ac:dyDescent="0.25">
      <c r="A270" s="1582"/>
      <c r="B270" s="1521"/>
      <c r="C270" s="84" t="s">
        <v>2363</v>
      </c>
      <c r="D270" s="426">
        <v>0</v>
      </c>
      <c r="E270" s="1511"/>
      <c r="F270" s="314"/>
      <c r="G270" s="1558"/>
    </row>
    <row r="271" spans="1:7" ht="16.2" customHeight="1" x14ac:dyDescent="0.25">
      <c r="A271" s="1582"/>
      <c r="B271" s="1521"/>
      <c r="C271" s="84" t="s">
        <v>2364</v>
      </c>
      <c r="D271" s="426">
        <v>0</v>
      </c>
      <c r="E271" s="1511"/>
      <c r="F271" s="314"/>
      <c r="G271" s="1558"/>
    </row>
    <row r="272" spans="1:7" ht="16.2" customHeight="1" x14ac:dyDescent="0.25">
      <c r="A272" s="1582"/>
      <c r="B272" s="1521"/>
      <c r="C272" s="84" t="s">
        <v>2398</v>
      </c>
      <c r="D272" s="426">
        <v>0</v>
      </c>
      <c r="E272" s="1511"/>
      <c r="F272" s="314"/>
      <c r="G272" s="1558"/>
    </row>
    <row r="273" spans="1:7" ht="16.2" customHeight="1" thickBot="1" x14ac:dyDescent="0.3">
      <c r="A273" s="1600"/>
      <c r="B273" s="1523"/>
      <c r="C273" s="115" t="s">
        <v>1236</v>
      </c>
      <c r="D273" s="419">
        <v>0</v>
      </c>
      <c r="E273" s="1525"/>
      <c r="F273" s="320" t="s">
        <v>1485</v>
      </c>
      <c r="G273" s="1565"/>
    </row>
    <row r="274" spans="1:7" ht="30" customHeight="1" thickBot="1" x14ac:dyDescent="0.3">
      <c r="A274" s="1622" t="s">
        <v>111</v>
      </c>
      <c r="B274" s="1547" t="s">
        <v>508</v>
      </c>
      <c r="C274" s="4" t="s">
        <v>2716</v>
      </c>
      <c r="D274" s="758"/>
      <c r="E274" s="1524" t="s">
        <v>2487</v>
      </c>
      <c r="F274" s="313"/>
      <c r="G274" s="1564"/>
    </row>
    <row r="275" spans="1:7" ht="16.2" customHeight="1" x14ac:dyDescent="0.25">
      <c r="A275" s="1623"/>
      <c r="B275" s="1548"/>
      <c r="C275" s="112" t="s">
        <v>1848</v>
      </c>
      <c r="D275" s="523">
        <v>0</v>
      </c>
      <c r="E275" s="1511"/>
      <c r="F275" s="314"/>
      <c r="G275" s="1558"/>
    </row>
    <row r="276" spans="1:7" ht="16.2" customHeight="1" x14ac:dyDescent="0.25">
      <c r="A276" s="1623"/>
      <c r="B276" s="1548"/>
      <c r="C276" s="84" t="s">
        <v>2220</v>
      </c>
      <c r="D276" s="426">
        <v>0</v>
      </c>
      <c r="E276" s="1511"/>
      <c r="F276" s="314"/>
      <c r="G276" s="1558"/>
    </row>
    <row r="277" spans="1:7" ht="16.2" customHeight="1" x14ac:dyDescent="0.25">
      <c r="A277" s="1623"/>
      <c r="B277" s="1548"/>
      <c r="C277" s="84" t="s">
        <v>2313</v>
      </c>
      <c r="D277" s="426">
        <v>0</v>
      </c>
      <c r="E277" s="1511"/>
      <c r="F277" s="314"/>
      <c r="G277" s="1558"/>
    </row>
    <row r="278" spans="1:7" ht="16.2" customHeight="1" x14ac:dyDescent="0.25">
      <c r="A278" s="1623"/>
      <c r="B278" s="1548"/>
      <c r="C278" s="84" t="s">
        <v>2314</v>
      </c>
      <c r="D278" s="426">
        <v>0</v>
      </c>
      <c r="E278" s="1511"/>
      <c r="F278" s="314"/>
      <c r="G278" s="1558"/>
    </row>
    <row r="279" spans="1:7" ht="16.2" customHeight="1" x14ac:dyDescent="0.25">
      <c r="A279" s="1623"/>
      <c r="B279" s="1548"/>
      <c r="C279" s="84" t="s">
        <v>2399</v>
      </c>
      <c r="D279" s="426">
        <v>0</v>
      </c>
      <c r="E279" s="1511"/>
      <c r="F279" s="314"/>
      <c r="G279" s="1558"/>
    </row>
    <row r="280" spans="1:7" ht="16.2" customHeight="1" thickBot="1" x14ac:dyDescent="0.3">
      <c r="A280" s="1624"/>
      <c r="B280" s="1549"/>
      <c r="C280" s="115" t="s">
        <v>2315</v>
      </c>
      <c r="D280" s="419">
        <v>0</v>
      </c>
      <c r="E280" s="1525"/>
      <c r="F280" s="320"/>
      <c r="G280" s="1565"/>
    </row>
    <row r="281" spans="1:7" ht="44.25" customHeight="1" thickBot="1" x14ac:dyDescent="0.3">
      <c r="A281" s="1599" t="s">
        <v>47</v>
      </c>
      <c r="B281" s="1522" t="s">
        <v>509</v>
      </c>
      <c r="C281" s="4" t="s">
        <v>2488</v>
      </c>
      <c r="D281" s="758"/>
      <c r="E281" s="1524" t="s">
        <v>2489</v>
      </c>
      <c r="F281" s="313"/>
      <c r="G281" s="1564"/>
    </row>
    <row r="282" spans="1:7" ht="16.2" customHeight="1" x14ac:dyDescent="0.25">
      <c r="A282" s="1582"/>
      <c r="B282" s="1521"/>
      <c r="C282" s="112" t="s">
        <v>1849</v>
      </c>
      <c r="D282" s="526">
        <v>0</v>
      </c>
      <c r="E282" s="1511"/>
      <c r="F282" s="314"/>
      <c r="G282" s="1558"/>
    </row>
    <row r="283" spans="1:7" ht="16.2" customHeight="1" x14ac:dyDescent="0.25">
      <c r="A283" s="1582"/>
      <c r="B283" s="1521"/>
      <c r="C283" s="84" t="s">
        <v>2218</v>
      </c>
      <c r="D283" s="418">
        <v>0</v>
      </c>
      <c r="E283" s="1511"/>
      <c r="F283" s="314"/>
      <c r="G283" s="1558"/>
    </row>
    <row r="284" spans="1:7" ht="16.2" customHeight="1" x14ac:dyDescent="0.25">
      <c r="A284" s="1582"/>
      <c r="B284" s="1521"/>
      <c r="C284" s="84" t="s">
        <v>2217</v>
      </c>
      <c r="D284" s="418">
        <v>0</v>
      </c>
      <c r="E284" s="1511"/>
      <c r="F284" s="314"/>
      <c r="G284" s="1558"/>
    </row>
    <row r="285" spans="1:7" ht="16.2" customHeight="1" x14ac:dyDescent="0.25">
      <c r="A285" s="1582"/>
      <c r="B285" s="1521"/>
      <c r="C285" s="84" t="s">
        <v>2219</v>
      </c>
      <c r="D285" s="418">
        <v>0</v>
      </c>
      <c r="E285" s="1511"/>
      <c r="F285" s="314"/>
      <c r="G285" s="1558"/>
    </row>
    <row r="286" spans="1:7" ht="16.2" customHeight="1" x14ac:dyDescent="0.25">
      <c r="A286" s="1582"/>
      <c r="B286" s="1521"/>
      <c r="C286" s="84" t="s">
        <v>2397</v>
      </c>
      <c r="D286" s="418">
        <v>0</v>
      </c>
      <c r="E286" s="1511"/>
      <c r="F286" s="314"/>
      <c r="G286" s="1558"/>
    </row>
    <row r="287" spans="1:7" ht="16.2" customHeight="1" thickBot="1" x14ac:dyDescent="0.3">
      <c r="A287" s="1600"/>
      <c r="B287" s="1523"/>
      <c r="C287" s="115" t="s">
        <v>1847</v>
      </c>
      <c r="D287" s="419">
        <v>0</v>
      </c>
      <c r="E287" s="1525"/>
      <c r="F287" s="320"/>
      <c r="G287" s="1565"/>
    </row>
    <row r="288" spans="1:7" ht="30" customHeight="1" thickBot="1" x14ac:dyDescent="0.3">
      <c r="A288" s="1599" t="s">
        <v>1215</v>
      </c>
      <c r="B288" s="1522" t="s">
        <v>510</v>
      </c>
      <c r="C288" s="4" t="s">
        <v>2316</v>
      </c>
      <c r="D288" s="757"/>
      <c r="E288" s="1524" t="s">
        <v>2490</v>
      </c>
      <c r="F288" s="313"/>
      <c r="G288" s="1564"/>
    </row>
    <row r="289" spans="1:7" ht="42" customHeight="1" x14ac:dyDescent="0.25">
      <c r="A289" s="1582"/>
      <c r="B289" s="1521"/>
      <c r="C289" s="112" t="s">
        <v>2317</v>
      </c>
      <c r="D289" s="420">
        <v>0</v>
      </c>
      <c r="E289" s="1511"/>
      <c r="F289" s="314"/>
      <c r="G289" s="1558"/>
    </row>
    <row r="290" spans="1:7" ht="27" customHeight="1" x14ac:dyDescent="0.25">
      <c r="A290" s="1582"/>
      <c r="B290" s="1521"/>
      <c r="C290" s="84" t="s">
        <v>2318</v>
      </c>
      <c r="D290" s="418">
        <v>0</v>
      </c>
      <c r="E290" s="1511"/>
      <c r="F290" s="314"/>
      <c r="G290" s="1558"/>
    </row>
    <row r="291" spans="1:7" ht="27" customHeight="1" x14ac:dyDescent="0.25">
      <c r="A291" s="1582"/>
      <c r="B291" s="1521"/>
      <c r="C291" s="84" t="s">
        <v>2319</v>
      </c>
      <c r="D291" s="418">
        <v>0</v>
      </c>
      <c r="E291" s="1511"/>
      <c r="F291" s="314"/>
      <c r="G291" s="1558"/>
    </row>
    <row r="292" spans="1:7" ht="16.2" customHeight="1" x14ac:dyDescent="0.25">
      <c r="A292" s="1582"/>
      <c r="B292" s="1521"/>
      <c r="C292" s="84" t="s">
        <v>2320</v>
      </c>
      <c r="D292" s="418">
        <v>0</v>
      </c>
      <c r="E292" s="1511"/>
      <c r="F292" s="314"/>
      <c r="G292" s="1558"/>
    </row>
    <row r="293" spans="1:7" ht="16.2" customHeight="1" thickBot="1" x14ac:dyDescent="0.3">
      <c r="A293" s="1600"/>
      <c r="B293" s="1523"/>
      <c r="C293" s="115" t="s">
        <v>632</v>
      </c>
      <c r="D293" s="428">
        <v>0</v>
      </c>
      <c r="E293" s="1525"/>
      <c r="F293" s="320"/>
      <c r="G293" s="1565"/>
    </row>
    <row r="294" spans="1:7" ht="30" customHeight="1" thickBot="1" x14ac:dyDescent="0.3">
      <c r="A294" s="1599" t="s">
        <v>78</v>
      </c>
      <c r="B294" s="1522" t="s">
        <v>651</v>
      </c>
      <c r="C294" s="4" t="s">
        <v>2321</v>
      </c>
      <c r="D294" s="758"/>
      <c r="E294" s="1524" t="s">
        <v>2718</v>
      </c>
      <c r="F294" s="313"/>
      <c r="G294" s="1564"/>
    </row>
    <row r="295" spans="1:7" ht="27" customHeight="1" x14ac:dyDescent="0.25">
      <c r="A295" s="1582"/>
      <c r="B295" s="1521"/>
      <c r="C295" s="84" t="s">
        <v>2603</v>
      </c>
      <c r="D295" s="523">
        <v>0</v>
      </c>
      <c r="E295" s="1511"/>
      <c r="F295" s="314"/>
      <c r="G295" s="1558"/>
    </row>
    <row r="296" spans="1:7" ht="16.2" customHeight="1" x14ac:dyDescent="0.25">
      <c r="A296" s="1582"/>
      <c r="B296" s="1521"/>
      <c r="C296" s="84" t="s">
        <v>1850</v>
      </c>
      <c r="D296" s="418">
        <v>0</v>
      </c>
      <c r="E296" s="1511"/>
      <c r="F296" s="314"/>
      <c r="G296" s="1558"/>
    </row>
    <row r="297" spans="1:7" ht="16.2" customHeight="1" thickBot="1" x14ac:dyDescent="0.3">
      <c r="A297" s="1654"/>
      <c r="B297" s="1655"/>
      <c r="C297" s="117" t="s">
        <v>1851</v>
      </c>
      <c r="D297" s="419">
        <v>0</v>
      </c>
      <c r="E297" s="1525"/>
      <c r="F297" s="320"/>
      <c r="G297" s="1565"/>
    </row>
    <row r="298" spans="1:7" ht="30" customHeight="1" thickBot="1" x14ac:dyDescent="0.3">
      <c r="A298" s="1599" t="s">
        <v>1216</v>
      </c>
      <c r="B298" s="1522" t="s">
        <v>1603</v>
      </c>
      <c r="C298" s="4" t="s">
        <v>2322</v>
      </c>
      <c r="D298" s="757"/>
      <c r="E298" s="1514" t="s">
        <v>2431</v>
      </c>
      <c r="F298" s="313"/>
      <c r="G298" s="1561"/>
    </row>
    <row r="299" spans="1:7" ht="16.2" customHeight="1" x14ac:dyDescent="0.25">
      <c r="A299" s="1582"/>
      <c r="B299" s="1521"/>
      <c r="C299" s="112" t="s">
        <v>437</v>
      </c>
      <c r="D299" s="527">
        <v>0</v>
      </c>
      <c r="E299" s="1515"/>
      <c r="F299" s="314"/>
      <c r="G299" s="1562"/>
    </row>
    <row r="300" spans="1:7" ht="16.2" customHeight="1" x14ac:dyDescent="0.25">
      <c r="A300" s="1582"/>
      <c r="B300" s="1521"/>
      <c r="C300" s="84" t="s">
        <v>327</v>
      </c>
      <c r="D300" s="429">
        <v>0</v>
      </c>
      <c r="E300" s="1515"/>
      <c r="F300" s="314"/>
      <c r="G300" s="1562"/>
    </row>
    <row r="301" spans="1:7" ht="27" customHeight="1" x14ac:dyDescent="0.25">
      <c r="A301" s="1582"/>
      <c r="B301" s="1521"/>
      <c r="C301" s="84" t="s">
        <v>226</v>
      </c>
      <c r="D301" s="429">
        <v>0</v>
      </c>
      <c r="E301" s="1515"/>
      <c r="F301" s="314"/>
      <c r="G301" s="1562"/>
    </row>
    <row r="302" spans="1:7" ht="16.2" customHeight="1" thickBot="1" x14ac:dyDescent="0.3">
      <c r="A302" s="1600"/>
      <c r="B302" s="1523"/>
      <c r="C302" s="115" t="s">
        <v>326</v>
      </c>
      <c r="D302" s="428">
        <v>0</v>
      </c>
      <c r="E302" s="1516"/>
      <c r="F302" s="315"/>
      <c r="G302" s="1563"/>
    </row>
    <row r="303" spans="1:7" ht="45" customHeight="1" thickBot="1" x14ac:dyDescent="0.3">
      <c r="A303" s="4" t="s">
        <v>1217</v>
      </c>
      <c r="B303" s="4" t="s">
        <v>511</v>
      </c>
      <c r="C303" s="127" t="s">
        <v>2719</v>
      </c>
      <c r="D303" s="424">
        <v>0</v>
      </c>
      <c r="E303" s="4" t="s">
        <v>1436</v>
      </c>
      <c r="F303" s="311"/>
      <c r="G303" s="689"/>
    </row>
    <row r="304" spans="1:7" ht="60" customHeight="1" thickBot="1" x14ac:dyDescent="0.3">
      <c r="A304" s="1648" t="s">
        <v>1218</v>
      </c>
      <c r="B304" s="1651" t="s">
        <v>2000</v>
      </c>
      <c r="C304" s="4" t="s">
        <v>2323</v>
      </c>
      <c r="D304" s="758"/>
      <c r="E304" s="1524" t="s">
        <v>2720</v>
      </c>
      <c r="F304" s="313"/>
      <c r="G304" s="1564"/>
    </row>
    <row r="305" spans="1:7" ht="16.2" customHeight="1" x14ac:dyDescent="0.25">
      <c r="A305" s="1649"/>
      <c r="B305" s="1652"/>
      <c r="C305" s="135" t="s">
        <v>1852</v>
      </c>
      <c r="D305" s="526">
        <v>0</v>
      </c>
      <c r="E305" s="1511"/>
      <c r="F305" s="314"/>
      <c r="G305" s="1558"/>
    </row>
    <row r="306" spans="1:7" ht="16.2" customHeight="1" x14ac:dyDescent="0.25">
      <c r="A306" s="1649"/>
      <c r="B306" s="1652"/>
      <c r="C306" s="135" t="s">
        <v>1853</v>
      </c>
      <c r="D306" s="161">
        <v>0</v>
      </c>
      <c r="E306" s="1511"/>
      <c r="F306" s="314"/>
      <c r="G306" s="1558"/>
    </row>
    <row r="307" spans="1:7" ht="16.2" customHeight="1" x14ac:dyDescent="0.25">
      <c r="A307" s="1649"/>
      <c r="B307" s="1652"/>
      <c r="C307" s="135" t="s">
        <v>1854</v>
      </c>
      <c r="D307" s="161">
        <v>0</v>
      </c>
      <c r="E307" s="1511"/>
      <c r="F307" s="314"/>
      <c r="G307" s="1558"/>
    </row>
    <row r="308" spans="1:7" ht="16.2" customHeight="1" x14ac:dyDescent="0.25">
      <c r="A308" s="1649"/>
      <c r="B308" s="1652"/>
      <c r="C308" s="135" t="s">
        <v>1855</v>
      </c>
      <c r="D308" s="161">
        <v>0</v>
      </c>
      <c r="E308" s="1511"/>
      <c r="F308" s="314"/>
      <c r="G308" s="1558"/>
    </row>
    <row r="309" spans="1:7" ht="16.2" customHeight="1" x14ac:dyDescent="0.25">
      <c r="A309" s="1649"/>
      <c r="B309" s="1652"/>
      <c r="C309" s="112" t="s">
        <v>1856</v>
      </c>
      <c r="D309" s="161">
        <v>0</v>
      </c>
      <c r="E309" s="1511"/>
      <c r="F309" s="314" t="s">
        <v>2009</v>
      </c>
      <c r="G309" s="1558"/>
    </row>
    <row r="310" spans="1:7" ht="16.2" customHeight="1" thickBot="1" x14ac:dyDescent="0.3">
      <c r="A310" s="1650"/>
      <c r="B310" s="1653"/>
      <c r="C310" s="143" t="s">
        <v>1857</v>
      </c>
      <c r="D310" s="162">
        <v>0</v>
      </c>
      <c r="E310" s="1525"/>
      <c r="F310" s="320"/>
      <c r="G310" s="1565"/>
    </row>
    <row r="311" spans="1:7" ht="21" customHeight="1" thickBot="1" x14ac:dyDescent="0.3">
      <c r="A311" s="1599" t="s">
        <v>79</v>
      </c>
      <c r="B311" s="1522" t="s">
        <v>512</v>
      </c>
      <c r="C311" s="4" t="s">
        <v>2324</v>
      </c>
      <c r="D311" s="528"/>
      <c r="E311" s="1601" t="s">
        <v>2418</v>
      </c>
      <c r="F311" s="313"/>
      <c r="G311" s="1659"/>
    </row>
    <row r="312" spans="1:7" ht="16.2" customHeight="1" x14ac:dyDescent="0.25">
      <c r="A312" s="1582"/>
      <c r="B312" s="1521"/>
      <c r="C312" s="112" t="s">
        <v>1801</v>
      </c>
      <c r="D312" s="163">
        <v>0</v>
      </c>
      <c r="E312" s="1602"/>
      <c r="F312" s="314"/>
      <c r="G312" s="1660"/>
    </row>
    <row r="313" spans="1:7" ht="16.2" customHeight="1" x14ac:dyDescent="0.25">
      <c r="A313" s="1582"/>
      <c r="B313" s="1521"/>
      <c r="C313" s="84" t="s">
        <v>1858</v>
      </c>
      <c r="D313" s="161">
        <v>0</v>
      </c>
      <c r="E313" s="1602"/>
      <c r="F313" s="314"/>
      <c r="G313" s="1660"/>
    </row>
    <row r="314" spans="1:7" ht="16.2" customHeight="1" thickBot="1" x14ac:dyDescent="0.3">
      <c r="A314" s="1600"/>
      <c r="B314" s="1523"/>
      <c r="C314" s="115" t="s">
        <v>2604</v>
      </c>
      <c r="D314" s="419">
        <v>0</v>
      </c>
      <c r="E314" s="1603"/>
      <c r="F314" s="315" t="s">
        <v>1438</v>
      </c>
      <c r="G314" s="1661"/>
    </row>
    <row r="315" spans="1:7" ht="44.25" customHeight="1" thickBot="1" x14ac:dyDescent="0.3">
      <c r="A315" s="4" t="s">
        <v>1219</v>
      </c>
      <c r="B315" s="114" t="s">
        <v>514</v>
      </c>
      <c r="C315" s="127" t="s">
        <v>2491</v>
      </c>
      <c r="D315" s="423">
        <v>0</v>
      </c>
      <c r="E315" s="4" t="s">
        <v>1437</v>
      </c>
      <c r="F315" s="312"/>
      <c r="G315" s="689"/>
    </row>
    <row r="316" spans="1:7" ht="46.5" customHeight="1" thickBot="1" x14ac:dyDescent="0.3">
      <c r="A316" s="4" t="s">
        <v>1220</v>
      </c>
      <c r="B316" s="4" t="s">
        <v>513</v>
      </c>
      <c r="C316" s="127" t="s">
        <v>2735</v>
      </c>
      <c r="D316" s="424">
        <v>0</v>
      </c>
      <c r="E316" s="4" t="s">
        <v>2420</v>
      </c>
      <c r="F316" s="293"/>
      <c r="G316" s="689"/>
    </row>
    <row r="317" spans="1:7" ht="33" customHeight="1" thickBot="1" x14ac:dyDescent="0.3">
      <c r="A317" s="4" t="s">
        <v>80</v>
      </c>
      <c r="B317" s="4" t="s">
        <v>559</v>
      </c>
      <c r="C317" s="127" t="s">
        <v>2736</v>
      </c>
      <c r="D317" s="424">
        <v>0</v>
      </c>
      <c r="E317" s="4" t="s">
        <v>1439</v>
      </c>
      <c r="F317" s="293"/>
      <c r="G317" s="689"/>
    </row>
    <row r="318" spans="1:7" ht="44.25" customHeight="1" thickBot="1" x14ac:dyDescent="0.3">
      <c r="A318" s="712" t="s">
        <v>3</v>
      </c>
      <c r="B318" s="713" t="s">
        <v>515</v>
      </c>
      <c r="C318" s="129" t="s">
        <v>2737</v>
      </c>
      <c r="D318" s="430">
        <v>0</v>
      </c>
      <c r="E318" s="713" t="s">
        <v>1437</v>
      </c>
      <c r="F318" s="310"/>
      <c r="G318" s="706"/>
    </row>
    <row r="319" spans="1:7" ht="30" customHeight="1" thickBot="1" x14ac:dyDescent="0.3">
      <c r="A319" s="1599" t="s">
        <v>101</v>
      </c>
      <c r="B319" s="1522" t="s">
        <v>516</v>
      </c>
      <c r="C319" s="4" t="s">
        <v>331</v>
      </c>
      <c r="D319" s="758"/>
      <c r="E319" s="1524" t="s">
        <v>1440</v>
      </c>
      <c r="F319" s="313"/>
      <c r="G319" s="1564"/>
    </row>
    <row r="320" spans="1:7" ht="16.2" customHeight="1" x14ac:dyDescent="0.25">
      <c r="A320" s="1582"/>
      <c r="B320" s="1521"/>
      <c r="C320" s="238" t="s">
        <v>1859</v>
      </c>
      <c r="D320" s="523">
        <v>0</v>
      </c>
      <c r="E320" s="1511"/>
      <c r="F320" s="314"/>
      <c r="G320" s="1558"/>
    </row>
    <row r="321" spans="1:7" ht="16.2" customHeight="1" x14ac:dyDescent="0.25">
      <c r="A321" s="1582"/>
      <c r="B321" s="1521"/>
      <c r="C321" s="84" t="s">
        <v>2400</v>
      </c>
      <c r="D321" s="418">
        <v>0</v>
      </c>
      <c r="E321" s="1511"/>
      <c r="F321" s="314"/>
      <c r="G321" s="1558"/>
    </row>
    <row r="322" spans="1:7" ht="16.2" customHeight="1" thickBot="1" x14ac:dyDescent="0.3">
      <c r="A322" s="1600"/>
      <c r="B322" s="1523"/>
      <c r="C322" s="117" t="s">
        <v>1860</v>
      </c>
      <c r="D322" s="419">
        <v>0</v>
      </c>
      <c r="E322" s="1525"/>
      <c r="F322" s="320"/>
      <c r="G322" s="1565"/>
    </row>
    <row r="323" spans="1:7" ht="21" customHeight="1" thickBot="1" x14ac:dyDescent="0.3">
      <c r="A323" s="1599" t="s">
        <v>1221</v>
      </c>
      <c r="B323" s="1522" t="s">
        <v>517</v>
      </c>
      <c r="C323" s="4" t="s">
        <v>2592</v>
      </c>
      <c r="D323" s="758"/>
      <c r="E323" s="1524" t="s">
        <v>2593</v>
      </c>
      <c r="F323" s="313"/>
      <c r="G323" s="1564"/>
    </row>
    <row r="324" spans="1:7" ht="28.5" customHeight="1" x14ac:dyDescent="0.25">
      <c r="A324" s="1582"/>
      <c r="B324" s="1521"/>
      <c r="C324" s="112" t="s">
        <v>2325</v>
      </c>
      <c r="D324" s="526">
        <v>0</v>
      </c>
      <c r="E324" s="1511"/>
      <c r="F324" s="314"/>
      <c r="G324" s="1558"/>
    </row>
    <row r="325" spans="1:7" ht="27" customHeight="1" x14ac:dyDescent="0.25">
      <c r="A325" s="1582"/>
      <c r="B325" s="1521"/>
      <c r="C325" s="84" t="s">
        <v>2326</v>
      </c>
      <c r="D325" s="418">
        <v>0</v>
      </c>
      <c r="E325" s="1511"/>
      <c r="F325" s="314"/>
      <c r="G325" s="1558"/>
    </row>
    <row r="326" spans="1:7" ht="28.5" customHeight="1" x14ac:dyDescent="0.25">
      <c r="A326" s="1582"/>
      <c r="B326" s="1521"/>
      <c r="C326" s="84" t="s">
        <v>571</v>
      </c>
      <c r="D326" s="161">
        <v>0</v>
      </c>
      <c r="E326" s="1511"/>
      <c r="F326" s="314"/>
      <c r="G326" s="1558"/>
    </row>
    <row r="327" spans="1:7" ht="27" customHeight="1" thickBot="1" x14ac:dyDescent="0.3">
      <c r="A327" s="1600"/>
      <c r="B327" s="1523"/>
      <c r="C327" s="115" t="s">
        <v>144</v>
      </c>
      <c r="D327" s="428">
        <v>0</v>
      </c>
      <c r="E327" s="1525"/>
      <c r="F327" s="320"/>
      <c r="G327" s="1565"/>
    </row>
    <row r="328" spans="1:7" ht="43.5" customHeight="1" thickBot="1" x14ac:dyDescent="0.3">
      <c r="A328" s="1599" t="s">
        <v>1222</v>
      </c>
      <c r="B328" s="1522" t="s">
        <v>518</v>
      </c>
      <c r="C328" s="114" t="s">
        <v>2637</v>
      </c>
      <c r="D328" s="757"/>
      <c r="E328" s="1524" t="s">
        <v>2492</v>
      </c>
      <c r="F328" s="313"/>
      <c r="G328" s="1564"/>
    </row>
    <row r="329" spans="1:7" ht="16.2" customHeight="1" x14ac:dyDescent="0.25">
      <c r="A329" s="1582"/>
      <c r="B329" s="1521"/>
      <c r="C329" s="138" t="s">
        <v>1772</v>
      </c>
      <c r="D329" s="163">
        <v>0</v>
      </c>
      <c r="E329" s="1511"/>
      <c r="F329" s="314"/>
      <c r="G329" s="1558"/>
    </row>
    <row r="330" spans="1:7" ht="16.2" customHeight="1" x14ac:dyDescent="0.25">
      <c r="A330" s="1582"/>
      <c r="B330" s="1521"/>
      <c r="C330" s="138" t="s">
        <v>1773</v>
      </c>
      <c r="D330" s="418">
        <v>0</v>
      </c>
      <c r="E330" s="1511"/>
      <c r="F330" s="314"/>
      <c r="G330" s="1558"/>
    </row>
    <row r="331" spans="1:7" ht="16.2" customHeight="1" x14ac:dyDescent="0.25">
      <c r="A331" s="1582"/>
      <c r="B331" s="1521"/>
      <c r="C331" s="138" t="s">
        <v>2667</v>
      </c>
      <c r="D331" s="418">
        <v>0</v>
      </c>
      <c r="E331" s="1511"/>
      <c r="F331" s="314"/>
      <c r="G331" s="1558"/>
    </row>
    <row r="332" spans="1:7" ht="16.2" customHeight="1" x14ac:dyDescent="0.25">
      <c r="A332" s="1582"/>
      <c r="B332" s="1521"/>
      <c r="C332" s="139" t="s">
        <v>2221</v>
      </c>
      <c r="D332" s="418">
        <v>0</v>
      </c>
      <c r="E332" s="1511"/>
      <c r="F332" s="314"/>
      <c r="G332" s="1558"/>
    </row>
    <row r="333" spans="1:7" ht="16.2" customHeight="1" x14ac:dyDescent="0.25">
      <c r="A333" s="1582"/>
      <c r="B333" s="1521"/>
      <c r="C333" s="84" t="s">
        <v>2415</v>
      </c>
      <c r="D333" s="418">
        <v>0</v>
      </c>
      <c r="E333" s="1511"/>
      <c r="F333" s="314"/>
      <c r="G333" s="1558"/>
    </row>
    <row r="334" spans="1:7" ht="16.2" customHeight="1" thickBot="1" x14ac:dyDescent="0.3">
      <c r="A334" s="1600"/>
      <c r="B334" s="1523"/>
      <c r="C334" s="117" t="s">
        <v>1782</v>
      </c>
      <c r="D334" s="419">
        <v>0</v>
      </c>
      <c r="E334" s="1525"/>
      <c r="F334" s="320"/>
      <c r="G334" s="1565"/>
    </row>
    <row r="335" spans="1:7" ht="30" customHeight="1" thickBot="1" x14ac:dyDescent="0.3">
      <c r="A335" s="1599" t="s">
        <v>38</v>
      </c>
      <c r="B335" s="1522" t="s">
        <v>519</v>
      </c>
      <c r="C335" s="4" t="s">
        <v>2638</v>
      </c>
      <c r="D335" s="757"/>
      <c r="E335" s="1524" t="s">
        <v>2493</v>
      </c>
      <c r="F335" s="313"/>
      <c r="G335" s="1564"/>
    </row>
    <row r="336" spans="1:7" ht="16.2" customHeight="1" x14ac:dyDescent="0.25">
      <c r="A336" s="1582"/>
      <c r="B336" s="1521"/>
      <c r="C336" s="84" t="s">
        <v>1846</v>
      </c>
      <c r="D336" s="163">
        <v>0</v>
      </c>
      <c r="E336" s="1511"/>
      <c r="F336" s="314"/>
      <c r="G336" s="1558"/>
    </row>
    <row r="337" spans="1:7" ht="16.2" customHeight="1" x14ac:dyDescent="0.25">
      <c r="A337" s="1582"/>
      <c r="B337" s="1521"/>
      <c r="C337" s="139" t="s">
        <v>2222</v>
      </c>
      <c r="D337" s="418">
        <v>0</v>
      </c>
      <c r="E337" s="1511"/>
      <c r="F337" s="314"/>
      <c r="G337" s="1558"/>
    </row>
    <row r="338" spans="1:7" ht="16.2" customHeight="1" x14ac:dyDescent="0.25">
      <c r="A338" s="1582"/>
      <c r="B338" s="1521"/>
      <c r="C338" s="84" t="s">
        <v>2353</v>
      </c>
      <c r="D338" s="161">
        <v>0</v>
      </c>
      <c r="E338" s="1511"/>
      <c r="F338" s="314"/>
      <c r="G338" s="1558"/>
    </row>
    <row r="339" spans="1:7" ht="16.2" customHeight="1" thickBot="1" x14ac:dyDescent="0.3">
      <c r="A339" s="1600"/>
      <c r="B339" s="1523"/>
      <c r="C339" s="117" t="s">
        <v>1234</v>
      </c>
      <c r="D339" s="419">
        <v>0</v>
      </c>
      <c r="E339" s="1525"/>
      <c r="F339" s="320"/>
      <c r="G339" s="1565"/>
    </row>
    <row r="340" spans="1:7" ht="27.75" customHeight="1" thickBot="1" x14ac:dyDescent="0.3">
      <c r="A340" s="1599" t="s">
        <v>39</v>
      </c>
      <c r="B340" s="1522" t="s">
        <v>520</v>
      </c>
      <c r="C340" s="4" t="s">
        <v>2417</v>
      </c>
      <c r="D340" s="757"/>
      <c r="E340" s="1524" t="s">
        <v>2494</v>
      </c>
      <c r="F340" s="313"/>
      <c r="G340" s="1564"/>
    </row>
    <row r="341" spans="1:7" ht="16.2" customHeight="1" x14ac:dyDescent="0.25">
      <c r="A341" s="1582"/>
      <c r="B341" s="1521"/>
      <c r="C341" s="112" t="s">
        <v>1861</v>
      </c>
      <c r="D341" s="420">
        <v>0</v>
      </c>
      <c r="E341" s="1511"/>
      <c r="F341" s="314"/>
      <c r="G341" s="1558"/>
    </row>
    <row r="342" spans="1:7" ht="16.2" customHeight="1" x14ac:dyDescent="0.25">
      <c r="A342" s="1582"/>
      <c r="B342" s="1521"/>
      <c r="C342" s="84" t="s">
        <v>1862</v>
      </c>
      <c r="D342" s="418">
        <v>0</v>
      </c>
      <c r="E342" s="1511"/>
      <c r="F342" s="314"/>
      <c r="G342" s="1558"/>
    </row>
    <row r="343" spans="1:7" ht="16.2" customHeight="1" x14ac:dyDescent="0.25">
      <c r="A343" s="1582"/>
      <c r="B343" s="1521"/>
      <c r="C343" s="84" t="s">
        <v>1863</v>
      </c>
      <c r="D343" s="418">
        <v>0</v>
      </c>
      <c r="E343" s="1511"/>
      <c r="F343" s="314"/>
      <c r="G343" s="1558"/>
    </row>
    <row r="344" spans="1:7" ht="16.2" customHeight="1" x14ac:dyDescent="0.25">
      <c r="A344" s="1582"/>
      <c r="B344" s="1521"/>
      <c r="C344" s="84" t="s">
        <v>1864</v>
      </c>
      <c r="D344" s="161">
        <v>0</v>
      </c>
      <c r="E344" s="1511"/>
      <c r="F344" s="314"/>
      <c r="G344" s="1558"/>
    </row>
    <row r="345" spans="1:7" ht="16.2" customHeight="1" x14ac:dyDescent="0.25">
      <c r="A345" s="1582"/>
      <c r="B345" s="1521"/>
      <c r="C345" s="238" t="s">
        <v>1865</v>
      </c>
      <c r="D345" s="161">
        <v>0</v>
      </c>
      <c r="E345" s="1511"/>
      <c r="F345" s="314"/>
      <c r="G345" s="1558"/>
    </row>
    <row r="346" spans="1:7" ht="16.2" customHeight="1" thickBot="1" x14ac:dyDescent="0.3">
      <c r="A346" s="1600"/>
      <c r="B346" s="1523"/>
      <c r="C346" s="115" t="s">
        <v>1866</v>
      </c>
      <c r="D346" s="419">
        <v>0</v>
      </c>
      <c r="E346" s="1525"/>
      <c r="F346" s="320"/>
      <c r="G346" s="1565"/>
    </row>
    <row r="347" spans="1:7" ht="21" customHeight="1" thickBot="1" x14ac:dyDescent="0.3">
      <c r="A347" s="1599" t="s">
        <v>231</v>
      </c>
      <c r="B347" s="1522" t="s">
        <v>521</v>
      </c>
      <c r="C347" s="4" t="s">
        <v>77</v>
      </c>
      <c r="D347" s="758"/>
      <c r="E347" s="1524" t="s">
        <v>2495</v>
      </c>
      <c r="F347" s="313"/>
      <c r="G347" s="1564"/>
    </row>
    <row r="348" spans="1:7" ht="16.2" customHeight="1" x14ac:dyDescent="0.25">
      <c r="A348" s="1582"/>
      <c r="B348" s="1521"/>
      <c r="C348" s="112" t="s">
        <v>2327</v>
      </c>
      <c r="D348" s="523">
        <v>0</v>
      </c>
      <c r="E348" s="1511"/>
      <c r="F348" s="314"/>
      <c r="G348" s="1558"/>
    </row>
    <row r="349" spans="1:7" ht="16.2" customHeight="1" x14ac:dyDescent="0.25">
      <c r="A349" s="1582"/>
      <c r="B349" s="1521"/>
      <c r="C349" s="84" t="s">
        <v>1867</v>
      </c>
      <c r="D349" s="418">
        <v>0</v>
      </c>
      <c r="E349" s="1511"/>
      <c r="F349" s="314"/>
      <c r="G349" s="1558"/>
    </row>
    <row r="350" spans="1:7" ht="16.2" customHeight="1" thickBot="1" x14ac:dyDescent="0.3">
      <c r="A350" s="1600"/>
      <c r="B350" s="1523"/>
      <c r="C350" s="115" t="s">
        <v>1868</v>
      </c>
      <c r="D350" s="162">
        <v>0</v>
      </c>
      <c r="E350" s="1525"/>
      <c r="F350" s="315"/>
      <c r="G350" s="1565"/>
    </row>
    <row r="351" spans="1:7" ht="45" customHeight="1" thickBot="1" x14ac:dyDescent="0.3">
      <c r="A351" s="1599" t="s">
        <v>232</v>
      </c>
      <c r="B351" s="1522" t="s">
        <v>505</v>
      </c>
      <c r="C351" s="4" t="s">
        <v>2375</v>
      </c>
      <c r="D351" s="690" t="s">
        <v>1572</v>
      </c>
      <c r="E351" s="711" t="s">
        <v>2422</v>
      </c>
      <c r="F351" s="294"/>
      <c r="G351" s="708"/>
    </row>
    <row r="352" spans="1:7" ht="43.5" customHeight="1" x14ac:dyDescent="0.25">
      <c r="A352" s="1582"/>
      <c r="B352" s="1521"/>
      <c r="C352" s="84" t="s">
        <v>2328</v>
      </c>
      <c r="D352" s="527">
        <v>0</v>
      </c>
      <c r="E352" s="266" t="s">
        <v>2605</v>
      </c>
      <c r="F352" s="314"/>
      <c r="G352" s="699"/>
    </row>
    <row r="353" spans="1:7" ht="42" customHeight="1" x14ac:dyDescent="0.25">
      <c r="A353" s="1582"/>
      <c r="B353" s="1521"/>
      <c r="C353" s="84" t="s">
        <v>2764</v>
      </c>
      <c r="D353" s="431">
        <v>0</v>
      </c>
      <c r="E353" s="266" t="s">
        <v>1441</v>
      </c>
      <c r="F353" s="314"/>
      <c r="G353" s="699"/>
    </row>
    <row r="354" spans="1:7" ht="57" customHeight="1" x14ac:dyDescent="0.25">
      <c r="A354" s="1582"/>
      <c r="B354" s="1521"/>
      <c r="C354" s="84" t="s">
        <v>2721</v>
      </c>
      <c r="D354" s="431">
        <v>0</v>
      </c>
      <c r="E354" s="318" t="s">
        <v>2496</v>
      </c>
      <c r="F354" s="319" t="s">
        <v>1486</v>
      </c>
      <c r="G354" s="700"/>
    </row>
    <row r="355" spans="1:7" ht="27" customHeight="1" x14ac:dyDescent="0.25">
      <c r="A355" s="1582"/>
      <c r="B355" s="1521"/>
      <c r="C355" s="112" t="s">
        <v>277</v>
      </c>
      <c r="D355" s="431">
        <v>0</v>
      </c>
      <c r="E355" s="266" t="s">
        <v>1442</v>
      </c>
      <c r="F355" s="314"/>
      <c r="G355" s="699"/>
    </row>
    <row r="356" spans="1:7" ht="27" customHeight="1" x14ac:dyDescent="0.25">
      <c r="A356" s="1582"/>
      <c r="B356" s="1521"/>
      <c r="C356" s="84" t="s">
        <v>278</v>
      </c>
      <c r="D356" s="431">
        <v>0</v>
      </c>
      <c r="E356" s="266" t="s">
        <v>1443</v>
      </c>
      <c r="F356" s="314"/>
      <c r="G356" s="699"/>
    </row>
    <row r="357" spans="1:7" ht="57" customHeight="1" x14ac:dyDescent="0.25">
      <c r="A357" s="1582"/>
      <c r="B357" s="1521"/>
      <c r="C357" s="84" t="s">
        <v>2722</v>
      </c>
      <c r="D357" s="431">
        <v>0</v>
      </c>
      <c r="E357" s="266" t="s">
        <v>1444</v>
      </c>
      <c r="F357" s="314"/>
      <c r="G357" s="699"/>
    </row>
    <row r="358" spans="1:7" ht="57" customHeight="1" x14ac:dyDescent="0.25">
      <c r="A358" s="1582"/>
      <c r="B358" s="1521"/>
      <c r="C358" s="84" t="s">
        <v>2723</v>
      </c>
      <c r="D358" s="431">
        <v>0</v>
      </c>
      <c r="E358" s="266" t="s">
        <v>1445</v>
      </c>
      <c r="F358" s="314"/>
      <c r="G358" s="699"/>
    </row>
    <row r="359" spans="1:7" ht="43.5" customHeight="1" x14ac:dyDescent="0.25">
      <c r="A359" s="1582"/>
      <c r="B359" s="1521"/>
      <c r="C359" s="84" t="s">
        <v>279</v>
      </c>
      <c r="D359" s="431">
        <v>0</v>
      </c>
      <c r="E359" s="266" t="s">
        <v>1446</v>
      </c>
      <c r="F359" s="314"/>
      <c r="G359" s="699"/>
    </row>
    <row r="360" spans="1:7" ht="42" customHeight="1" x14ac:dyDescent="0.25">
      <c r="A360" s="1582"/>
      <c r="B360" s="1521"/>
      <c r="C360" s="84" t="s">
        <v>1237</v>
      </c>
      <c r="D360" s="431">
        <v>0</v>
      </c>
      <c r="E360" s="266" t="s">
        <v>2329</v>
      </c>
      <c r="F360" s="314"/>
      <c r="G360" s="699"/>
    </row>
    <row r="361" spans="1:7" ht="30" customHeight="1" x14ac:dyDescent="0.25">
      <c r="A361" s="1582"/>
      <c r="B361" s="1521"/>
      <c r="C361" s="238" t="s">
        <v>280</v>
      </c>
      <c r="D361" s="431">
        <v>0</v>
      </c>
      <c r="E361" s="755"/>
      <c r="F361" s="756"/>
      <c r="G361" s="701"/>
    </row>
    <row r="362" spans="1:7" ht="20.25" customHeight="1" thickBot="1" x14ac:dyDescent="0.3">
      <c r="A362" s="1600"/>
      <c r="B362" s="1523"/>
      <c r="C362" s="115" t="s">
        <v>1819</v>
      </c>
      <c r="D362" s="162">
        <v>0</v>
      </c>
      <c r="E362" s="262"/>
      <c r="F362" s="315"/>
      <c r="G362" s="709"/>
    </row>
  </sheetData>
  <sheetProtection password="C74A" sheet="1" objects="1" scenarios="1" formatCells="0" formatColumns="0" insertColumns="0"/>
  <sortState xmlns:xlrd2="http://schemas.microsoft.com/office/spreadsheetml/2017/richdata2" columnSort="1" ref="E1:GV361">
    <sortCondition sortBy="cellColor" ref="E2:GV2" dxfId="6"/>
    <sortCondition sortBy="cellColor" ref="E2:GV2" dxfId="5"/>
    <sortCondition ref="E2:GV2"/>
    <sortCondition ref="E84:GV84"/>
    <sortCondition ref="E166:GV166"/>
    <sortCondition ref="E171:GV171"/>
  </sortState>
  <customSheetViews>
    <customSheetView guid="{B8E02330-2419-4DE6-AD01-7ACC7A5D18DD}" scale="90" topLeftCell="A96">
      <selection activeCell="C101" sqref="C101:C102"/>
      <rowBreaks count="16" manualBreakCount="16">
        <brk id="9" max="4" man="1"/>
        <brk id="26" max="4" man="1"/>
        <brk id="45" max="4" man="1"/>
        <brk id="82" max="4" man="1"/>
        <brk id="100" max="4" man="1"/>
        <brk id="124" max="4" man="1"/>
        <brk id="148" max="4" man="1"/>
        <brk id="166" max="4" man="1"/>
        <brk id="196" max="4" man="1"/>
        <brk id="220" max="4" man="1"/>
        <brk id="236" max="4" man="1"/>
        <brk id="267" max="4" man="1"/>
        <brk id="287" max="4" man="1"/>
        <brk id="306" max="4" man="1"/>
        <brk id="333" max="4" man="1"/>
        <brk id="363" max="4" man="1"/>
      </rowBreaks>
      <pageMargins left="0.25" right="0.25" top="0.75" bottom="0.75" header="0.3" footer="0.3"/>
      <printOptions headings="1"/>
      <pageSetup scale="85" orientation="landscape" r:id="rId1"/>
      <headerFooter alignWithMargins="0">
        <oddFooter>&amp;LWESPUS betaV1, by Dr. Paul Adamus</oddFooter>
      </headerFooter>
    </customSheetView>
  </customSheetViews>
  <mergeCells count="235">
    <mergeCell ref="G335:G339"/>
    <mergeCell ref="G340:G346"/>
    <mergeCell ref="G347:G350"/>
    <mergeCell ref="G281:G287"/>
    <mergeCell ref="G288:G293"/>
    <mergeCell ref="G294:G297"/>
    <mergeCell ref="G298:G302"/>
    <mergeCell ref="G304:G310"/>
    <mergeCell ref="G311:G314"/>
    <mergeCell ref="G319:G322"/>
    <mergeCell ref="G323:G327"/>
    <mergeCell ref="G328:G334"/>
    <mergeCell ref="G228:G236"/>
    <mergeCell ref="G237:G239"/>
    <mergeCell ref="G240:G243"/>
    <mergeCell ref="G244:G246"/>
    <mergeCell ref="G247:G252"/>
    <mergeCell ref="G253:G258"/>
    <mergeCell ref="G260:G266"/>
    <mergeCell ref="G267:G273"/>
    <mergeCell ref="G274:G280"/>
    <mergeCell ref="G177:G182"/>
    <mergeCell ref="G183:G187"/>
    <mergeCell ref="G188:G192"/>
    <mergeCell ref="G193:G198"/>
    <mergeCell ref="G199:G204"/>
    <mergeCell ref="G205:G207"/>
    <mergeCell ref="G208:G212"/>
    <mergeCell ref="G213:G218"/>
    <mergeCell ref="G221:G227"/>
    <mergeCell ref="G128:G133"/>
    <mergeCell ref="G134:G139"/>
    <mergeCell ref="G140:G144"/>
    <mergeCell ref="G145:G149"/>
    <mergeCell ref="G150:G156"/>
    <mergeCell ref="G157:G161"/>
    <mergeCell ref="G162:G166"/>
    <mergeCell ref="G167:G170"/>
    <mergeCell ref="G172:G176"/>
    <mergeCell ref="G61:G70"/>
    <mergeCell ref="G71:G75"/>
    <mergeCell ref="G76:G82"/>
    <mergeCell ref="G83:G89"/>
    <mergeCell ref="G90:G99"/>
    <mergeCell ref="G100:G104"/>
    <mergeCell ref="G106:G112"/>
    <mergeCell ref="G113:G119"/>
    <mergeCell ref="G120:G125"/>
    <mergeCell ref="G7:G11"/>
    <mergeCell ref="G13:G17"/>
    <mergeCell ref="G18:G23"/>
    <mergeCell ref="G24:G27"/>
    <mergeCell ref="G28:G34"/>
    <mergeCell ref="G35:G40"/>
    <mergeCell ref="G41:G45"/>
    <mergeCell ref="G46:G52"/>
    <mergeCell ref="G54:G60"/>
    <mergeCell ref="D1:F1"/>
    <mergeCell ref="A1:B1"/>
    <mergeCell ref="A340:A346"/>
    <mergeCell ref="B340:B346"/>
    <mergeCell ref="A347:A350"/>
    <mergeCell ref="B347:B350"/>
    <mergeCell ref="A351:A362"/>
    <mergeCell ref="B351:B362"/>
    <mergeCell ref="A323:A327"/>
    <mergeCell ref="B323:B327"/>
    <mergeCell ref="A328:A334"/>
    <mergeCell ref="B328:B334"/>
    <mergeCell ref="A335:A339"/>
    <mergeCell ref="B335:B339"/>
    <mergeCell ref="A304:A310"/>
    <mergeCell ref="B304:B310"/>
    <mergeCell ref="A311:A314"/>
    <mergeCell ref="B311:B314"/>
    <mergeCell ref="A319:A322"/>
    <mergeCell ref="B319:B322"/>
    <mergeCell ref="A288:A293"/>
    <mergeCell ref="B288:B293"/>
    <mergeCell ref="A294:A297"/>
    <mergeCell ref="B294:B297"/>
    <mergeCell ref="A298:A302"/>
    <mergeCell ref="B298:B302"/>
    <mergeCell ref="A267:A273"/>
    <mergeCell ref="B267:B273"/>
    <mergeCell ref="A274:A280"/>
    <mergeCell ref="B274:B280"/>
    <mergeCell ref="A281:A287"/>
    <mergeCell ref="B281:B287"/>
    <mergeCell ref="B244:B246"/>
    <mergeCell ref="A247:A252"/>
    <mergeCell ref="B247:B252"/>
    <mergeCell ref="A253:A258"/>
    <mergeCell ref="B253:B258"/>
    <mergeCell ref="A260:A266"/>
    <mergeCell ref="B260:B266"/>
    <mergeCell ref="A259:C259"/>
    <mergeCell ref="A228:A236"/>
    <mergeCell ref="B228:B236"/>
    <mergeCell ref="A237:A239"/>
    <mergeCell ref="B237:B239"/>
    <mergeCell ref="A240:A243"/>
    <mergeCell ref="B240:B243"/>
    <mergeCell ref="A205:A207"/>
    <mergeCell ref="B205:B207"/>
    <mergeCell ref="A213:A218"/>
    <mergeCell ref="B213:B218"/>
    <mergeCell ref="A221:A227"/>
    <mergeCell ref="B221:B227"/>
    <mergeCell ref="A199:A204"/>
    <mergeCell ref="B199:B204"/>
    <mergeCell ref="A208:A212"/>
    <mergeCell ref="B208:B212"/>
    <mergeCell ref="A177:A182"/>
    <mergeCell ref="B177:B182"/>
    <mergeCell ref="A183:A187"/>
    <mergeCell ref="B183:B187"/>
    <mergeCell ref="A188:A192"/>
    <mergeCell ref="B188:B192"/>
    <mergeCell ref="B172:B176"/>
    <mergeCell ref="A145:A149"/>
    <mergeCell ref="B145:B149"/>
    <mergeCell ref="A150:A156"/>
    <mergeCell ref="B150:B156"/>
    <mergeCell ref="A157:A161"/>
    <mergeCell ref="B157:B161"/>
    <mergeCell ref="A193:A198"/>
    <mergeCell ref="B193:B198"/>
    <mergeCell ref="E177:E182"/>
    <mergeCell ref="E183:E187"/>
    <mergeCell ref="E188:E192"/>
    <mergeCell ref="E193:E198"/>
    <mergeCell ref="E199:E204"/>
    <mergeCell ref="E208:E212"/>
    <mergeCell ref="E145:E149"/>
    <mergeCell ref="E150:E156"/>
    <mergeCell ref="A41:A45"/>
    <mergeCell ref="B41:B45"/>
    <mergeCell ref="A46:A52"/>
    <mergeCell ref="B46:B52"/>
    <mergeCell ref="A54:A60"/>
    <mergeCell ref="B54:B60"/>
    <mergeCell ref="A83:A89"/>
    <mergeCell ref="B83:B89"/>
    <mergeCell ref="A90:A99"/>
    <mergeCell ref="B90:B99"/>
    <mergeCell ref="A100:A104"/>
    <mergeCell ref="B100:B104"/>
    <mergeCell ref="A61:A70"/>
    <mergeCell ref="B61:B70"/>
    <mergeCell ref="A71:A75"/>
    <mergeCell ref="B71:B75"/>
    <mergeCell ref="E244:E246"/>
    <mergeCell ref="E247:E252"/>
    <mergeCell ref="E253:E258"/>
    <mergeCell ref="E260:E266"/>
    <mergeCell ref="E267:E273"/>
    <mergeCell ref="E274:E280"/>
    <mergeCell ref="E205:E207"/>
    <mergeCell ref="E213:E218"/>
    <mergeCell ref="E221:E227"/>
    <mergeCell ref="E228:E236"/>
    <mergeCell ref="E237:E239"/>
    <mergeCell ref="E240:E243"/>
    <mergeCell ref="E335:E339"/>
    <mergeCell ref="E340:E346"/>
    <mergeCell ref="E347:E350"/>
    <mergeCell ref="E281:E287"/>
    <mergeCell ref="E288:E293"/>
    <mergeCell ref="E294:E297"/>
    <mergeCell ref="E298:E302"/>
    <mergeCell ref="E304:E310"/>
    <mergeCell ref="E311:E314"/>
    <mergeCell ref="E319:E322"/>
    <mergeCell ref="E323:E327"/>
    <mergeCell ref="E328:E334"/>
    <mergeCell ref="E172:E176"/>
    <mergeCell ref="E106:E112"/>
    <mergeCell ref="E113:E119"/>
    <mergeCell ref="E120:E125"/>
    <mergeCell ref="E128:E133"/>
    <mergeCell ref="E134:E139"/>
    <mergeCell ref="E140:E144"/>
    <mergeCell ref="A128:A133"/>
    <mergeCell ref="B128:B133"/>
    <mergeCell ref="A134:A139"/>
    <mergeCell ref="B134:B139"/>
    <mergeCell ref="A140:A144"/>
    <mergeCell ref="B140:B144"/>
    <mergeCell ref="A106:A112"/>
    <mergeCell ref="B106:B112"/>
    <mergeCell ref="A113:A119"/>
    <mergeCell ref="B113:B119"/>
    <mergeCell ref="A120:A125"/>
    <mergeCell ref="B120:B125"/>
    <mergeCell ref="A162:A166"/>
    <mergeCell ref="B162:B166"/>
    <mergeCell ref="A167:A170"/>
    <mergeCell ref="B167:B170"/>
    <mergeCell ref="A172:A176"/>
    <mergeCell ref="A76:A82"/>
    <mergeCell ref="B76:B82"/>
    <mergeCell ref="A28:A34"/>
    <mergeCell ref="B28:B34"/>
    <mergeCell ref="A35:A40"/>
    <mergeCell ref="E157:E161"/>
    <mergeCell ref="E162:E166"/>
    <mergeCell ref="E167:E170"/>
    <mergeCell ref="E61:E70"/>
    <mergeCell ref="E71:E75"/>
    <mergeCell ref="E76:E82"/>
    <mergeCell ref="E83:E89"/>
    <mergeCell ref="E90:E99"/>
    <mergeCell ref="E100:E104"/>
    <mergeCell ref="E46:E52"/>
    <mergeCell ref="E54:E60"/>
    <mergeCell ref="A6:C6"/>
    <mergeCell ref="E7:E11"/>
    <mergeCell ref="A2:B2"/>
    <mergeCell ref="D2:F2"/>
    <mergeCell ref="E24:E27"/>
    <mergeCell ref="E28:E34"/>
    <mergeCell ref="E35:E40"/>
    <mergeCell ref="E41:E45"/>
    <mergeCell ref="E13:E17"/>
    <mergeCell ref="E18:E23"/>
    <mergeCell ref="A7:A12"/>
    <mergeCell ref="B7:B12"/>
    <mergeCell ref="A13:A17"/>
    <mergeCell ref="B13:B17"/>
    <mergeCell ref="A18:A23"/>
    <mergeCell ref="B18:B23"/>
    <mergeCell ref="A24:A27"/>
    <mergeCell ref="B24:B27"/>
    <mergeCell ref="B35:B40"/>
  </mergeCells>
  <phoneticPr fontId="3" type="noConversion"/>
  <conditionalFormatting sqref="D2:D1048576">
    <cfRule type="cellIs" dxfId="4" priority="1" operator="greaterThan">
      <formula>0</formula>
    </cfRule>
  </conditionalFormatting>
  <dataValidations count="4">
    <dataValidation type="whole" allowBlank="1" showInputMessage="1" showErrorMessage="1" sqref="VTM241:VTM243 D241:D243 VJQ241:VJQ243 D393391:D393393 D458927:D458929 D524463:D524465 D589999:D590001 D655535:D655537 D327855:D327857 D721071:D721073 D786607:D786609 D852143:D852145 D917679:D917681 D983215:D983217 D65711:D65713 D131247:D131249 D196783:D196785 UZU241:UZU243 UPY241:UPY243 UGC241:UGC243 TWG241:TWG243 TMK241:TMK243 TCO241:TCO243 SSS241:SSS243 SIW241:SIW243 RZA241:RZA243 RPE241:RPE243 RFI241:RFI243 QVM241:QVM243 QLQ241:QLQ243 QBU241:QBU243 PRY241:PRY243 PIC241:PIC243 OYG241:OYG243 OOK241:OOK243 OEO241:OEO243 NUS241:NUS243 NKW241:NKW243 NBA241:NBA243 MRE241:MRE243 MHI241:MHI243 LXM241:LXM243 LNQ241:LNQ243 LDU241:LDU243 KTY241:KTY243 KKC241:KKC243 KAG241:KAG243 JQK241:JQK243 JGO241:JGO243 IWS241:IWS243 IMW241:IMW243 IDA241:IDA243 HTE241:HTE243 HJI241:HJI243 GZM241:GZM243 GPQ241:GPQ243 GFU241:GFU243 FVY241:FVY243 FMC241:FMC243 FCG241:FCG243 ESK241:ESK243 EIO241:EIO243 DYS241:DYS243 DOW241:DOW243 DFA241:DFA243 CVE241:CVE243 CLI241:CLI243 CBM241:CBM243 BRQ241:BRQ243 BHU241:BHU243 AXY241:AXY243 AOC241:AOC243 AEG241:AEG243 UK241:UK243 KO241:KO243 AS241:AS243 WDI241:WDI243 D262319:D262321" xr:uid="{00000000-0002-0000-0200-000000000000}">
      <formula1>0</formula1>
      <formula2>1</formula2>
    </dataValidation>
    <dataValidation type="whole" allowBlank="1" showInputMessage="1" showErrorMessage="1" error="enter 0 or 1" sqref="CBN355:CBO355 CG92:JE97 MC92:TA97 VY92:ACW97 AFU92:AMS97 APQ92:AWO97 AZM92:BGK97 BJI92:BQG97 BTE92:CAC97 CDA92:CJY97 CMW92:CTU97 CWS92:DDQ97 DGO92:DNM97 DQK92:DXI97 EAG92:EHE97 EKC92:ERA97 ETY92:FAW97 FDU92:FKS97 FNQ92:FUO97 FXM92:GEK97 GHI92:GOG97 GRE92:GYC97 HBA92:HHY97 HKW92:HRU97 HUS92:IBQ97 IEO92:ILM97 IOK92:IVI97 IYG92:JFE97 JIC92:JPA97 JRY92:JYW97 KBU92:KIS97 KLQ92:KSO97 KVM92:LCK97 LFI92:LMG97 LPE92:LWC97 LZA92:MFY97 MIW92:MPU97 MSS92:MZQ97 NCO92:NJM97 NMK92:NTI97 NWG92:ODE97 OGC92:ONA97 OPY92:OWW97 OZU92:PGS97 PJQ92:PQO97 PTM92:QAK97 QDI92:QKG97 QNE92:QUC97 QXA92:RDY97 RGW92:RNU97 RQS92:RXQ97 SAO92:SHM97 SKK92:SRI97 SUG92:TBE97 TEC92:TLA97 TNY92:TUW97 TXU92:UES97 UHQ92:UOO97 URM92:UYK97 VBI92:VIG97 VLE92:VSC97 VVA92:WBY97 WEW92:WLU97 AT92:CE97 KP92:MA97 UL92:VW97 AEH92:AFS97 AOD92:APO97 AXZ92:AZK97 BHV92:BJG97 BRR92:BTC97 CBN92:CCY97 CLJ92:CMU97 CVF92:CWQ97 DFB92:DGM97 DOX92:DQI97 DYT92:EAE97 EIP92:EKA97 ESL92:ETW97 FCH92:FDS97 FMD92:FNO97 FVZ92:FXK97 GFV92:GHG97 GPR92:GRC97 GZN92:HAY97 HJJ92:HKU97 HTF92:HUQ97 IDB92:IEM97 IMX92:IOI97 IWT92:IYE97 JGP92:JIA97 JQL92:JRW97 KAH92:KBS97 KKD92:KLO97 KTZ92:KVK97 LDV92:LFG97 LNR92:LPC97 LXN92:LYY97 MHJ92:MIU97 MRF92:MSQ97 NBB92:NCM97 NKX92:NMI97 NUT92:NWE97 OEP92:OGA97 OOL92:OPW97 OYH92:OZS97 PID92:PJO97 PRZ92:PTK97 QBV92:QDG97 QLR92:QNC97 QVN92:QWY97 RFJ92:RGU97 RPF92:RQQ97 RZB92:SAM97 SIX92:SKI97 SST92:SUE97 TCP92:TEA97 TML92:TNW97 TWH92:TXS97 UGD92:UHO97 UPZ92:URK97 UZV92:VBG97 VJR92:VLC97 VTN92:VUY97 WDJ92:WEU97 WDJ63:WLU68 VTN63:WBY68 VJR63:VSC68 UZV63:VIG68 UPZ63:UYK68 UGD63:UOO68 TWH63:UES68 TML63:TUW68 TCP63:TLA68 SST63:TBE68 SIX63:SRI68 RZB63:SHM68 RPF63:RXQ68 RFJ63:RNU68 QVN63:RDY68 QLR63:QUC68 QBV63:QKG68 PRZ63:QAK68 PID63:PQO68 OYH63:PGS68 OOL63:OWW68 OEP63:ONA68 NUT63:ODE68 NKX63:NTI68 NBB63:NJM68 MRF63:MZQ68 MHJ63:MPU68 LXN63:MFY68 LNR63:LWC68 LDV63:LMG68 KTZ63:LCK68 KKD63:KSO68 KAH63:KIS68 JQL63:JYW68 JGP63:JPA68 IWT63:JFE68 IMX63:IVI68 IDB63:ILM68 HTF63:IBQ68 HJJ63:HRU68 GZN63:HHY68 GPR63:GYC68 GFV63:GOG68 FVZ63:GEK68 FMD63:FUO68 FCH63:FKS68 ESL63:FAW68 EIP63:ERA68 DYT63:EHE68 DOX63:DXI68 DFB63:DNM68 CVF63:DDQ68 CLJ63:CTU68 CBN63:CJY68 BRR63:CAC68 BHV63:BQG68 AXZ63:BGK68 AOD63:AWO68 AEH63:AMS68 UL63:ACW68 KP63:TA68 AT63:JE68 WDJ29:WLU34 VTN29:WBY34 VJR29:VSC34 UZV29:VIG34 UPZ29:UYK34 UGD29:UOO34 TWH29:UES34 TML29:TUW34 TCP29:TLA34 SST29:TBE34 SIX29:SRI34 RZB29:SHM34 RPF29:RXQ34 RFJ29:RNU34 QVN29:RDY34 QLR29:QUC34 QBV29:QKG34 PRZ29:QAK34 PID29:PQO34 OYH29:PGS34 OOL29:OWW34 OEP29:ONA34 NUT29:ODE34 NKX29:NTI34 NBB29:NJM34 MRF29:MZQ34 MHJ29:MPU34 LXN29:MFY34 LNR29:LWC34 LDV29:LMG34 KTZ29:LCK34 KKD29:KSO34 KAH29:KIS34 JQL29:JYW34 JGP29:JPA34 IWT29:JFE34 IMX29:IVI34 IDB29:ILM34 HTF29:IBQ34 HJJ29:HRU34 GZN29:HHY34 GPR29:GYC34 GFV29:GOG34 FVZ29:GEK34 FMD29:FUO34 FCH29:FKS34 ESL29:FAW34 EIP29:ERA34 DYT29:EHE34 DOX29:DXI34 DFB29:DNM34 CVF29:DDQ34 CLJ29:CTU34 CBN29:CJY34 BRR29:CAC34 BHV29:BQG34 AXZ29:BGK34 AOD29:AWO34 AEH29:AMS34 UL29:ACW34 KP29:TA34 AT29:JE34 G29:I34 G92:I97 G63:I68 BRR355:BRS355 BHV355:BHW355 AXZ355:AYA355 AOD355:AOE355 AEH355:AEI355 UL355:UM355 KP355:KQ355 AT355:AU355 WDJ362 VTN362 VJR362 UZV362 UPZ362 UGD362 TWH362 TML362 TCP362 SST362 SIX362 RZB362 RPF362 RFJ362 QVN362 QLR362 QBV362 PRZ362 PID362 OYH362 OOL362 OEP362 NUT362 NKX362 NBB362 MRF362 MHJ362 LXN362 LNR362 LDV362 KTZ362 KKD362 KAH362 JQL362 JGP362 IWT362 IMX362 IDB362 HTF362 HJJ362 GZN362 GPR362 GFV362 FVZ362 FMD362 FCH362 ESL362 EIP362 DYT362 DOX362 DFB362 CVF362 CLJ362 CBN362 BRR362 BHV362 AXZ362 AOD362 AEH362 UL362 KP362 AT362 WDJ355:WDK355 WDL362:WEA362 VTP362:VUE362 VJT362:VKI362 UZX362:VAM362 UQB362:UQQ362 UGF362:UGU362 TWJ362:TWY362 TMN362:TNC362 TCR362:TDG362 SSV362:STK362 SIZ362:SJO362 RZD362:RZS362 RPH362:RPW362 RFL362:RGA362 QVP362:QWE362 QLT362:QMI362 QBX362:QCM362 PSB362:PSQ362 PIF362:PIU362 OYJ362:OYY362 OON362:OPC362 OER362:OFG362 NUV362:NVK362 NKZ362:NLO362 NBD362:NBS362 MRH362:MRW362 MHL362:MIA362 LXP362:LYE362 LNT362:LOI362 LDX362:LEM362 KUB362:KUQ362 KKF362:KKU362 KAJ362:KAY362 JQN362:JRC362 JGR362:JHG362 IWV362:IXK362 IMZ362:INO362 IDD362:IDS362 HTH362:HTW362 HJL362:HKA362 GZP362:HAE362 GPT362:GQI362 GFX362:GGM362 FWB362:FWQ362 FMF362:FMU362 FCJ362:FCY362 ESN362:ETC362 EIR362:EJG362 DYV362:DZK362 DOZ362:DPO362 DFD362:DFS362 CVH362:CVW362 CLL362:CMA362 CBP362:CCE362 BRT362:BSI362 BHX362:BIM362 AYB362:AYQ362 AOF362:AOU362 AEJ362:AEY362 UN362:VC362 KR362:LG362 AV362:BK362 WDJ348:WHK350 VTN348:VXO350 VJR348:VNS350 UZV348:VDW350 UPZ348:UUA350 UGD348:UKE350 TWH348:UAI350 TML348:TQM350 TCP348:TGQ350 SST348:SWU350 SIX348:SMY350 RZB348:SDC350 RPF348:RTG350 RFJ348:RJK350 QVN348:QZO350 QLR348:QPS350 QBV348:QFW350 PRZ348:PWA350 PID348:PME350 OYH348:PCI350 OOL348:OSM350 OEP348:OIQ350 NUT348:NYU350 NKX348:NOY350 NBB348:NFC350 MRF348:MVG350 MHJ348:MLK350 LXN348:MBO350 LNR348:LRS350 LDV348:LHW350 KTZ348:KYA350 KKD348:KOE350 KAH348:KEI350 JQL348:JUM350 JGP348:JKQ350 IWT348:JAU350 IMX348:IQY350 IDB348:IHC350 HTF348:HXG350 HJJ348:HNK350 GZN348:HDO350 GPR348:GTS350 GFV348:GJW350 FVZ348:GAA350 FMD348:FQE350 FCH348:FGI350 ESL348:EWM350 EIP348:EMQ350 DYT348:ECU350 DOX348:DSY350 DFB348:DJC350 CVF348:CZG350 CLJ348:CPK350 CBN348:CFO350 BRR348:BVS350 BHV348:BLW350 AXZ348:BCA350 AOD348:ASE350 AEH348:AII350 UL348:YM350 KP348:OQ350 AT348:EU350 WHL348:WHU349 VXP348:VXY349 VNT348:VOC349 VDX348:VEG349 UUB348:UUK349 UKF348:UKO349 UAJ348:UAS349 TQN348:TQW349 TGR348:THA349 SWV348:SXE349 SMZ348:SNI349 SDD348:SDM349 RTH348:RTQ349 RJL348:RJU349 QZP348:QZY349 QPT348:QQC349 QFX348:QGG349 PWB348:PWK349 PMF348:PMO349 PCJ348:PCS349 OSN348:OSW349 OIR348:OJA349 NYV348:NZE349 NOZ348:NPI349 NFD348:NFM349 MVH348:MVQ349 MLL348:MLU349 MBP348:MBY349 LRT348:LSC349 LHX348:LIG349 KYB348:KYK349 KOF348:KOO349 KEJ348:KES349 JUN348:JUW349 JKR348:JLA349 JAV348:JBE349 IQZ348:IRI349 IHD348:IHM349 HXH348:HXQ349 HNL348:HNU349 HDP348:HDY349 GTT348:GUC349 GJX348:GKG349 GAB348:GAK349 FQF348:FQO349 FGJ348:FGS349 EWN348:EWW349 EMR348:ENA349 ECV348:EDE349 DSZ348:DTI349 DJD348:DJM349 CZH348:CZQ349 CPL348:CPU349 CFP348:CFY349 BVT348:BWC349 BLX348:BMG349 BCB348:BCK349 ASF348:ASO349 AIJ348:AIS349 YN348:YW349 OR348:PA349 EV348:FE349 CLJ355:CLK355 WIC350 VYG350 VOK350 VEO350 UUS350 UKW350 UBA350 TRE350 THI350 SXM350 SNQ350 SDU350 RTY350 RKC350 RAG350 QQK350 QGO350 PWS350 PMW350 PDA350 OTE350 OJI350 NZM350 NPQ350 NFU350 MVY350 MMC350 MCG350 LSK350 LIO350 KYS350 KOW350 KFA350 JVE350 JLI350 JBM350 IRQ350 IHU350 HXY350 HOC350 HEG350 GUK350 GKO350 GAS350 FQW350 FHA350 EXE350 ENI350 EDM350 DTQ350 DJU350 CZY350 CQC350 CGG350 BWK350 BMO350 BCS350 ASW350 AJA350 ZE350 PI350 FM350 WIC348 VYG348 VOK348 VEO348 UUS348 UKW348 UBA348 TRE348 THI348 SXM348 SNQ348 SDU348 RTY348 RKC348 RAG348 QQK348 QGO348 PWS348 PMW348 PDA348 OTE348 OJI348 NZM348 NPQ348 NFU348 MVY348 MMC348 MCG348 LSK348 LIO348 KYS348 KOW348 KFA348 JVE348 JLI348 JBM348 IRQ348 IHU348 HXY348 HOC348 HEG348 GUK348 GKO348 GAS348 FQW348 FHA348 EXE348 ENI348 EDM348 DTQ348 DJU348 CZY348 CQC348 CGG348 BWK348 BMO348 BCS348 ASW348 AJA348 ZE348 PI348 FM348 WHW348:WIB349 VYA348:VYF349 VOE348:VOJ349 VEI348:VEN349 UUM348:UUR349 UKQ348:UKV349 UAU348:UAZ349 TQY348:TRD349 THC348:THH349 SXG348:SXL349 SNK348:SNP349 SDO348:SDT349 RTS348:RTX349 RJW348:RKB349 RAA348:RAF349 QQE348:QQJ349 QGI348:QGN349 PWM348:PWR349 PMQ348:PMV349 PCU348:PCZ349 OSY348:OTD349 OJC348:OJH349 NZG348:NZL349 NPK348:NPP349 NFO348:NFT349 MVS348:MVX349 MLW348:MMB349 MCA348:MCF349 LSE348:LSJ349 LII348:LIN349 KYM348:KYR349 KOQ348:KOV349 KEU348:KEZ349 JUY348:JVD349 JLC348:JLH349 JBG348:JBL349 IRK348:IRP349 IHO348:IHT349 HXS348:HXX349 HNW348:HOB349 HEA348:HEF349 GUE348:GUJ349 GKI348:GKN349 GAM348:GAR349 FQQ348:FQV349 FGU348:FGZ349 EWY348:EXD349 ENC348:ENH349 EDG348:EDL349 DTK348:DTP349 DJO348:DJT349 CZS348:CZX349 CPW348:CQB349 CGA348:CGF349 BWE348:BWJ349 BMI348:BMN349 BCM348:BCR349 ASQ348:ASV349 AIU348:AIZ349 YY348:ZD349 PC348:PH349 FG348:FL349 VTN355:VTO355 WHV348 VXZ348 VOD348 VEH348 UUL348 UKP348 UAT348 TQX348 THB348 SXF348 SNJ348 SDN348 RTR348 RJV348 QZZ348 QQD348 QGH348 PWL348 PMP348 PCT348 OSX348 OJB348 NZF348 NPJ348 NFN348 MVR348 MLV348 MBZ348 LSD348 LIH348 KYL348 KOP348 KET348 JUX348 JLB348 JBF348 IRJ348 IHN348 HXR348 HNV348 HDZ348 GUD348 GKH348 GAL348 FQP348 FGT348 EWX348 ENB348 EDF348 DTJ348 DJN348 CZR348 CPV348 CFZ348 BWD348 BMH348 BCL348 ASP348 AIT348 YX348 PB348 FF348 VJR355:VJS355 WID348:WIN349 VYH348:VYR349 VOL348:VOV349 VEP348:VEZ349 UUT348:UVD349 UKX348:ULH349 UBB348:UBL349 TRF348:TRP349 THJ348:THT349 SXN348:SXX349 SNR348:SOB349 SDV348:SEF349 RTZ348:RUJ349 RKD348:RKN349 RAH348:RAR349 QQL348:QQV349 QGP348:QGZ349 PWT348:PXD349 PMX348:PNH349 PDB348:PDL349 OTF348:OTP349 OJJ348:OJT349 NZN348:NZX349 NPR348:NQB349 NFV348:NGF349 MVZ348:MWJ349 MMD348:MMN349 MCH348:MCR349 LSL348:LSV349 LIP348:LIZ349 KYT348:KZD349 KOX348:KPH349 KFB348:KFL349 JVF348:JVP349 JLJ348:JLT349 JBN348:JBX349 IRR348:ISB349 IHV348:IIF349 HXZ348:HYJ349 HOD348:HON349 HEH348:HER349 GUL348:GUV349 GKP348:GKZ349 GAT348:GBD349 FQX348:FRH349 FHB348:FHL349 EXF348:EXP349 ENJ348:ENT349 EDN348:EDX349 DTR348:DUB349 DJV348:DKF349 CZZ348:DAJ349 CQD348:CQN349 CGH348:CGR349 BWL348:BWV349 BMP348:BMZ349 BCT348:BDD349 ASX348:ATH349 AJB348:AJL349 ZF348:ZP349 PJ348:PT349 FN348:FX349 UZV355:UZW355 WHL350:WHX350 VXP350:VYB350 VNT350:VOF350 VDX350:VEJ350 UUB350:UUN350 UKF350:UKR350 UAJ350:UAV350 TQN350:TQZ350 TGR350:THD350 SWV350:SXH350 SMZ350:SNL350 SDD350:SDP350 RTH350:RTT350 RJL350:RJX350 QZP350:RAB350 QPT350:QQF350 QFX350:QGJ350 PWB350:PWN350 PMF350:PMR350 PCJ350:PCV350 OSN350:OSZ350 OIR350:OJD350 NYV350:NZH350 NOZ350:NPL350 NFD350:NFP350 MVH350:MVT350 MLL350:MLX350 MBP350:MCB350 LRT350:LSF350 LHX350:LIJ350 KYB350:KYN350 KOF350:KOR350 KEJ350:KEV350 JUN350:JUZ350 JKR350:JLD350 JAV350:JBH350 IQZ350:IRL350 IHD350:IHP350 HXH350:HXT350 HNL350:HNX350 HDP350:HEB350 GTT350:GUF350 GJX350:GKJ350 GAB350:GAN350 FQF350:FQR350 FGJ350:FGV350 EWN350:EWZ350 EMR350:END350 ECV350:EDH350 DSZ350:DTL350 DJD350:DJP350 CZH350:CZT350 CPL350:CPX350 CFP350:CGB350 BVT350:BWF350 BLX350:BMJ350 BCB350:BCN350 ASF350:ASR350 AIJ350:AIV350 YN350:YZ350 OR350:PD350 EV350:FH350 UPZ355:UQA355 WIO348:WLQ350 VYS348:WBU350 VOW348:VRY350 VFA348:VIC350 UVE348:UYG350 ULI348:UOK350 UBM348:UEO350 TRQ348:TUS350 THU348:TKW350 SXY348:TBA350 SOC348:SRE350 SEG348:SHI350 RUK348:RXM350 RKO348:RNQ350 RAS348:RDU350 QQW348:QTY350 QHA348:QKC350 PXE348:QAG350 PNI348:PQK350 PDM348:PGO350 OTQ348:OWS350 OJU348:OMW350 NZY348:ODA350 NQC348:NTE350 NGG348:NJI350 MWK348:MZM350 MMO348:MPQ350 MCS348:MFU350 LSW348:LVY350 LJA348:LMC350 KZE348:LCG350 KPI348:KSK350 KFM348:KIO350 JVQ348:JYS350 JLU348:JOW350 JBY348:JFA350 ISC348:IVE350 IIG348:ILI350 HYK348:IBM350 HOO348:HRQ350 HES348:HHU350 GUW348:GXY350 GLA348:GOC350 GBE348:GEG350 FRI348:FUK350 FHM348:FKO350 EXQ348:FAS350 ENU348:EQW350 EDY348:EHA350 DUC348:DXE350 DKG348:DNI350 DAK348:DDM350 CQO348:CTQ350 CGS348:CJU350 BWW348:BZY350 BNA348:BQC350 BDE348:BGG350 ATI348:AWK350 AJM348:AMO350 ZQ348:ACS350 PU348:SW350 FY348:JA350 UGD355:UGE355 WDJ341:WHU346 VTN341:VXY346 VJR341:VOC346 UZV341:VEG346 UPZ341:UUK346 UGD341:UKO346 TWH341:UAS346 TML341:TQW346 TCP341:THA346 SST341:SXE346 SIX341:SNI346 RZB341:SDM346 RPF341:RTQ346 RFJ341:RJU346 QVN341:QZY346 QLR341:QQC346 QBV341:QGG346 PRZ341:PWK346 PID341:PMO346 OYH341:PCS346 OOL341:OSW346 OEP341:OJA346 NUT341:NZE346 NKX341:NPI346 NBB341:NFM346 MRF341:MVQ346 MHJ341:MLU346 LXN341:MBY346 LNR341:LSC346 LDV341:LIG346 KTZ341:KYK346 KKD341:KOO346 KAH341:KES346 JQL341:JUW346 JGP341:JLA346 IWT341:JBE346 IMX341:IRI346 IDB341:IHM346 HTF341:HXQ346 HJJ341:HNU346 GZN341:HDY346 GPR341:GUC346 GFV341:GKG346 FVZ341:GAK346 FMD341:FQO346 FCH341:FGS346 ESL341:EWW346 EIP341:ENA346 DYT341:EDE346 DOX341:DTI346 DFB341:DJM346 CVF341:CZQ346 CLJ341:CPU346 CBN341:CFY346 BRR341:BWC346 BHV341:BMG346 AXZ341:BCK346 AOD341:ASO346 AEH341:AIS346 UL341:YW346 KP341:PA346 AT341:FE346 WIK341:WIK344 VYO341:VYO344 VOS341:VOS344 VEW341:VEW344 UVA341:UVA344 ULE341:ULE344 UBI341:UBI344 TRM341:TRM344 THQ341:THQ344 SXU341:SXU344 SNY341:SNY344 SEC341:SEC344 RUG341:RUG344 RKK341:RKK344 RAO341:RAO344 QQS341:QQS344 QGW341:QGW344 PXA341:PXA344 PNE341:PNE344 PDI341:PDI344 OTM341:OTM344 OJQ341:OJQ344 NZU341:NZU344 NPY341:NPY344 NGC341:NGC344 MWG341:MWG344 MMK341:MMK344 MCO341:MCO344 LSS341:LSS344 LIW341:LIW344 KZA341:KZA344 KPE341:KPE344 KFI341:KFI344 JVM341:JVM344 JLQ341:JLQ344 JBU341:JBU344 IRY341:IRY344 IIC341:IIC344 HYG341:HYG344 HOK341:HOK344 HEO341:HEO344 GUS341:GUS344 GKW341:GKW344 GBA341:GBA344 FRE341:FRE344 FHI341:FHI344 EXM341:EXM344 ENQ341:ENQ344 EDU341:EDU344 DTY341:DTY344 DKC341:DKC344 DAG341:DAG344 CQK341:CQK344 CGO341:CGO344 BWS341:BWS344 BMW341:BMW344 BDA341:BDA344 ATE341:ATE344 AJI341:AJI344 ZM341:ZM344 PQ341:PQ344 FU341:FU344 WII341:WIJ343 VYM341:VYN343 VOQ341:VOR343 VEU341:VEV343 UUY341:UUZ343 ULC341:ULD343 UBG341:UBH343 TRK341:TRL343 THO341:THP343 SXS341:SXT343 SNW341:SNX343 SEA341:SEB343 RUE341:RUF343 RKI341:RKJ343 RAM341:RAN343 QQQ341:QQR343 QGU341:QGV343 PWY341:PWZ343 PNC341:PND343 PDG341:PDH343 OTK341:OTL343 OJO341:OJP343 NZS341:NZT343 NPW341:NPX343 NGA341:NGB343 MWE341:MWF343 MMI341:MMJ343 MCM341:MCN343 LSQ341:LSR343 LIU341:LIV343 KYY341:KYZ343 KPC341:KPD343 KFG341:KFH343 JVK341:JVL343 JLO341:JLP343 JBS341:JBT343 IRW341:IRX343 IIA341:IIB343 HYE341:HYF343 HOI341:HOJ343 HEM341:HEN343 GUQ341:GUR343 GKU341:GKV343 GAY341:GAZ343 FRC341:FRD343 FHG341:FHH343 EXK341:EXL343 ENO341:ENP343 EDS341:EDT343 DTW341:DTX343 DKA341:DKB343 DAE341:DAF343 CQI341:CQJ343 CGM341:CGN343 BWQ341:BWR343 BMU341:BMV343 BCY341:BCZ343 ATC341:ATD343 AJG341:AJH343 ZK341:ZL343 PO341:PP343 FS341:FT343 TWH355:TWI355 WIG341:WIG344 VYK341:VYK344 VOO341:VOO344 VES341:VES344 UUW341:UUW344 ULA341:ULA344 UBE341:UBE344 TRI341:TRI344 THM341:THM344 SXQ341:SXQ344 SNU341:SNU344 SDY341:SDY344 RUC341:RUC344 RKG341:RKG344 RAK341:RAK344 QQO341:QQO344 QGS341:QGS344 PWW341:PWW344 PNA341:PNA344 PDE341:PDE344 OTI341:OTI344 OJM341:OJM344 NZQ341:NZQ344 NPU341:NPU344 NFY341:NFY344 MWC341:MWC344 MMG341:MMG344 MCK341:MCK344 LSO341:LSO344 LIS341:LIS344 KYW341:KYW344 KPA341:KPA344 KFE341:KFE344 JVI341:JVI344 JLM341:JLM344 JBQ341:JBQ344 IRU341:IRU344 IHY341:IHY344 HYC341:HYC344 HOG341:HOG344 HEK341:HEK344 GUO341:GUO344 GKS341:GKS344 GAW341:GAW344 FRA341:FRA344 FHE341:FHE344 EXI341:EXI344 ENM341:ENM344 EDQ341:EDQ344 DTU341:DTU344 DJY341:DJY344 DAC341:DAC344 CQG341:CQG344 CGK341:CGK344 BWO341:BWO344 BMS341:BMS344 BCW341:BCW344 ATA341:ATA344 AJE341:AJE344 ZI341:ZI344 PM341:PM344 FQ341:FQ344 TML355:TMM355 WIB341:WIB343 VYF341:VYF343 VOJ341:VOJ343 VEN341:VEN343 UUR341:UUR343 UKV341:UKV343 UAZ341:UAZ343 TRD341:TRD343 THH341:THH343 SXL341:SXL343 SNP341:SNP343 SDT341:SDT343 RTX341:RTX343 RKB341:RKB343 RAF341:RAF343 QQJ341:QQJ343 QGN341:QGN343 PWR341:PWR343 PMV341:PMV343 PCZ341:PCZ343 OTD341:OTD343 OJH341:OJH343 NZL341:NZL343 NPP341:NPP343 NFT341:NFT343 MVX341:MVX343 MMB341:MMB343 MCF341:MCF343 LSJ341:LSJ343 LIN341:LIN343 KYR341:KYR343 KOV341:KOV343 KEZ341:KEZ343 JVD341:JVD343 JLH341:JLH343 JBL341:JBL343 IRP341:IRP343 IHT341:IHT343 HXX341:HXX343 HOB341:HOB343 HEF341:HEF343 GUJ341:GUJ343 GKN341:GKN343 GAR341:GAR343 FQV341:FQV343 FGZ341:FGZ343 EXD341:EXD343 ENH341:ENH343 EDL341:EDL343 DTP341:DTP343 DJT341:DJT343 CZX341:CZX343 CQB341:CQB343 CGF341:CGF343 BWJ341:BWJ343 BMN341:BMN343 BCR341:BCR343 ASV341:ASV343 AIZ341:AIZ343 ZD341:ZD343 PH341:PH343 FL341:FL343 TCP355:TCQ355 WHV341:WIA345 VXZ341:VYE345 VOD341:VOI345 VEH341:VEM345 UUL341:UUQ345 UKP341:UKU345 UAT341:UAY345 TQX341:TRC345 THB341:THG345 SXF341:SXK345 SNJ341:SNO345 SDN341:SDS345 RTR341:RTW345 RJV341:RKA345 QZZ341:RAE345 QQD341:QQI345 QGH341:QGM345 PWL341:PWQ345 PMP341:PMU345 PCT341:PCY345 OSX341:OTC345 OJB341:OJG345 NZF341:NZK345 NPJ341:NPO345 NFN341:NFS345 MVR341:MVW345 MLV341:MMA345 MBZ341:MCE345 LSD341:LSI345 LIH341:LIM345 KYL341:KYQ345 KOP341:KOU345 KET341:KEY345 JUX341:JVC345 JLB341:JLG345 JBF341:JBK345 IRJ341:IRO345 IHN341:IHS345 HXR341:HXW345 HNV341:HOA345 HDZ341:HEE345 GUD341:GUI345 GKH341:GKM345 GAL341:GAQ345 FQP341:FQU345 FGT341:FGY345 EWX341:EXC345 ENB341:ENG345 EDF341:EDK345 DTJ341:DTO345 DJN341:DJS345 CZR341:CZW345 CPV341:CQA345 CFZ341:CGE345 BWD341:BWI345 BMH341:BMM345 BCL341:BCQ345 ASP341:ASU345 AIT341:AIY345 YX341:ZC345 PB341:PG345 FF341:FK345 SST355:SSU355 WIC341:WIF345 VYG341:VYJ345 VOK341:VON345 VEO341:VER345 UUS341:UUV345 UKW341:UKZ345 UBA341:UBD345 TRE341:TRH345 THI341:THL345 SXM341:SXP345 SNQ341:SNT345 SDU341:SDX345 RTY341:RUB345 RKC341:RKF345 RAG341:RAJ345 QQK341:QQN345 QGO341:QGR345 PWS341:PWV345 PMW341:PMZ345 PDA341:PDD345 OTE341:OTH345 OJI341:OJL345 NZM341:NZP345 NPQ341:NPT345 NFU341:NFX345 MVY341:MWB345 MMC341:MMF345 MCG341:MCJ345 LSK341:LSN345 LIO341:LIR345 KYS341:KYV345 KOW341:KOZ345 KFA341:KFD345 JVE341:JVH345 JLI341:JLL345 JBM341:JBP345 IRQ341:IRT345 IHU341:IHX345 HXY341:HYB345 HOC341:HOF345 HEG341:HEJ345 GUK341:GUN345 GKO341:GKR345 GAS341:GAV345 FQW341:FQZ345 FHA341:FHD345 EXE341:EXH345 ENI341:ENL345 EDM341:EDP345 DTQ341:DTT345 DJU341:DJX345 CZY341:DAB345 CQC341:CQF345 CGG341:CGJ345 BWK341:BWN345 BMO341:BMR345 BCS341:BCV345 ASW341:ASZ345 AJA341:AJD345 ZE341:ZH345 PI341:PL345 FM341:FP345 SIX355:SIY355 WIH341:WIH345 VYL341:VYL345 VOP341:VOP345 VET341:VET345 UUX341:UUX345 ULB341:ULB345 UBF341:UBF345 TRJ341:TRJ345 THN341:THN345 SXR341:SXR345 SNV341:SNV345 SDZ341:SDZ345 RUD341:RUD345 RKH341:RKH345 RAL341:RAL345 QQP341:QQP345 QGT341:QGT345 PWX341:PWX345 PNB341:PNB345 PDF341:PDF345 OTJ341:OTJ345 OJN341:OJN345 NZR341:NZR345 NPV341:NPV345 NFZ341:NFZ345 MWD341:MWD345 MMH341:MMH345 MCL341:MCL345 LSP341:LSP345 LIT341:LIT345 KYX341:KYX345 KPB341:KPB345 KFF341:KFF345 JVJ341:JVJ345 JLN341:JLN345 JBR341:JBR345 IRV341:IRV345 IHZ341:IHZ345 HYD341:HYD345 HOH341:HOH345 HEL341:HEL345 GUP341:GUP345 GKT341:GKT345 GAX341:GAX345 FRB341:FRB345 FHF341:FHF345 EXJ341:EXJ345 ENN341:ENN345 EDR341:EDR345 DTV341:DTV345 DJZ341:DJZ345 DAD341:DAD345 CQH341:CQH345 CGL341:CGL345 BWP341:BWP345 BMT341:BMT345 BCX341:BCX345 ATB341:ATB345 AJF341:AJF345 ZJ341:ZJ345 PN341:PN345 FR341:FR345 RZB355:RZC355 WIB345:WIB346 VYF345:VYF346 VOJ345:VOJ346 VEN345:VEN346 UUR345:UUR346 UKV345:UKV346 UAZ345:UAZ346 TRD345:TRD346 THH345:THH346 SXL345:SXL346 SNP345:SNP346 SDT345:SDT346 RTX345:RTX346 RKB345:RKB346 RAF345:RAF346 QQJ345:QQJ346 QGN345:QGN346 PWR345:PWR346 PMV345:PMV346 PCZ345:PCZ346 OTD345:OTD346 OJH345:OJH346 NZL345:NZL346 NPP345:NPP346 NFT345:NFT346 MVX345:MVX346 MMB345:MMB346 MCF345:MCF346 LSJ345:LSJ346 LIN345:LIN346 KYR345:KYR346 KOV345:KOV346 KEZ345:KEZ346 JVD345:JVD346 JLH345:JLH346 JBL345:JBL346 IRP345:IRP346 IHT345:IHT346 HXX345:HXX346 HOB345:HOB346 HEF345:HEF346 GUJ345:GUJ346 GKN345:GKN346 GAR345:GAR346 FQV345:FQV346 FGZ345:FGZ346 EXD345:EXD346 ENH345:ENH346 EDL345:EDL346 DTP345:DTP346 DJT345:DJT346 CZX345:CZX346 CQB345:CQB346 CGF345:CGF346 BWJ345:BWJ346 BMN345:BMN346 BCR345:BCR346 ASV345:ASV346 AIZ345:AIZ346 ZD345:ZD346 PH345:PH346 FL345:FL346 RPF355:RPG355 WIG346 VYK346 VOO346 VES346 UUW346 ULA346 UBE346 TRI346 THM346 SXQ346 SNU346 SDY346 RUC346 RKG346 RAK346 QQO346 QGS346 PWW346 PNA346 PDE346 OTI346 OJM346 NZQ346 NPU346 NFY346 MWC346 MMG346 MCK346 LSO346 LIS346 KYW346 KPA346 KFE346 JVI346 JLM346 JBQ346 IRU346 IHY346 HYC346 HOG346 HEK346 GUO346 GKS346 GAW346 FRA346 FHE346 EXI346 ENM346 EDQ346 DTU346 DJY346 DAC346 CQG346 CGK346 BWO346 BMS346 BCW346 ATA346 AJE346 ZI346 PM346 FQ346 RFJ355:RFK355 WIJ346:WIN346 VYN346:VYR346 VOR346:VOV346 VEV346:VEZ346 UUZ346:UVD346 ULD346:ULH346 UBH346:UBL346 TRL346:TRP346 THP346:THT346 SXT346:SXX346 SNX346:SOB346 SEB346:SEF346 RUF346:RUJ346 RKJ346:RKN346 RAN346:RAR346 QQR346:QQV346 QGV346:QGZ346 PWZ346:PXD346 PND346:PNH346 PDH346:PDL346 OTL346:OTP346 OJP346:OJT346 NZT346:NZX346 NPX346:NQB346 NGB346:NGF346 MWF346:MWJ346 MMJ346:MMN346 MCN346:MCR346 LSR346:LSV346 LIV346:LIZ346 KYZ346:KZD346 KPD346:KPH346 KFH346:KFL346 JVL346:JVP346 JLP346:JLT346 JBT346:JBX346 IRX346:ISB346 IIB346:IIF346 HYF346:HYJ346 HOJ346:HON346 HEN346:HER346 GUR346:GUV346 GKV346:GKZ346 GAZ346:GBD346 FRD346:FRH346 FHH346:FHL346 EXL346:EXP346 ENP346:ENT346 EDT346:EDX346 DTX346:DUB346 DKB346:DKF346 DAF346:DAJ346 CQJ346:CQN346 CGN346:CGR346 BWR346:BWV346 BMV346:BMZ346 BCZ346:BDD346 ATD346:ATH346 AJH346:AJL346 ZL346:ZP346 PP346:PT346 FT346:FX346 QVN355:QVO355 WIL341:WIN343 VYP341:VYR343 VOT341:VOV343 VEX341:VEZ343 UVB341:UVD343 ULF341:ULH343 UBJ341:UBL343 TRN341:TRP343 THR341:THT343 SXV341:SXX343 SNZ341:SOB343 SED341:SEF343 RUH341:RUJ343 RKL341:RKN343 RAP341:RAR343 QQT341:QQV343 QGX341:QGZ343 PXB341:PXD343 PNF341:PNH343 PDJ341:PDL343 OTN341:OTP343 OJR341:OJT343 NZV341:NZX343 NPZ341:NQB343 NGD341:NGF343 MWH341:MWJ343 MML341:MMN343 MCP341:MCR343 LST341:LSV343 LIX341:LIZ343 KZB341:KZD343 KPF341:KPH343 KFJ341:KFL343 JVN341:JVP343 JLR341:JLT343 JBV341:JBX343 IRZ341:ISB343 IID341:IIF343 HYH341:HYJ343 HOL341:HON343 HEP341:HER343 GUT341:GUV343 GKX341:GKZ343 GBB341:GBD343 FRF341:FRH343 FHJ341:FHL343 EXN341:EXP343 ENR341:ENT343 EDV341:EDX343 DTZ341:DUB343 DKD341:DKF343 DAH341:DAJ343 CQL341:CQN343 CGP341:CGR343 BWT341:BWV343 BMX341:BMZ343 BDB341:BDD343 ATF341:ATH343 AJJ341:AJL343 ZN341:ZP343 PR341:PT343 FV341:FX343 QLR355:QLS355 WIO341:WLQ346 VYS341:WBU346 VOW341:VRY346 VFA341:VIC346 UVE341:UYG346 ULI341:UOK346 UBM341:UEO346 TRQ341:TUS346 THU341:TKW346 SXY341:TBA346 SOC341:SRE346 SEG341:SHI346 RUK341:RXM346 RKO341:RNQ346 RAS341:RDU346 QQW341:QTY346 QHA341:QKC346 PXE341:QAG346 PNI341:PQK346 PDM341:PGO346 OTQ341:OWS346 OJU341:OMW346 NZY341:ODA346 NQC341:NTE346 NGG341:NJI346 MWK341:MZM346 MMO341:MPQ346 MCS341:MFU346 LSW341:LVY346 LJA341:LMC346 KZE341:LCG346 KPI341:KSK346 KFM341:KIO346 JVQ341:JYS346 JLU341:JOW346 JBY341:JFA346 ISC341:IVE346 IIG341:ILI346 HYK341:IBM346 HOO341:HRQ346 HES341:HHU346 GUW341:GXY346 GLA341:GOC346 GBE341:GEG346 FRI341:FUK346 FHM341:FKO346 EXQ341:FAS346 ENU341:EQW346 EDY341:EHA346 DUC341:DXE346 DKG341:DNI346 DAK341:DDM346 CQO341:CTQ346 CGS341:CJU346 BWW341:BZY346 BNA341:BQC346 BDE341:BGG346 ATI341:AWK346 AJM341:AMO346 ZQ341:ACS346 PU341:SW346 FY341:JA346 QBV355:QBW355 WDJ324:WHU326 VTN324:VXY326 VJR324:VOC326 UZV324:VEG326 UPZ324:UUK326 UGD324:UKO326 TWH324:UAS326 TML324:TQW326 TCP324:THA326 SST324:SXE326 SIX324:SNI326 RZB324:SDM326 RPF324:RTQ326 RFJ324:RJU326 QVN324:QZY326 QLR324:QQC326 QBV324:QGG326 PRZ324:PWK326 PID324:PMO326 OYH324:PCS326 OOL324:OSW326 OEP324:OJA326 NUT324:NZE326 NKX324:NPI326 NBB324:NFM326 MRF324:MVQ326 MHJ324:MLU326 LXN324:MBY326 LNR324:LSC326 LDV324:LIG326 KTZ324:KYK326 KKD324:KOO326 KAH324:KES326 JQL324:JUW326 JGP324:JLA326 IWT324:JBE326 IMX324:IRI326 IDB324:IHM326 HTF324:HXQ326 HJJ324:HNU326 GZN324:HDY326 GPR324:GUC326 GFV324:GKG326 FVZ324:GAK326 FMD324:FQO326 FCH324:FGS326 ESL324:EWW326 EIP324:ENA326 DYT324:EDE326 DOX324:DTI326 DFB324:DJM326 CVF324:CZQ326 CLJ324:CPU326 CBN324:CFY326 BRR324:BWC326 BHV324:BMG326 AXZ324:BCK326 AOD324:ASO326 AEH324:AIS326 UL324:YW326 KP324:PA326 AT324:FE326 WIL324:WIL326 VYP324:VYP326 VOT324:VOT326 VEX324:VEX326 UVB324:UVB326 ULF324:ULF326 UBJ324:UBJ326 TRN324:TRN326 THR324:THR326 SXV324:SXV326 SNZ324:SNZ326 SED324:SED326 RUH324:RUH326 RKL324:RKL326 RAP324:RAP326 QQT324:QQT326 QGX324:QGX326 PXB324:PXB326 PNF324:PNF326 PDJ324:PDJ326 OTN324:OTN326 OJR324:OJR326 NZV324:NZV326 NPZ324:NPZ326 NGD324:NGD326 MWH324:MWH326 MML324:MML326 MCP324:MCP326 LST324:LST326 LIX324:LIX326 KZB324:KZB326 KPF324:KPF326 KFJ324:KFJ326 JVN324:JVN326 JLR324:JLR326 JBV324:JBV326 IRZ324:IRZ326 IID324:IID326 HYH324:HYH326 HOL324:HOL326 HEP324:HEP326 GUT324:GUT326 GKX324:GKX326 GBB324:GBB326 FRF324:FRF326 FHJ324:FHJ326 EXN324:EXN326 ENR324:ENR326 EDV324:EDV326 DTZ324:DTZ326 DKD324:DKD326 DAH324:DAH326 CQL324:CQL326 CGP324:CGP326 BWT324:BWT326 BMX324:BMX326 BDB324:BDB326 ATF324:ATF326 AJJ324:AJJ326 ZN324:ZN326 PR324:PR326 FV324:FV326 WHW325 VYA325 VOE325 VEI325 UUM325 UKQ325 UAU325 TQY325 THC325 SXG325 SNK325 SDO325 RTS325 RJW325 RAA325 QQE325 QGI325 PWM325 PMQ325 PCU325 OSY325 OJC325 NZG325 NPK325 NFO325 MVS325 MLW325 MCA325 LSE325 LII325 KYM325 KOQ325 KEU325 JUY325 JLC325 JBG325 IRK325 IHO325 HXS325 HNW325 HEA325 GUE325 GKI325 GAM325 FQQ325 FGU325 EWY325 ENC325 EDG325 DTK325 DJO325 CZS325 CPW325 CGA325 BWE325 BMI325 BCM325 ASQ325 AIU325 YY325 PC325 FG325 PRZ355:PSA355 WIG325 VYK325 VOO325 VES325 UUW325 ULA325 UBE325 TRI325 THM325 SXQ325 SNU325 SDY325 RUC325 RKG325 RAK325 QQO325 QGS325 PWW325 PNA325 PDE325 OTI325 OJM325 NZQ325 NPU325 NFY325 MWC325 MMG325 MCK325 LSO325 LIS325 KYW325 KPA325 KFE325 JVI325 JLM325 JBQ325 IRU325 IHY325 HYC325 HOG325 HEK325 GUO325 GKS325 GAW325 FRA325 FHE325 EXI325 ENM325 EDQ325 DTU325 DJY325 DAC325 CQG325 CGK325 BWO325 BMS325 BCW325 ATA325 AJE325 ZI325 PM325 FQ325 PID355:PIE355 WIH325:WIK326 VYL325:VYO326 VOP325:VOS326 VET325:VEW326 UUX325:UVA326 ULB325:ULE326 UBF325:UBI326 TRJ325:TRM326 THN325:THQ326 SXR325:SXU326 SNV325:SNY326 SDZ325:SEC326 RUD325:RUG326 RKH325:RKK326 RAL325:RAO326 QQP325:QQS326 QGT325:QGW326 PWX325:PXA326 PNB325:PNE326 PDF325:PDI326 OTJ325:OTM326 OJN325:OJQ326 NZR325:NZU326 NPV325:NPY326 NFZ325:NGC326 MWD325:MWG326 MMH325:MMK326 MCL325:MCO326 LSP325:LSS326 LIT325:LIW326 KYX325:KZA326 KPB325:KPE326 KFF325:KFI326 JVJ325:JVM326 JLN325:JLQ326 JBR325:JBU326 IRV325:IRY326 IHZ325:IIC326 HYD325:HYG326 HOH325:HOK326 HEL325:HEO326 GUP325:GUS326 GKT325:GKW326 GAX325:GBA326 FRB325:FRE326 FHF325:FHI326 EXJ325:EXM326 ENN325:ENQ326 EDR325:EDU326 DTV325:DTY326 DJZ325:DKC326 DAD325:DAG326 CQH325:CQK326 CGL325:CGO326 BWP325:BWS326 BMT325:BMW326 BCX325:BDA326 ATB325:ATE326 AJF325:AJI326 ZJ325:ZM326 PN325:PQ326 FR325:FU326 OYH355:OYI355 WHX325:WIF326 VYB325:VYJ326 VOF325:VON326 VEJ325:VER326 UUN325:UUV326 UKR325:UKZ326 UAV325:UBD326 TQZ325:TRH326 THD325:THL326 SXH325:SXP326 SNL325:SNT326 SDP325:SDX326 RTT325:RUB326 RJX325:RKF326 RAB325:RAJ326 QQF325:QQN326 QGJ325:QGR326 PWN325:PWV326 PMR325:PMZ326 PCV325:PDD326 OSZ325:OTH326 OJD325:OJL326 NZH325:NZP326 NPL325:NPT326 NFP325:NFX326 MVT325:MWB326 MLX325:MMF326 MCB325:MCJ326 LSF325:LSN326 LIJ325:LIR326 KYN325:KYV326 KOR325:KOZ326 KEV325:KFD326 JUZ325:JVH326 JLD325:JLL326 JBH325:JBP326 IRL325:IRT326 IHP325:IHX326 HXT325:HYB326 HNX325:HOF326 HEB325:HEJ326 GUF325:GUN326 GKJ325:GKR326 GAN325:GAV326 FQR325:FQZ326 FGV325:FHD326 EWZ325:EXH326 END325:ENL326 EDH325:EDP326 DTL325:DTT326 DJP325:DJX326 CZT325:DAB326 CPX325:CQF326 CGB325:CGJ326 BWF325:BWN326 BMJ325:BMR326 BCN325:BCV326 ASR325:ASZ326 AIV325:AJD326 YZ325:ZH326 PD325:PL326 FH325:FP326 OOL355:OOM355 WHV325:WHV326 VXZ325:VXZ326 VOD325:VOD326 VEH325:VEH326 UUL325:UUL326 UKP325:UKP326 UAT325:UAT326 TQX325:TQX326 THB325:THB326 SXF325:SXF326 SNJ325:SNJ326 SDN325:SDN326 RTR325:RTR326 RJV325:RJV326 QZZ325:QZZ326 QQD325:QQD326 QGH325:QGH326 PWL325:PWL326 PMP325:PMP326 PCT325:PCT326 OSX325:OSX326 OJB325:OJB326 NZF325:NZF326 NPJ325:NPJ326 NFN325:NFN326 MVR325:MVR326 MLV325:MLV326 MBZ325:MBZ326 LSD325:LSD326 LIH325:LIH326 KYL325:KYL326 KOP325:KOP326 KET325:KET326 JUX325:JUX326 JLB325:JLB326 JBF325:JBF326 IRJ325:IRJ326 IHN325:IHN326 HXR325:HXR326 HNV325:HNV326 HDZ325:HDZ326 GUD325:GUD326 GKH325:GKH326 GAL325:GAL326 FQP325:FQP326 FGT325:FGT326 EWX325:EWX326 ENB325:ENB326 EDF325:EDF326 DTJ325:DTJ326 DJN325:DJN326 CZR325:CZR326 CPV325:CPV326 CFZ325:CFZ326 BWD325:BWD326 BMH325:BMH326 BCL325:BCL326 ASP325:ASP326 AIT325:AIT326 YX325:YX326 PB325:PB326 FF325:FF326 OEP355:OEQ355 WIM325:WIM326 VYQ325:VYQ326 VOU325:VOU326 VEY325:VEY326 UVC325:UVC326 ULG325:ULG326 UBK325:UBK326 TRO325:TRO326 THS325:THS326 SXW325:SXW326 SOA325:SOA326 SEE325:SEE326 RUI325:RUI326 RKM325:RKM326 RAQ325:RAQ326 QQU325:QQU326 QGY325:QGY326 PXC325:PXC326 PNG325:PNG326 PDK325:PDK326 OTO325:OTO326 OJS325:OJS326 NZW325:NZW326 NQA325:NQA326 NGE325:NGE326 MWI325:MWI326 MMM325:MMM326 MCQ325:MCQ326 LSU325:LSU326 LIY325:LIY326 KZC325:KZC326 KPG325:KPG326 KFK325:KFK326 JVO325:JVO326 JLS325:JLS326 JBW325:JBW326 ISA325:ISA326 IIE325:IIE326 HYI325:HYI326 HOM325:HOM326 HEQ325:HEQ326 GUU325:GUU326 GKY325:GKY326 GBC325:GBC326 FRG325:FRG326 FHK325:FHK326 EXO325:EXO326 ENS325:ENS326 EDW325:EDW326 DUA325:DUA326 DKE325:DKE326 DAI325:DAI326 CQM325:CQM326 CGQ325:CGQ326 BWU325:BWU326 BMY325:BMY326 BDC325:BDC326 ATG325:ATG326 AJK325:AJK326 ZO325:ZO326 PS325:PS326 FW325:FW326 NUT355:NUU355 WIN324:WLQ326 VYR324:WBU326 VOV324:VRY326 VEZ324:VIC326 UVD324:UYG326 ULH324:UOK326 UBL324:UEO326 TRP324:TUS326 THT324:TKW326 SXX324:TBA326 SOB324:SRE326 SEF324:SHI326 RUJ324:RXM326 RKN324:RNQ326 RAR324:RDU326 QQV324:QTY326 QGZ324:QKC326 PXD324:QAG326 PNH324:PQK326 PDL324:PGO326 OTP324:OWS326 OJT324:OMW326 NZX324:ODA326 NQB324:NTE326 NGF324:NJI326 MWJ324:MZM326 MMN324:MPQ326 MCR324:MFU326 LSV324:LVY326 LIZ324:LMC326 KZD324:LCG326 KPH324:KSK326 KFL324:KIO326 JVP324:JYS326 JLT324:JOW326 JBX324:JFA326 ISB324:IVE326 IIF324:ILI326 HYJ324:IBM326 HON324:HRQ326 HER324:HHU326 GUV324:GXY326 GKZ324:GOC326 GBD324:GEG326 FRH324:FUK326 FHL324:FKO326 EXP324:FAS326 ENT324:EQW326 EDX324:EHA326 DUB324:DXE326 DKF324:DNI326 DAJ324:DDM326 CQN324:CTQ326 CGR324:CJU326 BWV324:BZY326 BMZ324:BQC326 BDD324:BGG326 ATH324:AWK326 AJL324:AMO326 ZP324:ACS326 PT324:SW326 FX324:JA326 NKX355:NKY355 WDJ320:WHU322 VTN320:VXY322 VJR320:VOC322 UZV320:VEG322 UPZ320:UUK322 UGD320:UKO322 TWH320:UAS322 TML320:TQW322 TCP320:THA322 SST320:SXE322 SIX320:SNI322 RZB320:SDM322 RPF320:RTQ322 RFJ320:RJU322 QVN320:QZY322 QLR320:QQC322 QBV320:QGG322 PRZ320:PWK322 PID320:PMO322 OYH320:PCS322 OOL320:OSW322 OEP320:OJA322 NUT320:NZE322 NKX320:NPI322 NBB320:NFM322 MRF320:MVQ322 MHJ320:MLU322 LXN320:MBY322 LNR320:LSC322 LDV320:LIG322 KTZ320:KYK322 KKD320:KOO322 KAH320:KES322 JQL320:JUW322 JGP320:JLA322 IWT320:JBE322 IMX320:IRI322 IDB320:IHM322 HTF320:HXQ322 HJJ320:HNU322 GZN320:HDY322 GPR320:GUC322 GFV320:GKG322 FVZ320:GAK322 FMD320:FQO322 FCH320:FGS322 ESL320:EWW322 EIP320:ENA322 DYT320:EDE322 DOX320:DTI322 DFB320:DJM322 CVF320:CZQ322 CLJ320:CPU322 CBN320:CFY322 BRR320:BWC322 BHV320:BMG322 AXZ320:BCK322 AOD320:ASO322 AEH320:AIS322 UL320:YW322 KP320:PA322 AT320:FE322 WIM320 VYQ320 VOU320 VEY320 UVC320 ULG320 UBK320 TRO320 THS320 SXW320 SOA320 SEE320 RUI320 RKM320 RAQ320 QQU320 QGY320 PXC320 PNG320 PDK320 OTO320 OJS320 NZW320 NQA320 NGE320 MWI320 MMM320 MCQ320 LSU320 LIY320 KZC320 KPG320 KFK320 JVO320 JLS320 JBW320 ISA320 IIE320 HYI320 HOM320 HEQ320 GUU320 GKY320 GBC320 FRG320 FHK320 EXO320 ENS320 EDW320 DUA320 DKE320 DAI320 CQM320 CGQ320 BWU320 BMY320 BDC320 ATG320 AJK320 ZO320 PS320 FW320 WIL320:WIL322 VYP320:VYP322 VOT320:VOT322 VEX320:VEX322 UVB320:UVB322 ULF320:ULF322 UBJ320:UBJ322 TRN320:TRN322 THR320:THR322 SXV320:SXV322 SNZ320:SNZ322 SED320:SED322 RUH320:RUH322 RKL320:RKL322 RAP320:RAP322 QQT320:QQT322 QGX320:QGX322 PXB320:PXB322 PNF320:PNF322 PDJ320:PDJ322 OTN320:OTN322 OJR320:OJR322 NZV320:NZV322 NPZ320:NPZ322 NGD320:NGD322 MWH320:MWH322 MML320:MML322 MCP320:MCP322 LST320:LST322 LIX320:LIX322 KZB320:KZB322 KPF320:KPF322 KFJ320:KFJ322 JVN320:JVN322 JLR320:JLR322 JBV320:JBV322 IRZ320:IRZ322 IID320:IID322 HYH320:HYH322 HOL320:HOL322 HEP320:HEP322 GUT320:GUT322 GKX320:GKX322 GBB320:GBB322 FRF320:FRF322 FHJ320:FHJ322 EXN320:EXN322 ENR320:ENR322 EDV320:EDV322 DTZ320:DTZ322 DKD320:DKD322 DAH320:DAH322 CQL320:CQL322 CGP320:CGP322 BWT320:BWT322 BMX320:BMX322 BDB320:BDB322 ATF320:ATF322 AJJ320:AJJ322 ZN320:ZN322 PR320:PR322 FV320:FV322 NBB355:NBC355 WIM322 VYQ322 VOU322 VEY322 UVC322 ULG322 UBK322 TRO322 THS322 SXW322 SOA322 SEE322 RUI322 RKM322 RAQ322 QQU322 QGY322 PXC322 PNG322 PDK322 OTO322 OJS322 NZW322 NQA322 NGE322 MWI322 MMM322 MCQ322 LSU322 LIY322 KZC322 KPG322 KFK322 JVO322 JLS322 JBW322 ISA322 IIE322 HYI322 HOM322 HEQ322 GUU322 GKY322 GBC322 FRG322 FHK322 EXO322 ENS322 EDW322 DUA322 DKE322 DAI322 CQM322 CGQ322 BWU322 BMY322 BDC322 ATG322 AJK322 ZO322 PS322 FW322 MRF355:MRG355 WIN321:WIN322 VYR321:VYR322 VOV321:VOV322 VEZ321:VEZ322 UVD321:UVD322 ULH321:ULH322 UBL321:UBL322 TRP321:TRP322 THT321:THT322 SXX321:SXX322 SOB321:SOB322 SEF321:SEF322 RUJ321:RUJ322 RKN321:RKN322 RAR321:RAR322 QQV321:QQV322 QGZ321:QGZ322 PXD321:PXD322 PNH321:PNH322 PDL321:PDL322 OTP321:OTP322 OJT321:OJT322 NZX321:NZX322 NQB321:NQB322 NGF321:NGF322 MWJ321:MWJ322 MMN321:MMN322 MCR321:MCR322 LSV321:LSV322 LIZ321:LIZ322 KZD321:KZD322 KPH321:KPH322 KFL321:KFL322 JVP321:JVP322 JLT321:JLT322 JBX321:JBX322 ISB321:ISB322 IIF321:IIF322 HYJ321:HYJ322 HON321:HON322 HER321:HER322 GUV321:GUV322 GKZ321:GKZ322 GBD321:GBD322 FRH321:FRH322 FHL321:FHL322 EXP321:EXP322 ENT321:ENT322 EDX321:EDX322 DUB321:DUB322 DKF321:DKF322 DAJ321:DAJ322 CQN321:CQN322 CGR321:CGR322 BWV321:BWV322 BMZ321:BMZ322 BDD321:BDD322 ATH321:ATH322 AJL321:AJL322 ZP321:ZP322 PT321:PT322 FX321:FX322 MHJ355:MHK355 WIJ321:WIK322 VYN321:VYO322 VOR321:VOS322 VEV321:VEW322 UUZ321:UVA322 ULD321:ULE322 UBH321:UBI322 TRL321:TRM322 THP321:THQ322 SXT321:SXU322 SNX321:SNY322 SEB321:SEC322 RUF321:RUG322 RKJ321:RKK322 RAN321:RAO322 QQR321:QQS322 QGV321:QGW322 PWZ321:PXA322 PND321:PNE322 PDH321:PDI322 OTL321:OTM322 OJP321:OJQ322 NZT321:NZU322 NPX321:NPY322 NGB321:NGC322 MWF321:MWG322 MMJ321:MMK322 MCN321:MCO322 LSR321:LSS322 LIV321:LIW322 KYZ321:KZA322 KPD321:KPE322 KFH321:KFI322 JVL321:JVM322 JLP321:JLQ322 JBT321:JBU322 IRX321:IRY322 IIB321:IIC322 HYF321:HYG322 HOJ321:HOK322 HEN321:HEO322 GUR321:GUS322 GKV321:GKW322 GAZ321:GBA322 FRD321:FRE322 FHH321:FHI322 EXL321:EXM322 ENP321:ENQ322 EDT321:EDU322 DTX321:DTY322 DKB321:DKC322 DAF321:DAG322 CQJ321:CQK322 CGN321:CGO322 BWR321:BWS322 BMV321:BMW322 BCZ321:BDA322 ATD321:ATE322 AJH321:AJI322 ZL321:ZM322 PP321:PQ322 FT321:FU322 LXN355:LXO355 WID322 VYH322 VOL322 VEP322 UUT322 UKX322 UBB322 TRF322 THJ322 SXN322 SNR322 SDV322 RTZ322 RKD322 RAH322 QQL322 QGP322 PWT322 PMX322 PDB322 OTF322 OJJ322 NZN322 NPR322 NFV322 MVZ322 MMD322 MCH322 LSL322 LIP322 KYT322 KOX322 KFB322 JVF322 JLJ322 JBN322 IRR322 IHV322 HXZ322 HOD322 HEH322 GUL322 GKP322 GAT322 FQX322 FHB322 EXF322 ENJ322 EDN322 DTR322 DJV322 CZZ322 CQD322 CGH322 BWL322 BMP322 BCT322 ASX322 AJB322 ZF322 PJ322 FN322 LNR355:LNS355 WHW320 VYA320 VOE320 VEI320 UUM320 UKQ320 UAU320 TQY320 THC320 SXG320 SNK320 SDO320 RTS320 RJW320 RAA320 QQE320 QGI320 PWM320 PMQ320 PCU320 OSY320 OJC320 NZG320 NPK320 NFO320 MVS320 MLW320 MCA320 LSE320 LII320 KYM320 KOQ320 KEU320 JUY320 JLC320 JBG320 IRK320 IHO320 HXS320 HNW320 HEA320 GUE320 GKI320 GAM320 FQQ320 FGU320 EWY320 ENC320 EDG320 DTK320 DJO320 CZS320 CPW320 CGA320 BWE320 BMI320 BCM320 ASQ320 AIU320 YY320 PC320 FG320 LDV355:LDW355 WIA320:WIA321 VYE320:VYE321 VOI320:VOI321 VEM320:VEM321 UUQ320:UUQ321 UKU320:UKU321 UAY320:UAY321 TRC320:TRC321 THG320:THG321 SXK320:SXK321 SNO320:SNO321 SDS320:SDS321 RTW320:RTW321 RKA320:RKA321 RAE320:RAE321 QQI320:QQI321 QGM320:QGM321 PWQ320:PWQ321 PMU320:PMU321 PCY320:PCY321 OTC320:OTC321 OJG320:OJG321 NZK320:NZK321 NPO320:NPO321 NFS320:NFS321 MVW320:MVW321 MMA320:MMA321 MCE320:MCE321 LSI320:LSI321 LIM320:LIM321 KYQ320:KYQ321 KOU320:KOU321 KEY320:KEY321 JVC320:JVC321 JLG320:JLG321 JBK320:JBK321 IRO320:IRO321 IHS320:IHS321 HXW320:HXW321 HOA320:HOA321 HEE320:HEE321 GUI320:GUI321 GKM320:GKM321 GAQ320:GAQ321 FQU320:FQU321 FGY320:FGY321 EXC320:EXC321 ENG320:ENG321 EDK320:EDK321 DTO320:DTO321 DJS320:DJS321 CZW320:CZW321 CQA320:CQA321 CGE320:CGE321 BWI320:BWI321 BMM320:BMM321 BCQ320:BCQ321 ASU320:ASU321 AIY320:AIY321 ZC320:ZC321 PG320:PG321 FK320:FK321 KTZ355:KUA355 WIC320:WIC321 VYG320:VYG321 VOK320:VOK321 VEO320:VEO321 UUS320:UUS321 UKW320:UKW321 UBA320:UBA321 TRE320:TRE321 THI320:THI321 SXM320:SXM321 SNQ320:SNQ321 SDU320:SDU321 RTY320:RTY321 RKC320:RKC321 RAG320:RAG321 QQK320:QQK321 QGO320:QGO321 PWS320:PWS321 PMW320:PMW321 PDA320:PDA321 OTE320:OTE321 OJI320:OJI321 NZM320:NZM321 NPQ320:NPQ321 NFU320:NFU321 MVY320:MVY321 MMC320:MMC321 MCG320:MCG321 LSK320:LSK321 LIO320:LIO321 KYS320:KYS321 KOW320:KOW321 KFA320:KFA321 JVE320:JVE321 JLI320:JLI321 JBM320:JBM321 IRQ320:IRQ321 IHU320:IHU321 HXY320:HXY321 HOC320:HOC321 HEG320:HEG321 GUK320:GUK321 GKO320:GKO321 GAS320:GAS321 FQW320:FQW321 FHA320:FHA321 EXE320:EXE321 ENI320:ENI321 EDM320:EDM321 DTQ320:DTQ321 DJU320:DJU321 CZY320:CZY321 CQC320:CQC321 CGG320:CGG321 BWK320:BWK321 BMO320:BMO321 BCS320:BCS321 ASW320:ASW321 AJA320:AJA321 ZE320:ZE321 PI320:PI321 FM320:FM321 KKD355:KKE355 WID320 VYH320 VOL320 VEP320 UUT320 UKX320 UBB320 TRF320 THJ320 SXN320 SNR320 SDV320 RTZ320 RKD320 RAH320 QQL320 QGP320 PWT320 PMX320 PDB320 OTF320 OJJ320 NZN320 NPR320 NFV320 MVZ320 MMD320 MCH320 LSL320 LIP320 KYT320 KOX320 KFB320 JVF320 JLJ320 JBN320 IRR320 IHV320 HXZ320 HOD320 HEH320 GUL320 GKP320 GAT320 FQX320 FHB320 EXF320 ENJ320 EDN320 DTR320 DJV320 CZZ320 CQD320 CGH320 BWL320 BMP320 BCT320 ASX320 AJB320 ZF320 PJ320 FN320 KAH355:KAI355 WIE320:WIE321 VYI320:VYI321 VOM320:VOM321 VEQ320:VEQ321 UUU320:UUU321 UKY320:UKY321 UBC320:UBC321 TRG320:TRG321 THK320:THK321 SXO320:SXO321 SNS320:SNS321 SDW320:SDW321 RUA320:RUA321 RKE320:RKE321 RAI320:RAI321 QQM320:QQM321 QGQ320:QGQ321 PWU320:PWU321 PMY320:PMY321 PDC320:PDC321 OTG320:OTG321 OJK320:OJK321 NZO320:NZO321 NPS320:NPS321 NFW320:NFW321 MWA320:MWA321 MME320:MME321 MCI320:MCI321 LSM320:LSM321 LIQ320:LIQ321 KYU320:KYU321 KOY320:KOY321 KFC320:KFC321 JVG320:JVG321 JLK320:JLK321 JBO320:JBO321 IRS320:IRS321 IHW320:IHW321 HYA320:HYA321 HOE320:HOE321 HEI320:HEI321 GUM320:GUM321 GKQ320:GKQ321 GAU320:GAU321 FQY320:FQY321 FHC320:FHC321 EXG320:EXG321 ENK320:ENK321 EDO320:EDO321 DTS320:DTS321 DJW320:DJW321 DAA320:DAA321 CQE320:CQE321 CGI320:CGI321 BWM320:BWM321 BMQ320:BMQ321 BCU320:BCU321 ASY320:ASY321 AJC320:AJC321 ZG320:ZG321 PK320:PK321 FO320:FO321 JQL355:JQM355 WHV321:WHV322 VXZ321:VXZ322 VOD321:VOD322 VEH321:VEH322 UUL321:UUL322 UKP321:UKP322 UAT321:UAT322 TQX321:TQX322 THB321:THB322 SXF321:SXF322 SNJ321:SNJ322 SDN321:SDN322 RTR321:RTR322 RJV321:RJV322 QZZ321:QZZ322 QQD321:QQD322 QGH321:QGH322 PWL321:PWL322 PMP321:PMP322 PCT321:PCT322 OSX321:OSX322 OJB321:OJB322 NZF321:NZF322 NPJ321:NPJ322 NFN321:NFN322 MVR321:MVR322 MLV321:MLV322 MBZ321:MBZ322 LSD321:LSD322 LIH321:LIH322 KYL321:KYL322 KOP321:KOP322 KET321:KET322 JUX321:JUX322 JLB321:JLB322 JBF321:JBF322 IRJ321:IRJ322 IHN321:IHN322 HXR321:HXR322 HNV321:HNV322 HDZ321:HDZ322 GUD321:GUD322 GKH321:GKH322 GAL321:GAL322 FQP321:FQP322 FGT321:FGT322 EWX321:EWX322 ENB321:ENB322 EDF321:EDF322 DTJ321:DTJ322 DJN321:DJN322 CZR321:CZR322 CPV321:CPV322 CFZ321:CFZ322 BWD321:BWD322 BMH321:BMH322 BCL321:BCL322 ASP321:ASP322 AIT321:AIT322 YX321:YX322 PB321:PB322 FF321:FF322 JGP355:JGQ355 WHW322 VYA322 VOE322 VEI322 UUM322 UKQ322 UAU322 TQY322 THC322 SXG322 SNK322 SDO322 RTS322 RJW322 RAA322 QQE322 QGI322 PWM322 PMQ322 PCU322 OSY322 OJC322 NZG322 NPK322 NFO322 MVS322 MLW322 MCA322 LSE322 LII322 KYM322 KOQ322 KEU322 JUY322 JLC322 JBG322 IRK322 IHO322 HXS322 HNW322 HEA322 GUE322 GKI322 GAM322 FQQ322 FGU322 EWY322 ENC322 EDG322 DTK322 DJO322 CZS322 CPW322 CGA322 BWE322 BMI322 BCM322 ASQ322 AIU322 YY322 PC322 FG322 IWT355:IWU355 WIB321:WIB322 VYF321:VYF322 VOJ321:VOJ322 VEN321:VEN322 UUR321:UUR322 UKV321:UKV322 UAZ321:UAZ322 TRD321:TRD322 THH321:THH322 SXL321:SXL322 SNP321:SNP322 SDT321:SDT322 RTX321:RTX322 RKB321:RKB322 RAF321:RAF322 QQJ321:QQJ322 QGN321:QGN322 PWR321:PWR322 PMV321:PMV322 PCZ321:PCZ322 OTD321:OTD322 OJH321:OJH322 NZL321:NZL322 NPP321:NPP322 NFT321:NFT322 MVX321:MVX322 MMB321:MMB322 MCF321:MCF322 LSJ321:LSJ322 LIN321:LIN322 KYR321:KYR322 KOV321:KOV322 KEZ321:KEZ322 JVD321:JVD322 JLH321:JLH322 JBL321:JBL322 IRP321:IRP322 IHT321:IHT322 HXX321:HXX322 HOB321:HOB322 HEF321:HEF322 GUJ321:GUJ322 GKN321:GKN322 GAR321:GAR322 FQV321:FQV322 FGZ321:FGZ322 EXD321:EXD322 ENH321:ENH322 EDL321:EDL322 DTP321:DTP322 DJT321:DJT322 CZX321:CZX322 CQB321:CQB322 CGF321:CGF322 BWJ321:BWJ322 BMN321:BMN322 BCR321:BCR322 ASV321:ASV322 AIZ321:AIZ322 ZD321:ZD322 PH321:PH322 FL321:FL322 IMX355:IMY355 WIF321:WIG322 VYJ321:VYK322 VON321:VOO322 VER321:VES322 UUV321:UUW322 UKZ321:ULA322 UBD321:UBE322 TRH321:TRI322 THL321:THM322 SXP321:SXQ322 SNT321:SNU322 SDX321:SDY322 RUB321:RUC322 RKF321:RKG322 RAJ321:RAK322 QQN321:QQO322 QGR321:QGS322 PWV321:PWW322 PMZ321:PNA322 PDD321:PDE322 OTH321:OTI322 OJL321:OJM322 NZP321:NZQ322 NPT321:NPU322 NFX321:NFY322 MWB321:MWC322 MMF321:MMG322 MCJ321:MCK322 LSN321:LSO322 LIR321:LIS322 KYV321:KYW322 KOZ321:KPA322 KFD321:KFE322 JVH321:JVI322 JLL321:JLM322 JBP321:JBQ322 IRT321:IRU322 IHX321:IHY322 HYB321:HYC322 HOF321:HOG322 HEJ321:HEK322 GUN321:GUO322 GKR321:GKS322 GAV321:GAW322 FQZ321:FRA322 FHD321:FHE322 EXH321:EXI322 ENL321:ENM322 EDP321:EDQ322 DTT321:DTU322 DJX321:DJY322 DAB321:DAC322 CQF321:CQG322 CGJ321:CGK322 BWN321:BWO322 BMR321:BMS322 BCV321:BCW322 ASZ321:ATA322 AJD321:AJE322 ZH321:ZI322 PL321:PM322 FP321:FQ322 IDB355:IDC355 WIH320:WIH322 VYL320:VYL322 VOP320:VOP322 VET320:VET322 UUX320:UUX322 ULB320:ULB322 UBF320:UBF322 TRJ320:TRJ322 THN320:THN322 SXR320:SXR322 SNV320:SNV322 SDZ320:SDZ322 RUD320:RUD322 RKH320:RKH322 RAL320:RAL322 QQP320:QQP322 QGT320:QGT322 PWX320:PWX322 PNB320:PNB322 PDF320:PDF322 OTJ320:OTJ322 OJN320:OJN322 NZR320:NZR322 NPV320:NPV322 NFZ320:NFZ322 MWD320:MWD322 MMH320:MMH322 MCL320:MCL322 LSP320:LSP322 LIT320:LIT322 KYX320:KYX322 KPB320:KPB322 KFF320:KFF322 JVJ320:JVJ322 JLN320:JLN322 JBR320:JBR322 IRV320:IRV322 IHZ320:IHZ322 HYD320:HYD322 HOH320:HOH322 HEL320:HEL322 GUP320:GUP322 GKT320:GKT322 GAX320:GAX322 FRB320:FRB322 FHF320:FHF322 EXJ320:EXJ322 ENN320:ENN322 EDR320:EDR322 DTV320:DTV322 DJZ320:DJZ322 DAD320:DAD322 CQH320:CQH322 CGL320:CGL322 BWP320:BWP322 BMT320:BMT322 BCX320:BCX322 ATB320:ATB322 AJF320:AJF322 ZJ320:ZJ322 PN320:PN322 FR320:FR322 HTF355:HTG355 WHX321:WHZ322 VYB321:VYD322 VOF321:VOH322 VEJ321:VEL322 UUN321:UUP322 UKR321:UKT322 UAV321:UAX322 TQZ321:TRB322 THD321:THF322 SXH321:SXJ322 SNL321:SNN322 SDP321:SDR322 RTT321:RTV322 RJX321:RJZ322 RAB321:RAD322 QQF321:QQH322 QGJ321:QGL322 PWN321:PWP322 PMR321:PMT322 PCV321:PCX322 OSZ321:OTB322 OJD321:OJF322 NZH321:NZJ322 NPL321:NPN322 NFP321:NFR322 MVT321:MVV322 MLX321:MLZ322 MCB321:MCD322 LSF321:LSH322 LIJ321:LIL322 KYN321:KYP322 KOR321:KOT322 KEV321:KEX322 JUZ321:JVB322 JLD321:JLF322 JBH321:JBJ322 IRL321:IRN322 IHP321:IHR322 HXT321:HXV322 HNX321:HNZ322 HEB321:HED322 GUF321:GUH322 GKJ321:GKL322 GAN321:GAP322 FQR321:FQT322 FGV321:FGX322 EWZ321:EXB322 END321:ENF322 EDH321:EDJ322 DTL321:DTN322 DJP321:DJR322 CZT321:CZV322 CPX321:CPZ322 CGB321:CGD322 BWF321:BWH322 BMJ321:BML322 BCN321:BCP322 ASR321:AST322 AIV321:AIX322 YZ321:ZB322 PD321:PF322 FH321:FJ322 HJJ355:HJK355 WII320:WII321 VYM320:VYM321 VOQ320:VOQ321 VEU320:VEU321 UUY320:UUY321 ULC320:ULC321 UBG320:UBG321 TRK320:TRK321 THO320:THO321 SXS320:SXS321 SNW320:SNW321 SEA320:SEA321 RUE320:RUE321 RKI320:RKI321 RAM320:RAM321 QQQ320:QQQ321 QGU320:QGU321 PWY320:PWY321 PNC320:PNC321 PDG320:PDG321 OTK320:OTK321 OJO320:OJO321 NZS320:NZS321 NPW320:NPW321 NGA320:NGA321 MWE320:MWE321 MMI320:MMI321 MCM320:MCM321 LSQ320:LSQ321 LIU320:LIU321 KYY320:KYY321 KPC320:KPC321 KFG320:KFG321 JVK320:JVK321 JLO320:JLO321 JBS320:JBS321 IRW320:IRW321 IIA320:IIA321 HYE320:HYE321 HOI320:HOI321 HEM320:HEM321 GUQ320:GUQ321 GKU320:GKU321 GAY320:GAY321 FRC320:FRC321 FHG320:FHG321 EXK320:EXK321 ENO320:ENO321 EDS320:EDS321 DTW320:DTW321 DKA320:DKA321 DAE320:DAE321 CQI320:CQI321 CGM320:CGM321 BWQ320:BWQ321 BMU320:BMU321 BCY320:BCY321 ATC320:ATC321 AJG320:AJG321 ZK320:ZK321 PO320:PO321 FS320:FS321 GZN355:GZO355 WIO320:WLQ322 VYS320:WBU322 VOW320:VRY322 VFA320:VIC322 UVE320:UYG322 ULI320:UOK322 UBM320:UEO322 TRQ320:TUS322 THU320:TKW322 SXY320:TBA322 SOC320:SRE322 SEG320:SHI322 RUK320:RXM322 RKO320:RNQ322 RAS320:RDU322 QQW320:QTY322 QHA320:QKC322 PXE320:QAG322 PNI320:PQK322 PDM320:PGO322 OTQ320:OWS322 OJU320:OMW322 NZY320:ODA322 NQC320:NTE322 NGG320:NJI322 MWK320:MZM322 MMO320:MPQ322 MCS320:MFU322 LSW320:LVY322 LJA320:LMC322 KZE320:LCG322 KPI320:KSK322 KFM320:KIO322 JVQ320:JYS322 JLU320:JOW322 JBY320:JFA322 ISC320:IVE322 IIG320:ILI322 HYK320:IBM322 HOO320:HRQ322 HES320:HHU322 GUW320:GXY322 GLA320:GOC322 GBE320:GEG322 FRI320:FUK322 FHM320:FKO322 EXQ320:FAS322 ENU320:EQW322 EDY320:EHA322 DUC320:DXE322 DKG320:DNI322 DAK320:DDM322 CQO320:CTQ322 CGS320:CJU322 BWW320:BZY322 BNA320:BQC322 BDE320:BGG322 ATI320:AWK322 AJM320:AMO322 ZQ320:ACS322 PU320:SW322 FY320:JA322 GPR355:GPS355 WDJ313:WHX314 VTN313:VYB314 VJR313:VOF314 UZV313:VEJ314 UPZ313:UUN314 UGD313:UKR314 TWH313:UAV314 TML313:TQZ314 TCP313:THD314 SST313:SXH314 SIX313:SNL314 RZB313:SDP314 RPF313:RTT314 RFJ313:RJX314 QVN313:RAB314 QLR313:QQF314 QBV313:QGJ314 PRZ313:PWN314 PID313:PMR314 OYH313:PCV314 OOL313:OSZ314 OEP313:OJD314 NUT313:NZH314 NKX313:NPL314 NBB313:NFP314 MRF313:MVT314 MHJ313:MLX314 LXN313:MCB314 LNR313:LSF314 LDV313:LIJ314 KTZ313:KYN314 KKD313:KOR314 KAH313:KEV314 JQL313:JUZ314 JGP313:JLD314 IWT313:JBH314 IMX313:IRL314 IDB313:IHP314 HTF313:HXT314 HJJ313:HNX314 GZN313:HEB314 GPR313:GUF314 GFV313:GKJ314 FVZ313:GAN314 FMD313:FQR314 FCH313:FGV314 ESL313:EWZ314 EIP313:END314 DYT313:EDH314 DOX313:DTL314 DFB313:DJP314 CVF313:CZT314 CLJ313:CPX314 CBN313:CGB314 BRR313:BWF314 BHV313:BMJ314 AXZ313:BCN314 AOD313:ASR314 AEH313:AIV314 UL313:YZ314 KP313:PD314 AT313:FH314 WIE313:WIH314 VYI313:VYL314 VOM313:VOP314 VEQ313:VET314 UUU313:UUX314 UKY313:ULB314 UBC313:UBF314 TRG313:TRJ314 THK313:THN314 SXO313:SXR314 SNS313:SNV314 SDW313:SDZ314 RUA313:RUD314 RKE313:RKH314 RAI313:RAL314 QQM313:QQP314 QGQ313:QGT314 PWU313:PWX314 PMY313:PNB314 PDC313:PDF314 OTG313:OTJ314 OJK313:OJN314 NZO313:NZR314 NPS313:NPV314 NFW313:NFZ314 MWA313:MWD314 MME313:MMH314 MCI313:MCL314 LSM313:LSP314 LIQ313:LIT314 KYU313:KYX314 KOY313:KPB314 KFC313:KFF314 JVG313:JVJ314 JLK313:JLN314 JBO313:JBR314 IRS313:IRV314 IHW313:IHZ314 HYA313:HYD314 HOE313:HOH314 HEI313:HEL314 GUM313:GUP314 GKQ313:GKT314 GAU313:GAX314 FQY313:FRB314 FHC313:FHF314 EXG313:EXJ314 ENK313:ENN314 EDO313:EDR314 DTS313:DTV314 DJW313:DJZ314 DAA313:DAD314 CQE313:CQH314 CGI313:CGL314 BWM313:BWP314 BMQ313:BMT314 BCU313:BCX314 ASY313:ATB314 AJC313:AJF314 ZG313:ZJ314 PK313:PN314 FO313:FR314 WIO313:WLQ314 VYS313:WBU314 VOW313:VRY314 VFA313:VIC314 UVE313:UYG314 ULI313:UOK314 UBM313:UEO314 TRQ313:TUS314 THU313:TKW314 SXY313:TBA314 SOC313:SRE314 SEG313:SHI314 RUK313:RXM314 RKO313:RNQ314 RAS313:RDU314 QQW313:QTY314 QHA313:QKC314 PXE313:QAG314 PNI313:PQK314 PDM313:PGO314 OTQ313:OWS314 OJU313:OMW314 NZY313:ODA314 NQC313:NTE314 NGG313:NJI314 MWK313:MZM314 MMO313:MPQ314 MCS313:MFU314 LSW313:LVY314 LJA313:LMC314 KZE313:LCG314 KPI313:KSK314 KFM313:KIO314 JVQ313:JYS314 JLU313:JOW314 JBY313:JFA314 ISC313:IVE314 IIG313:ILI314 HYK313:IBM314 HOO313:HRQ314 HES313:HHU314 GUW313:GXY314 GLA313:GOC314 GBE313:GEG314 FRI313:FUK314 FHM313:FKO314 EXQ313:FAS314 ENU313:EQW314 EDY313:EHA314 DUC313:DXE314 DKG313:DNI314 DAK313:DDM314 CQO313:CTQ314 CGS313:CJU314 BWW313:BZY314 BNA313:BQC314 BDE313:BGG314 ATI313:AWK314 AJM313:AMO314 ZQ313:ACS314 PU313:SW314 FY313:JA314 GFV355:GFW355 WHZ313:WHZ314 VYD313:VYD314 VOH313:VOH314 VEL313:VEL314 UUP313:UUP314 UKT313:UKT314 UAX313:UAX314 TRB313:TRB314 THF313:THF314 SXJ313:SXJ314 SNN313:SNN314 SDR313:SDR314 RTV313:RTV314 RJZ313:RJZ314 RAD313:RAD314 QQH313:QQH314 QGL313:QGL314 PWP313:PWP314 PMT313:PMT314 PCX313:PCX314 OTB313:OTB314 OJF313:OJF314 NZJ313:NZJ314 NPN313:NPN314 NFR313:NFR314 MVV313:MVV314 MLZ313:MLZ314 MCD313:MCD314 LSH313:LSH314 LIL313:LIL314 KYP313:KYP314 KOT313:KOT314 KEX313:KEX314 JVB313:JVB314 JLF313:JLF314 JBJ313:JBJ314 IRN313:IRN314 IHR313:IHR314 HXV313:HXV314 HNZ313:HNZ314 HED313:HED314 GUH313:GUH314 GKL313:GKL314 GAP313:GAP314 FQT313:FQT314 FGX313:FGX314 EXB313:EXB314 ENF313:ENF314 EDJ313:EDJ314 DTN313:DTN314 DJR313:DJR314 CZV313:CZV314 CPZ313:CPZ314 CGD313:CGD314 BWH313:BWH314 BML313:BML314 BCP313:BCP314 AST313:AST314 AIX313:AIX314 ZB313:ZB314 PF313:PF314 FJ313:FJ314 WIB313:WIB314 VYF313:VYF314 VOJ313:VOJ314 VEN313:VEN314 UUR313:UUR314 UKV313:UKV314 UAZ313:UAZ314 TRD313:TRD314 THH313:THH314 SXL313:SXL314 SNP313:SNP314 SDT313:SDT314 RTX313:RTX314 RKB313:RKB314 RAF313:RAF314 QQJ313:QQJ314 QGN313:QGN314 PWR313:PWR314 PMV313:PMV314 PCZ313:PCZ314 OTD313:OTD314 OJH313:OJH314 NZL313:NZL314 NPP313:NPP314 NFT313:NFT314 MVX313:MVX314 MMB313:MMB314 MCF313:MCF314 LSJ313:LSJ314 LIN313:LIN314 KYR313:KYR314 KOV313:KOV314 KEZ313:KEZ314 JVD313:JVD314 JLH313:JLH314 JBL313:JBL314 IRP313:IRP314 IHT313:IHT314 HXX313:HXX314 HOB313:HOB314 HEF313:HEF314 GUJ313:GUJ314 GKN313:GKN314 GAR313:GAR314 FQV313:FQV314 FGZ313:FGZ314 EXD313:EXD314 ENH313:ENH314 EDL313:EDL314 DTP313:DTP314 DJT313:DJT314 CZX313:CZX314 CQB313:CQB314 CGF313:CGF314 BWJ313:BWJ314 BMN313:BMN314 BCR313:BCR314 ASV313:ASV314 AIZ313:AIZ314 ZD313:ZD314 PH313:PH314 FL313:FL314 FVZ355:FWA355 WDJ312:WHU312 VTN312:VXY312 VJR312:VOC312 UZV312:VEG312 UPZ312:UUK312 UGD312:UKO312 TWH312:UAS312 TML312:TQW312 TCP312:THA312 SST312:SXE312 SIX312:SNI312 RZB312:SDM312 RPF312:RTQ312 RFJ312:RJU312 QVN312:QZY312 QLR312:QQC312 QBV312:QGG312 PRZ312:PWK312 PID312:PMO312 OYH312:PCS312 OOL312:OSW312 OEP312:OJA312 NUT312:NZE312 NKX312:NPI312 NBB312:NFM312 MRF312:MVQ312 MHJ312:MLU312 LXN312:MBY312 LNR312:LSC312 LDV312:LIG312 KTZ312:KYK312 KKD312:KOO312 KAH312:KES312 JQL312:JUW312 JGP312:JLA312 IWT312:JBE312 IMX312:IRI312 IDB312:IHM312 HTF312:HXQ312 HJJ312:HNU312 GZN312:HDY312 GPR312:GUC312 GFV312:GKG312 FVZ312:GAK312 FMD312:FQO312 FCH312:FGS312 ESL312:EWW312 EIP312:ENA312 DYT312:EDE312 DOX312:DTI312 DFB312:DJM312 CVF312:CZQ312 CLJ312:CPU312 CBN312:CFY312 BRR312:BWC312 BHV312:BMG312 AXZ312:BCK312 AOD312:ASO312 AEH312:AIS312 UL312:YW312 KP312:PA312 AT312:FE312 WIC312:WID312 VYG312:VYH312 VOK312:VOL312 VEO312:VEP312 UUS312:UUT312 UKW312:UKX312 UBA312:UBB312 TRE312:TRF312 THI312:THJ312 SXM312:SXN312 SNQ312:SNR312 SDU312:SDV312 RTY312:RTZ312 RKC312:RKD312 RAG312:RAH312 QQK312:QQL312 QGO312:QGP312 PWS312:PWT312 PMW312:PMX312 PDA312:PDB312 OTE312:OTF312 OJI312:OJJ312 NZM312:NZN312 NPQ312:NPR312 NFU312:NFV312 MVY312:MVZ312 MMC312:MMD312 MCG312:MCH312 LSK312:LSL312 LIO312:LIP312 KYS312:KYT312 KOW312:KOX312 KFA312:KFB312 JVE312:JVF312 JLI312:JLJ312 JBM312:JBN312 IRQ312:IRR312 IHU312:IHV312 HXY312:HXZ312 HOC312:HOD312 HEG312:HEH312 GUK312:GUL312 GKO312:GKP312 GAS312:GAT312 FQW312:FQX312 FHA312:FHB312 EXE312:EXF312 ENI312:ENJ312 EDM312:EDN312 DTQ312:DTR312 DJU312:DJV312 CZY312:CZZ312 CQC312:CQD312 CGG312:CGH312 BWK312:BWL312 BMO312:BMP312 BCS312:BCT312 ASW312:ASX312 AJA312:AJB312 ZE312:ZF312 PI312:PJ312 FM312:FN312 FMD355:FME355 WIA312 VYE312 VOI312 VEM312 UUQ312 UKU312 UAY312 TRC312 THG312 SXK312 SNO312 SDS312 RTW312 RKA312 RAE312 QQI312 QGM312 PWQ312 PMU312 PCY312 OTC312 OJG312 NZK312 NPO312 NFS312 MVW312 MMA312 MCE312 LSI312 LIM312 KYQ312 KOU312 KEY312 JVC312 JLG312 JBK312 IRO312 IHS312 HXW312 HOA312 HEE312 GUI312 GKM312 GAQ312 FQU312 FGY312 EXC312 ENG312 EDK312 DTO312 DJS312 CZW312 CQA312 CGE312 BWI312 BMM312 BCQ312 ASU312 AIY312 ZC312 PG312 FK312 FCH355:FCI355 WHY312 VYC312 VOG312 VEK312 UUO312 UKS312 UAW312 TRA312 THE312 SXI312 SNM312 SDQ312 RTU312 RJY312 RAC312 QQG312 QGK312 PWO312 PMS312 PCW312 OTA312 OJE312 NZI312 NPM312 NFQ312 MVU312 MLY312 MCC312 LSG312 LIK312 KYO312 KOS312 KEW312 JVA312 JLE312 JBI312 IRM312 IHQ312 HXU312 HNY312 HEC312 GUG312 GKK312 GAO312 FQS312 FGW312 EXA312 ENE312 EDI312 DTM312 DJQ312 CZU312 CPY312 CGC312 BWG312 BMK312 BCO312 ASS312 AIW312 ZA312 PE312 FI312 ESL355:ESM355 WII312:WLQ312 VYM312:WBU312 VOQ312:VRY312 VEU312:VIC312 UUY312:UYG312 ULC312:UOK312 UBG312:UEO312 TRK312:TUS312 THO312:TKW312 SXS312:TBA312 SNW312:SRE312 SEA312:SHI312 RUE312:RXM312 RKI312:RNQ312 RAM312:RDU312 QQQ312:QTY312 QGU312:QKC312 PWY312:QAG312 PNC312:PQK312 PDG312:PGO312 OTK312:OWS312 OJO312:OMW312 NZS312:ODA312 NPW312:NTE312 NGA312:NJI312 MWE312:MZM312 MMI312:MPQ312 MCM312:MFU312 LSQ312:LVY312 LIU312:LMC312 KYY312:LCG312 KPC312:KSK312 KFG312:KIO312 JVK312:JYS312 JLO312:JOW312 JBS312:JFA312 IRW312:IVE312 IIA312:ILI312 HYE312:IBM312 HOI312:HRQ312 HEM312:HHU312 GUQ312:GXY312 GKU312:GOC312 GAY312:GEG312 FRC312:FUK312 FHG312:FKO312 EXK312:FAS312 ENO312:EQW312 EDS312:EHA312 DTW312:DXE312 DKA312:DNI312 DAE312:DDM312 CQI312:CTQ312 CGM312:CJU312 BWQ312:BZY312 BMU312:BQC312 BCY312:BGG312 ATC312:AWK312 AJG312:AMO312 ZK312:ACS312 PO312:SW312 FS312:JA312 EIP355:EIQ355 DYT355:DYU355 DOX355:DOY355 DFB355:DFC355 CVF355:CVG355" xr:uid="{00000000-0002-0000-0200-000001000000}">
      <formula1>0</formula1>
      <formula2>1</formula2>
    </dataValidation>
    <dataValidation type="whole" allowBlank="1" showInputMessage="1" showErrorMessage="1" error="Enter 0 or 1" sqref="D262188 D127 D327724 D196652 D458796 D524332 D589868 D655404 D786476 D393260 D852012 D917548 D983084 D65580 D131116 D720940" xr:uid="{00000000-0002-0000-0200-000002000000}">
      <formula1>0</formula1>
      <formula2>1</formula2>
    </dataValidation>
    <dataValidation type="whole" allowBlank="1" showInputMessage="1" showErrorMessage="1" prompt="Input a value between 0 and 18" sqref="WKJ71:WLA71 WAN71:WBE71 VQR71:VRI71 VGV71:VHM71 UWZ71:UXQ71 UND71:UNU71 UDH71:UDY71 TTL71:TUC71 TJP71:TKG71 SZT71:TAK71 SPX71:SQO71 SGB71:SGS71 RWF71:RWW71 RMJ71:RNA71 RCN71:RDE71 QSR71:QTI71 QIV71:QJM71 PYZ71:PZQ71 PPD71:PPU71 PFH71:PFY71 OVL71:OWC71 OLP71:OMG71 OBT71:OCK71 NRX71:NSO71 NIB71:NIS71 MYF71:MYW71 MOJ71:MPA71 MEN71:MFE71 LUR71:LVI71 LKV71:LLM71 LAZ71:LBQ71 KRD71:KRU71 KHH71:KHY71 JXL71:JYC71 JNP71:JOG71 JDT71:JEK71 ITX71:IUO71 IKB71:IKS71 IAF71:IAW71 HQJ71:HRA71 HGN71:HHE71 GWR71:GXI71 GMV71:GNM71 GCZ71:GDQ71 FTD71:FTU71 FJH71:FJY71 EZL71:FAC71 EPP71:EQG71 EFT71:EGK71 DVX71:DWO71 DMB71:DMS71 DCF71:DCW71 CSJ71:CTA71 CIN71:CJE71 BYR71:BZI71 BOV71:BPM71 BEZ71:BFQ71 AVD71:AVU71 ALH71:ALY71 ABL71:ACC71 RP71:SG71 HT71:IK71" xr:uid="{00000000-0002-0000-0200-000003000000}">
      <formula1>0</formula1>
      <formula2>18</formula2>
    </dataValidation>
  </dataValidations>
  <pageMargins left="0.25" right="0.25" top="0.75" bottom="0.75" header="0.3" footer="0.3"/>
  <pageSetup paperSize="5" scale="75" fitToHeight="0" orientation="landscape" r:id="rId2"/>
  <headerFooter alignWithMargins="0">
    <oddFooter>&amp;CPage &amp;P of &amp;N</oddFooter>
  </headerFooter>
  <rowBreaks count="11" manualBreakCount="11">
    <brk id="12" max="6" man="1"/>
    <brk id="45" max="6" man="1"/>
    <brk id="70" max="6" man="1"/>
    <brk id="89" max="6" man="1"/>
    <brk id="112" max="6" man="1"/>
    <brk id="139" max="6" man="1"/>
    <brk id="166" max="6" man="1"/>
    <brk id="187" max="6" man="1"/>
    <brk id="207" max="6" man="1"/>
    <brk id="327" max="6" man="1"/>
    <brk id="350" max="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sheetPr>
  <dimension ref="A1:F237"/>
  <sheetViews>
    <sheetView zoomScaleNormal="100" workbookViewId="0">
      <selection sqref="A1:B1"/>
    </sheetView>
  </sheetViews>
  <sheetFormatPr defaultColWidth="9.33203125" defaultRowHeight="13.2" x14ac:dyDescent="0.25"/>
  <cols>
    <col min="1" max="1" width="5.77734375" style="291" customWidth="1"/>
    <col min="2" max="2" width="18.77734375" style="88" customWidth="1"/>
    <col min="3" max="3" width="94.77734375" style="88" customWidth="1"/>
    <col min="4" max="4" width="6.77734375" style="183" customWidth="1"/>
    <col min="5" max="5" width="80.77734375" style="91" customWidth="1"/>
    <col min="6" max="6" width="40.77734375" style="91" customWidth="1"/>
    <col min="7" max="16384" width="9.33203125" style="91"/>
  </cols>
  <sheetData>
    <row r="1" spans="1:6" s="184" customFormat="1" ht="27.75" customHeight="1" thickBot="1" x14ac:dyDescent="0.3">
      <c r="A1" s="1554" t="s">
        <v>102</v>
      </c>
      <c r="B1" s="1555"/>
      <c r="C1" s="667" t="s">
        <v>1510</v>
      </c>
      <c r="D1" s="1556" t="s">
        <v>1495</v>
      </c>
      <c r="E1" s="1647"/>
      <c r="F1" s="764"/>
    </row>
    <row r="2" spans="1:6" s="184" customFormat="1" ht="99" customHeight="1" thickBot="1" x14ac:dyDescent="0.3">
      <c r="A2" s="1681" t="s">
        <v>2341</v>
      </c>
      <c r="B2" s="1682"/>
      <c r="C2" s="577" t="s">
        <v>2765</v>
      </c>
      <c r="D2" s="1679" t="s">
        <v>2345</v>
      </c>
      <c r="E2" s="1680"/>
      <c r="F2" s="583" t="s">
        <v>2346</v>
      </c>
    </row>
    <row r="3" spans="1:6" ht="30" customHeight="1" thickBot="1" x14ac:dyDescent="0.3">
      <c r="A3" s="665" t="s">
        <v>126</v>
      </c>
      <c r="B3" s="665" t="s">
        <v>1509</v>
      </c>
      <c r="C3" s="665" t="s">
        <v>1410</v>
      </c>
      <c r="D3" s="665" t="s">
        <v>115</v>
      </c>
      <c r="E3" s="665" t="s">
        <v>2624</v>
      </c>
      <c r="F3" s="665" t="s">
        <v>2233</v>
      </c>
    </row>
    <row r="4" spans="1:6" ht="70.5" customHeight="1" thickBot="1" x14ac:dyDescent="0.3">
      <c r="A4" s="289"/>
      <c r="B4" s="140" t="s">
        <v>432</v>
      </c>
      <c r="C4" s="141" t="s">
        <v>2347</v>
      </c>
      <c r="D4" s="166">
        <v>0</v>
      </c>
      <c r="E4" s="140" t="s">
        <v>2348</v>
      </c>
      <c r="F4" s="694"/>
    </row>
    <row r="5" spans="1:6" ht="21" customHeight="1" thickBot="1" x14ac:dyDescent="0.3">
      <c r="A5" s="1676" t="s">
        <v>281</v>
      </c>
      <c r="B5" s="1688" t="s">
        <v>569</v>
      </c>
      <c r="C5" s="219" t="s">
        <v>768</v>
      </c>
      <c r="D5" s="765"/>
      <c r="E5" s="1622" t="s">
        <v>2497</v>
      </c>
      <c r="F5" s="1568"/>
    </row>
    <row r="6" spans="1:6" ht="16.2" customHeight="1" x14ac:dyDescent="0.25">
      <c r="A6" s="1677"/>
      <c r="B6" s="1689"/>
      <c r="C6" s="148" t="s">
        <v>1954</v>
      </c>
      <c r="D6" s="167">
        <v>0</v>
      </c>
      <c r="E6" s="1686"/>
      <c r="F6" s="1697"/>
    </row>
    <row r="7" spans="1:6" ht="16.2" customHeight="1" x14ac:dyDescent="0.25">
      <c r="A7" s="1677"/>
      <c r="B7" s="1689"/>
      <c r="C7" s="145" t="s">
        <v>1955</v>
      </c>
      <c r="D7" s="168">
        <v>0</v>
      </c>
      <c r="E7" s="1686"/>
      <c r="F7" s="1697"/>
    </row>
    <row r="8" spans="1:6" ht="16.2" customHeight="1" thickBot="1" x14ac:dyDescent="0.3">
      <c r="A8" s="1678"/>
      <c r="B8" s="1690"/>
      <c r="C8" s="149" t="s">
        <v>1956</v>
      </c>
      <c r="D8" s="169">
        <v>0</v>
      </c>
      <c r="E8" s="1687"/>
      <c r="F8" s="1698"/>
    </row>
    <row r="9" spans="1:6" ht="27" customHeight="1" thickBot="1" x14ac:dyDescent="0.3">
      <c r="A9" s="1670" t="s">
        <v>282</v>
      </c>
      <c r="B9" s="1670" t="s">
        <v>523</v>
      </c>
      <c r="C9" s="666" t="s">
        <v>267</v>
      </c>
      <c r="D9" s="765"/>
      <c r="E9" s="1683" t="s">
        <v>2625</v>
      </c>
      <c r="F9" s="1699"/>
    </row>
    <row r="10" spans="1:6" ht="16.2" customHeight="1" x14ac:dyDescent="0.25">
      <c r="A10" s="1665"/>
      <c r="B10" s="1674"/>
      <c r="C10" s="147" t="s">
        <v>839</v>
      </c>
      <c r="D10" s="305">
        <v>0</v>
      </c>
      <c r="E10" s="1684"/>
      <c r="F10" s="1700"/>
    </row>
    <row r="11" spans="1:6" ht="16.2" customHeight="1" x14ac:dyDescent="0.25">
      <c r="A11" s="1665"/>
      <c r="B11" s="1674"/>
      <c r="C11" s="146" t="s">
        <v>1921</v>
      </c>
      <c r="D11" s="306">
        <v>0</v>
      </c>
      <c r="E11" s="1684"/>
      <c r="F11" s="1700"/>
    </row>
    <row r="12" spans="1:6" ht="16.2" customHeight="1" x14ac:dyDescent="0.25">
      <c r="A12" s="1665"/>
      <c r="B12" s="1674"/>
      <c r="C12" s="146" t="s">
        <v>2349</v>
      </c>
      <c r="D12" s="306">
        <v>0</v>
      </c>
      <c r="E12" s="1684"/>
      <c r="F12" s="1700"/>
    </row>
    <row r="13" spans="1:6" ht="16.2" customHeight="1" x14ac:dyDescent="0.25">
      <c r="A13" s="1665"/>
      <c r="B13" s="1674"/>
      <c r="C13" s="146" t="s">
        <v>1922</v>
      </c>
      <c r="D13" s="306">
        <v>0</v>
      </c>
      <c r="E13" s="1684"/>
      <c r="F13" s="1700"/>
    </row>
    <row r="14" spans="1:6" ht="16.2" customHeight="1" thickBot="1" x14ac:dyDescent="0.3">
      <c r="A14" s="1666"/>
      <c r="B14" s="1675"/>
      <c r="C14" s="150" t="s">
        <v>1813</v>
      </c>
      <c r="D14" s="307">
        <v>0</v>
      </c>
      <c r="E14" s="1685"/>
      <c r="F14" s="1701"/>
    </row>
    <row r="15" spans="1:6" ht="21" customHeight="1" thickBot="1" x14ac:dyDescent="0.3">
      <c r="A15" s="1670" t="s">
        <v>283</v>
      </c>
      <c r="B15" s="1670" t="s">
        <v>524</v>
      </c>
      <c r="C15" s="293" t="s">
        <v>2745</v>
      </c>
      <c r="D15" s="766"/>
      <c r="E15" s="1683" t="s">
        <v>2498</v>
      </c>
      <c r="F15" s="1699"/>
    </row>
    <row r="16" spans="1:6" ht="16.2" customHeight="1" x14ac:dyDescent="0.25">
      <c r="A16" s="1665"/>
      <c r="B16" s="1674"/>
      <c r="C16" s="147" t="s">
        <v>1957</v>
      </c>
      <c r="D16" s="306">
        <v>0</v>
      </c>
      <c r="E16" s="1684"/>
      <c r="F16" s="1700"/>
    </row>
    <row r="17" spans="1:6" ht="16.2" customHeight="1" x14ac:dyDescent="0.25">
      <c r="A17" s="1665"/>
      <c r="B17" s="1674"/>
      <c r="C17" s="147" t="s">
        <v>2357</v>
      </c>
      <c r="D17" s="306">
        <v>0</v>
      </c>
      <c r="E17" s="1684"/>
      <c r="F17" s="1700"/>
    </row>
    <row r="18" spans="1:6" ht="16.2" customHeight="1" x14ac:dyDescent="0.25">
      <c r="A18" s="1665"/>
      <c r="B18" s="1674"/>
      <c r="C18" s="147" t="s">
        <v>2358</v>
      </c>
      <c r="D18" s="306">
        <v>0</v>
      </c>
      <c r="E18" s="1684"/>
      <c r="F18" s="1700"/>
    </row>
    <row r="19" spans="1:6" ht="16.2" customHeight="1" x14ac:dyDescent="0.25">
      <c r="A19" s="1665"/>
      <c r="B19" s="1674"/>
      <c r="C19" s="147" t="s">
        <v>2359</v>
      </c>
      <c r="D19" s="306">
        <v>0</v>
      </c>
      <c r="E19" s="1684"/>
      <c r="F19" s="1700"/>
    </row>
    <row r="20" spans="1:6" ht="16.2" customHeight="1" x14ac:dyDescent="0.25">
      <c r="A20" s="1665"/>
      <c r="B20" s="1674"/>
      <c r="C20" s="147" t="s">
        <v>2219</v>
      </c>
      <c r="D20" s="306">
        <v>0</v>
      </c>
      <c r="E20" s="1684"/>
      <c r="F20" s="1700"/>
    </row>
    <row r="21" spans="1:6" ht="16.2" customHeight="1" x14ac:dyDescent="0.25">
      <c r="A21" s="1665"/>
      <c r="B21" s="1674"/>
      <c r="C21" s="147" t="s">
        <v>2360</v>
      </c>
      <c r="D21" s="306">
        <v>0</v>
      </c>
      <c r="E21" s="1684"/>
      <c r="F21" s="1700"/>
    </row>
    <row r="22" spans="1:6" ht="16.2" customHeight="1" thickBot="1" x14ac:dyDescent="0.3">
      <c r="A22" s="1666"/>
      <c r="B22" s="1675"/>
      <c r="C22" s="150" t="s">
        <v>1923</v>
      </c>
      <c r="D22" s="307">
        <v>0</v>
      </c>
      <c r="E22" s="1685"/>
      <c r="F22" s="1701"/>
    </row>
    <row r="23" spans="1:6" ht="30" customHeight="1" thickBot="1" x14ac:dyDescent="0.3">
      <c r="A23" s="1670" t="s">
        <v>284</v>
      </c>
      <c r="B23" s="1670" t="s">
        <v>525</v>
      </c>
      <c r="C23" s="293" t="s">
        <v>2350</v>
      </c>
      <c r="D23" s="766"/>
      <c r="E23" s="1683" t="s">
        <v>2724</v>
      </c>
      <c r="F23" s="1699"/>
    </row>
    <row r="24" spans="1:6" ht="16.2" customHeight="1" x14ac:dyDescent="0.25">
      <c r="A24" s="1665"/>
      <c r="B24" s="1674"/>
      <c r="C24" s="112" t="s">
        <v>1924</v>
      </c>
      <c r="D24" s="306">
        <v>0</v>
      </c>
      <c r="E24" s="1684"/>
      <c r="F24" s="1700"/>
    </row>
    <row r="25" spans="1:6" ht="16.2" customHeight="1" x14ac:dyDescent="0.25">
      <c r="A25" s="1665"/>
      <c r="B25" s="1674"/>
      <c r="C25" s="84" t="s">
        <v>2362</v>
      </c>
      <c r="D25" s="306">
        <v>0</v>
      </c>
      <c r="E25" s="1684"/>
      <c r="F25" s="1700"/>
    </row>
    <row r="26" spans="1:6" ht="16.2" customHeight="1" x14ac:dyDescent="0.25">
      <c r="A26" s="1665"/>
      <c r="B26" s="1674"/>
      <c r="C26" s="84" t="s">
        <v>2363</v>
      </c>
      <c r="D26" s="306">
        <v>0</v>
      </c>
      <c r="E26" s="1684"/>
      <c r="F26" s="1700"/>
    </row>
    <row r="27" spans="1:6" ht="16.2" customHeight="1" x14ac:dyDescent="0.25">
      <c r="A27" s="1665"/>
      <c r="B27" s="1674"/>
      <c r="C27" s="84" t="s">
        <v>2364</v>
      </c>
      <c r="D27" s="306">
        <v>0</v>
      </c>
      <c r="E27" s="1684"/>
      <c r="F27" s="1700"/>
    </row>
    <row r="28" spans="1:6" ht="16.2" customHeight="1" x14ac:dyDescent="0.25">
      <c r="A28" s="1665"/>
      <c r="B28" s="1674"/>
      <c r="C28" s="84" t="s">
        <v>2365</v>
      </c>
      <c r="D28" s="306">
        <v>0</v>
      </c>
      <c r="E28" s="1684"/>
      <c r="F28" s="1700"/>
    </row>
    <row r="29" spans="1:6" ht="16.2" customHeight="1" thickBot="1" x14ac:dyDescent="0.3">
      <c r="A29" s="1666"/>
      <c r="B29" s="1675"/>
      <c r="C29" s="115" t="s">
        <v>1806</v>
      </c>
      <c r="D29" s="307">
        <v>0</v>
      </c>
      <c r="E29" s="1685"/>
      <c r="F29" s="1701"/>
    </row>
    <row r="30" spans="1:6" ht="30" customHeight="1" thickBot="1" x14ac:dyDescent="0.3">
      <c r="A30" s="1670" t="s">
        <v>285</v>
      </c>
      <c r="B30" s="1670" t="s">
        <v>526</v>
      </c>
      <c r="C30" s="293" t="s">
        <v>2351</v>
      </c>
      <c r="D30" s="766"/>
      <c r="E30" s="1683" t="s">
        <v>1447</v>
      </c>
      <c r="F30" s="1699"/>
    </row>
    <row r="31" spans="1:6" ht="16.2" customHeight="1" x14ac:dyDescent="0.25">
      <c r="A31" s="1665"/>
      <c r="B31" s="1674"/>
      <c r="C31" s="112" t="s">
        <v>1924</v>
      </c>
      <c r="D31" s="306">
        <v>0</v>
      </c>
      <c r="E31" s="1684"/>
      <c r="F31" s="1700"/>
    </row>
    <row r="32" spans="1:6" ht="16.2" customHeight="1" x14ac:dyDescent="0.25">
      <c r="A32" s="1665"/>
      <c r="B32" s="1674"/>
      <c r="C32" s="84" t="s">
        <v>2362</v>
      </c>
      <c r="D32" s="306">
        <v>0</v>
      </c>
      <c r="E32" s="1684"/>
      <c r="F32" s="1700"/>
    </row>
    <row r="33" spans="1:6" ht="16.2" customHeight="1" x14ac:dyDescent="0.25">
      <c r="A33" s="1665"/>
      <c r="B33" s="1674"/>
      <c r="C33" s="84" t="s">
        <v>2363</v>
      </c>
      <c r="D33" s="306">
        <v>0</v>
      </c>
      <c r="E33" s="1684"/>
      <c r="F33" s="1700"/>
    </row>
    <row r="34" spans="1:6" ht="16.2" customHeight="1" x14ac:dyDescent="0.25">
      <c r="A34" s="1665"/>
      <c r="B34" s="1674"/>
      <c r="C34" s="84" t="s">
        <v>2364</v>
      </c>
      <c r="D34" s="306">
        <v>0</v>
      </c>
      <c r="E34" s="1684"/>
      <c r="F34" s="1700"/>
    </row>
    <row r="35" spans="1:6" ht="16.2" customHeight="1" x14ac:dyDescent="0.25">
      <c r="A35" s="1665"/>
      <c r="B35" s="1674"/>
      <c r="C35" s="84" t="s">
        <v>2365</v>
      </c>
      <c r="D35" s="306">
        <v>0</v>
      </c>
      <c r="E35" s="1684"/>
      <c r="F35" s="1700"/>
    </row>
    <row r="36" spans="1:6" ht="16.2" customHeight="1" thickBot="1" x14ac:dyDescent="0.3">
      <c r="A36" s="1666"/>
      <c r="B36" s="1675"/>
      <c r="C36" s="115" t="s">
        <v>1806</v>
      </c>
      <c r="D36" s="307">
        <v>0</v>
      </c>
      <c r="E36" s="1685"/>
      <c r="F36" s="1701"/>
    </row>
    <row r="37" spans="1:6" s="3" customFormat="1" ht="21" customHeight="1" thickBot="1" x14ac:dyDescent="0.3">
      <c r="A37" s="1522" t="s">
        <v>286</v>
      </c>
      <c r="B37" s="1599" t="s">
        <v>527</v>
      </c>
      <c r="C37" s="4" t="s">
        <v>1167</v>
      </c>
      <c r="D37" s="765"/>
      <c r="E37" s="1547" t="s">
        <v>2499</v>
      </c>
      <c r="F37" s="1659"/>
    </row>
    <row r="38" spans="1:6" s="3" customFormat="1" ht="16.2" customHeight="1" x14ac:dyDescent="0.25">
      <c r="A38" s="1665"/>
      <c r="B38" s="1582"/>
      <c r="C38" s="112" t="s">
        <v>1825</v>
      </c>
      <c r="D38" s="170">
        <v>0</v>
      </c>
      <c r="E38" s="1548"/>
      <c r="F38" s="1660"/>
    </row>
    <row r="39" spans="1:6" s="3" customFormat="1" ht="16.2" customHeight="1" x14ac:dyDescent="0.25">
      <c r="A39" s="1665"/>
      <c r="B39" s="1582"/>
      <c r="C39" s="84" t="s">
        <v>2366</v>
      </c>
      <c r="D39" s="171">
        <v>0</v>
      </c>
      <c r="E39" s="1548"/>
      <c r="F39" s="1660"/>
    </row>
    <row r="40" spans="1:6" s="3" customFormat="1" ht="16.2" customHeight="1" x14ac:dyDescent="0.25">
      <c r="A40" s="1665"/>
      <c r="B40" s="1582"/>
      <c r="C40" s="84" t="s">
        <v>2367</v>
      </c>
      <c r="D40" s="171">
        <v>0</v>
      </c>
      <c r="E40" s="1548"/>
      <c r="F40" s="1660"/>
    </row>
    <row r="41" spans="1:6" s="3" customFormat="1" ht="16.2" customHeight="1" thickBot="1" x14ac:dyDescent="0.3">
      <c r="A41" s="1666"/>
      <c r="B41" s="1600"/>
      <c r="C41" s="115" t="s">
        <v>1871</v>
      </c>
      <c r="D41" s="172">
        <v>0</v>
      </c>
      <c r="E41" s="1549"/>
      <c r="F41" s="1661"/>
    </row>
    <row r="42" spans="1:6" s="3" customFormat="1" ht="30" customHeight="1" thickBot="1" x14ac:dyDescent="0.3">
      <c r="A42" s="1669" t="s">
        <v>287</v>
      </c>
      <c r="B42" s="1522" t="s">
        <v>528</v>
      </c>
      <c r="C42" s="4" t="s">
        <v>422</v>
      </c>
      <c r="D42" s="702" t="s">
        <v>1572</v>
      </c>
      <c r="E42" s="1522" t="s">
        <v>2627</v>
      </c>
      <c r="F42" s="1564"/>
    </row>
    <row r="43" spans="1:6" s="3" customFormat="1" ht="16.2" customHeight="1" x14ac:dyDescent="0.25">
      <c r="A43" s="1691"/>
      <c r="B43" s="1521"/>
      <c r="C43" s="134" t="s">
        <v>1958</v>
      </c>
      <c r="D43" s="170">
        <v>0</v>
      </c>
      <c r="E43" s="1521"/>
      <c r="F43" s="1558"/>
    </row>
    <row r="44" spans="1:6" s="3" customFormat="1" ht="16.2" customHeight="1" x14ac:dyDescent="0.25">
      <c r="A44" s="1691"/>
      <c r="B44" s="1521"/>
      <c r="C44" s="135" t="s">
        <v>1959</v>
      </c>
      <c r="D44" s="171">
        <v>0</v>
      </c>
      <c r="E44" s="1521"/>
      <c r="F44" s="1558"/>
    </row>
    <row r="45" spans="1:6" s="3" customFormat="1" ht="27" customHeight="1" x14ac:dyDescent="0.25">
      <c r="A45" s="1691"/>
      <c r="B45" s="1521"/>
      <c r="C45" s="135" t="s">
        <v>2626</v>
      </c>
      <c r="D45" s="171">
        <v>0</v>
      </c>
      <c r="E45" s="1521"/>
      <c r="F45" s="1558"/>
    </row>
    <row r="46" spans="1:6" s="3" customFormat="1" ht="16.2" customHeight="1" thickBot="1" x14ac:dyDescent="0.3">
      <c r="A46" s="1692"/>
      <c r="B46" s="1523"/>
      <c r="C46" s="118" t="s">
        <v>1960</v>
      </c>
      <c r="D46" s="172">
        <v>0</v>
      </c>
      <c r="E46" s="1523"/>
      <c r="F46" s="1565"/>
    </row>
    <row r="47" spans="1:6" s="3" customFormat="1" ht="21" customHeight="1" thickBot="1" x14ac:dyDescent="0.3">
      <c r="A47" s="1669" t="s">
        <v>288</v>
      </c>
      <c r="B47" s="1599" t="s">
        <v>529</v>
      </c>
      <c r="C47" s="4" t="s">
        <v>1472</v>
      </c>
      <c r="D47" s="702" t="s">
        <v>1572</v>
      </c>
      <c r="E47" s="1622" t="s">
        <v>2725</v>
      </c>
      <c r="F47" s="1568"/>
    </row>
    <row r="48" spans="1:6" s="3" customFormat="1" ht="28.5" customHeight="1" x14ac:dyDescent="0.25">
      <c r="A48" s="1665"/>
      <c r="B48" s="1582"/>
      <c r="C48" s="112" t="s">
        <v>2352</v>
      </c>
      <c r="D48" s="170">
        <v>0</v>
      </c>
      <c r="E48" s="1623"/>
      <c r="F48" s="1569"/>
    </row>
    <row r="49" spans="1:6" s="3" customFormat="1" ht="16.2" customHeight="1" x14ac:dyDescent="0.25">
      <c r="A49" s="1665"/>
      <c r="B49" s="1582"/>
      <c r="C49" s="84" t="s">
        <v>1961</v>
      </c>
      <c r="D49" s="171">
        <v>0</v>
      </c>
      <c r="E49" s="1623"/>
      <c r="F49" s="1569"/>
    </row>
    <row r="50" spans="1:6" s="3" customFormat="1" ht="16.2" customHeight="1" thickBot="1" x14ac:dyDescent="0.3">
      <c r="A50" s="1666"/>
      <c r="B50" s="1600"/>
      <c r="C50" s="115" t="s">
        <v>1962</v>
      </c>
      <c r="D50" s="172">
        <v>0</v>
      </c>
      <c r="E50" s="1624"/>
      <c r="F50" s="1570"/>
    </row>
    <row r="51" spans="1:6" ht="30" customHeight="1" thickBot="1" x14ac:dyDescent="0.3">
      <c r="A51" s="1522" t="s">
        <v>289</v>
      </c>
      <c r="B51" s="1522" t="s">
        <v>557</v>
      </c>
      <c r="C51" s="4" t="s">
        <v>2500</v>
      </c>
      <c r="D51" s="766"/>
      <c r="E51" s="1547" t="s">
        <v>2544</v>
      </c>
      <c r="F51" s="1659"/>
    </row>
    <row r="52" spans="1:6" ht="16.2" customHeight="1" x14ac:dyDescent="0.25">
      <c r="A52" s="1665"/>
      <c r="B52" s="1521"/>
      <c r="C52" s="112" t="s">
        <v>1925</v>
      </c>
      <c r="D52" s="306">
        <v>0</v>
      </c>
      <c r="E52" s="1548"/>
      <c r="F52" s="1660"/>
    </row>
    <row r="53" spans="1:6" ht="16.2" customHeight="1" x14ac:dyDescent="0.25">
      <c r="A53" s="1665"/>
      <c r="B53" s="1521"/>
      <c r="C53" s="84" t="s">
        <v>2668</v>
      </c>
      <c r="D53" s="306">
        <v>0</v>
      </c>
      <c r="E53" s="1548"/>
      <c r="F53" s="1660"/>
    </row>
    <row r="54" spans="1:6" ht="16.2" customHeight="1" x14ac:dyDescent="0.25">
      <c r="A54" s="1665"/>
      <c r="B54" s="1521"/>
      <c r="C54" s="84" t="s">
        <v>2669</v>
      </c>
      <c r="D54" s="306">
        <v>0</v>
      </c>
      <c r="E54" s="1548"/>
      <c r="F54" s="1660"/>
    </row>
    <row r="55" spans="1:6" ht="16.2" customHeight="1" x14ac:dyDescent="0.25">
      <c r="A55" s="1665"/>
      <c r="B55" s="1521"/>
      <c r="C55" s="84" t="s">
        <v>2670</v>
      </c>
      <c r="D55" s="306">
        <v>0</v>
      </c>
      <c r="E55" s="1548"/>
      <c r="F55" s="1660"/>
    </row>
    <row r="56" spans="1:6" ht="16.2" customHeight="1" thickBot="1" x14ac:dyDescent="0.3">
      <c r="A56" s="1666"/>
      <c r="B56" s="1523"/>
      <c r="C56" s="115" t="s">
        <v>2671</v>
      </c>
      <c r="D56" s="307">
        <v>0</v>
      </c>
      <c r="E56" s="1549"/>
      <c r="F56" s="1661"/>
    </row>
    <row r="57" spans="1:6" ht="21" customHeight="1" thickBot="1" x14ac:dyDescent="0.3">
      <c r="A57" s="1670" t="s">
        <v>290</v>
      </c>
      <c r="B57" s="1670" t="s">
        <v>558</v>
      </c>
      <c r="C57" s="293" t="s">
        <v>2774</v>
      </c>
      <c r="D57" s="765"/>
      <c r="E57" s="1547" t="s">
        <v>2501</v>
      </c>
      <c r="F57" s="1659"/>
    </row>
    <row r="58" spans="1:6" ht="27" customHeight="1" x14ac:dyDescent="0.25">
      <c r="A58" s="1665"/>
      <c r="B58" s="1674"/>
      <c r="C58" s="147" t="s">
        <v>2746</v>
      </c>
      <c r="D58" s="305">
        <v>0</v>
      </c>
      <c r="E58" s="1684"/>
      <c r="F58" s="1700"/>
    </row>
    <row r="59" spans="1:6" ht="27" customHeight="1" x14ac:dyDescent="0.25">
      <c r="A59" s="1665"/>
      <c r="B59" s="1674"/>
      <c r="C59" s="146" t="s">
        <v>2648</v>
      </c>
      <c r="D59" s="306">
        <v>0</v>
      </c>
      <c r="E59" s="1684"/>
      <c r="F59" s="1700"/>
    </row>
    <row r="60" spans="1:6" ht="27" customHeight="1" x14ac:dyDescent="0.25">
      <c r="A60" s="1665"/>
      <c r="B60" s="1674"/>
      <c r="C60" s="146" t="s">
        <v>2747</v>
      </c>
      <c r="D60" s="306">
        <v>0</v>
      </c>
      <c r="E60" s="1684"/>
      <c r="F60" s="1700"/>
    </row>
    <row r="61" spans="1:6" ht="27" customHeight="1" x14ac:dyDescent="0.25">
      <c r="A61" s="1665"/>
      <c r="B61" s="1674"/>
      <c r="C61" s="84" t="s">
        <v>2749</v>
      </c>
      <c r="D61" s="306">
        <v>0</v>
      </c>
      <c r="E61" s="1684"/>
      <c r="F61" s="1700"/>
    </row>
    <row r="62" spans="1:6" ht="27" customHeight="1" x14ac:dyDescent="0.25">
      <c r="A62" s="1665"/>
      <c r="B62" s="1674"/>
      <c r="C62" s="84" t="s">
        <v>2748</v>
      </c>
      <c r="D62" s="306">
        <v>0</v>
      </c>
      <c r="E62" s="1684"/>
      <c r="F62" s="1700"/>
    </row>
    <row r="63" spans="1:6" ht="27" customHeight="1" thickBot="1" x14ac:dyDescent="0.3">
      <c r="A63" s="1666"/>
      <c r="B63" s="1675"/>
      <c r="C63" s="115" t="s">
        <v>2750</v>
      </c>
      <c r="D63" s="307">
        <v>0</v>
      </c>
      <c r="E63" s="1685"/>
      <c r="F63" s="1701"/>
    </row>
    <row r="64" spans="1:6" s="3" customFormat="1" ht="21" customHeight="1" thickBot="1" x14ac:dyDescent="0.3">
      <c r="A64" s="1522" t="s">
        <v>291</v>
      </c>
      <c r="B64" s="1522" t="s">
        <v>2649</v>
      </c>
      <c r="C64" s="4" t="s">
        <v>2650</v>
      </c>
      <c r="D64" s="765"/>
      <c r="E64" s="1622" t="s">
        <v>1448</v>
      </c>
      <c r="F64" s="1568"/>
    </row>
    <row r="65" spans="1:6" s="3" customFormat="1" ht="16.2" customHeight="1" x14ac:dyDescent="0.25">
      <c r="A65" s="1665"/>
      <c r="B65" s="1521"/>
      <c r="C65" s="112" t="s">
        <v>1869</v>
      </c>
      <c r="D65" s="170">
        <v>0</v>
      </c>
      <c r="E65" s="1623"/>
      <c r="F65" s="1569"/>
    </row>
    <row r="66" spans="1:6" s="3" customFormat="1" ht="16.2" customHeight="1" x14ac:dyDescent="0.25">
      <c r="A66" s="1665"/>
      <c r="B66" s="1521"/>
      <c r="C66" s="84" t="s">
        <v>2355</v>
      </c>
      <c r="D66" s="171">
        <v>0</v>
      </c>
      <c r="E66" s="1623"/>
      <c r="F66" s="1569"/>
    </row>
    <row r="67" spans="1:6" s="3" customFormat="1" ht="16.2" customHeight="1" x14ac:dyDescent="0.25">
      <c r="A67" s="1665"/>
      <c r="B67" s="1521"/>
      <c r="C67" s="84" t="s">
        <v>2356</v>
      </c>
      <c r="D67" s="171">
        <v>0</v>
      </c>
      <c r="E67" s="1623"/>
      <c r="F67" s="1569"/>
    </row>
    <row r="68" spans="1:6" s="3" customFormat="1" ht="16.2" customHeight="1" thickBot="1" x14ac:dyDescent="0.3">
      <c r="A68" s="1666"/>
      <c r="B68" s="1523"/>
      <c r="C68" s="115" t="s">
        <v>166</v>
      </c>
      <c r="D68" s="172">
        <v>0</v>
      </c>
      <c r="E68" s="1624"/>
      <c r="F68" s="1570"/>
    </row>
    <row r="69" spans="1:6" ht="21" customHeight="1" thickBot="1" x14ac:dyDescent="0.3">
      <c r="A69" s="1522" t="s">
        <v>292</v>
      </c>
      <c r="B69" s="1522" t="s">
        <v>530</v>
      </c>
      <c r="C69" s="4" t="s">
        <v>2726</v>
      </c>
      <c r="D69" s="766"/>
      <c r="E69" s="1547" t="s">
        <v>2545</v>
      </c>
      <c r="F69" s="1659"/>
    </row>
    <row r="70" spans="1:6" ht="27" customHeight="1" x14ac:dyDescent="0.25">
      <c r="A70" s="1665"/>
      <c r="B70" s="1521"/>
      <c r="C70" s="112" t="s">
        <v>2628</v>
      </c>
      <c r="D70" s="179">
        <v>0</v>
      </c>
      <c r="E70" s="1548"/>
      <c r="F70" s="1660"/>
    </row>
    <row r="71" spans="1:6" ht="27" customHeight="1" x14ac:dyDescent="0.25">
      <c r="A71" s="1665"/>
      <c r="B71" s="1521"/>
      <c r="C71" s="84" t="s">
        <v>2629</v>
      </c>
      <c r="D71" s="179">
        <v>0</v>
      </c>
      <c r="E71" s="1548"/>
      <c r="F71" s="1660"/>
    </row>
    <row r="72" spans="1:6" ht="16.2" customHeight="1" thickBot="1" x14ac:dyDescent="0.3">
      <c r="A72" s="1666"/>
      <c r="B72" s="1523"/>
      <c r="C72" s="115" t="s">
        <v>2630</v>
      </c>
      <c r="D72" s="180">
        <v>0</v>
      </c>
      <c r="E72" s="1549"/>
      <c r="F72" s="1661"/>
    </row>
    <row r="73" spans="1:6" ht="30" customHeight="1" thickBot="1" x14ac:dyDescent="0.3">
      <c r="A73" s="1522" t="s">
        <v>293</v>
      </c>
      <c r="B73" s="1522" t="s">
        <v>531</v>
      </c>
      <c r="C73" s="4" t="s">
        <v>2368</v>
      </c>
      <c r="D73" s="765"/>
      <c r="E73" s="1547" t="s">
        <v>2631</v>
      </c>
      <c r="F73" s="1659"/>
    </row>
    <row r="74" spans="1:6" ht="16.2" customHeight="1" x14ac:dyDescent="0.25">
      <c r="A74" s="1665"/>
      <c r="B74" s="1521"/>
      <c r="C74" s="112" t="s">
        <v>1820</v>
      </c>
      <c r="D74" s="173">
        <v>0</v>
      </c>
      <c r="E74" s="1548"/>
      <c r="F74" s="1660"/>
    </row>
    <row r="75" spans="1:6" ht="16.2" customHeight="1" x14ac:dyDescent="0.25">
      <c r="A75" s="1665"/>
      <c r="B75" s="1521"/>
      <c r="C75" s="113" t="s">
        <v>2204</v>
      </c>
      <c r="D75" s="174">
        <v>0</v>
      </c>
      <c r="E75" s="1548"/>
      <c r="F75" s="1660"/>
    </row>
    <row r="76" spans="1:6" ht="16.2" customHeight="1" x14ac:dyDescent="0.25">
      <c r="A76" s="1665"/>
      <c r="B76" s="1521"/>
      <c r="C76" s="113" t="s">
        <v>2354</v>
      </c>
      <c r="D76" s="174">
        <v>0</v>
      </c>
      <c r="E76" s="1548"/>
      <c r="F76" s="1660"/>
    </row>
    <row r="77" spans="1:6" ht="16.2" customHeight="1" thickBot="1" x14ac:dyDescent="0.3">
      <c r="A77" s="1666"/>
      <c r="B77" s="1523"/>
      <c r="C77" s="117" t="s">
        <v>1821</v>
      </c>
      <c r="D77" s="175">
        <v>0</v>
      </c>
      <c r="E77" s="1549"/>
      <c r="F77" s="1661"/>
    </row>
    <row r="78" spans="1:6" ht="21" customHeight="1" thickBot="1" x14ac:dyDescent="0.3">
      <c r="A78" s="1669" t="s">
        <v>294</v>
      </c>
      <c r="B78" s="1599" t="s">
        <v>532</v>
      </c>
      <c r="C78" s="4" t="s">
        <v>2376</v>
      </c>
      <c r="D78" s="766"/>
      <c r="E78" s="1622" t="s">
        <v>1449</v>
      </c>
      <c r="F78" s="1568"/>
    </row>
    <row r="79" spans="1:6" ht="27" customHeight="1" x14ac:dyDescent="0.25">
      <c r="A79" s="1665"/>
      <c r="B79" s="1582"/>
      <c r="C79" s="112" t="s">
        <v>1963</v>
      </c>
      <c r="D79" s="171">
        <v>0</v>
      </c>
      <c r="E79" s="1623"/>
      <c r="F79" s="1569"/>
    </row>
    <row r="80" spans="1:6" ht="16.2" customHeight="1" x14ac:dyDescent="0.25">
      <c r="A80" s="1665"/>
      <c r="B80" s="1582"/>
      <c r="C80" s="84" t="s">
        <v>1796</v>
      </c>
      <c r="D80" s="171">
        <v>0</v>
      </c>
      <c r="E80" s="1623"/>
      <c r="F80" s="1569"/>
    </row>
    <row r="81" spans="1:6" ht="27" customHeight="1" x14ac:dyDescent="0.25">
      <c r="A81" s="1665"/>
      <c r="B81" s="1582"/>
      <c r="C81" s="84" t="s">
        <v>1964</v>
      </c>
      <c r="D81" s="171">
        <v>0</v>
      </c>
      <c r="E81" s="1623"/>
      <c r="F81" s="1569"/>
    </row>
    <row r="82" spans="1:6" ht="16.2" customHeight="1" x14ac:dyDescent="0.25">
      <c r="A82" s="1665"/>
      <c r="B82" s="1582"/>
      <c r="C82" s="84" t="s">
        <v>1965</v>
      </c>
      <c r="D82" s="171">
        <v>0</v>
      </c>
      <c r="E82" s="1623"/>
      <c r="F82" s="1569"/>
    </row>
    <row r="83" spans="1:6" ht="16.2" customHeight="1" thickBot="1" x14ac:dyDescent="0.3">
      <c r="A83" s="1666"/>
      <c r="B83" s="1600"/>
      <c r="C83" s="115" t="s">
        <v>1866</v>
      </c>
      <c r="D83" s="172">
        <v>0</v>
      </c>
      <c r="E83" s="1624"/>
      <c r="F83" s="1570"/>
    </row>
    <row r="84" spans="1:6" ht="21" customHeight="1" thickBot="1" x14ac:dyDescent="0.3">
      <c r="A84" s="1670" t="s">
        <v>295</v>
      </c>
      <c r="B84" s="1670" t="s">
        <v>533</v>
      </c>
      <c r="C84" s="293" t="s">
        <v>2369</v>
      </c>
      <c r="D84" s="766"/>
      <c r="E84" s="1683" t="s">
        <v>1450</v>
      </c>
      <c r="F84" s="1699"/>
    </row>
    <row r="85" spans="1:6" ht="16.2" customHeight="1" x14ac:dyDescent="0.25">
      <c r="A85" s="1665"/>
      <c r="B85" s="1674"/>
      <c r="C85" s="147" t="s">
        <v>1926</v>
      </c>
      <c r="D85" s="306">
        <v>0</v>
      </c>
      <c r="E85" s="1684"/>
      <c r="F85" s="1700"/>
    </row>
    <row r="86" spans="1:6" ht="16.2" customHeight="1" x14ac:dyDescent="0.25">
      <c r="A86" s="1665"/>
      <c r="B86" s="1674"/>
      <c r="C86" s="146" t="s">
        <v>2218</v>
      </c>
      <c r="D86" s="306">
        <v>0</v>
      </c>
      <c r="E86" s="1684"/>
      <c r="F86" s="1700"/>
    </row>
    <row r="87" spans="1:6" ht="16.2" customHeight="1" x14ac:dyDescent="0.25">
      <c r="A87" s="1665"/>
      <c r="B87" s="1674"/>
      <c r="C87" s="146" t="s">
        <v>2217</v>
      </c>
      <c r="D87" s="306">
        <v>0</v>
      </c>
      <c r="E87" s="1684"/>
      <c r="F87" s="1700"/>
    </row>
    <row r="88" spans="1:6" ht="16.2" customHeight="1" x14ac:dyDescent="0.25">
      <c r="A88" s="1665"/>
      <c r="B88" s="1674"/>
      <c r="C88" s="146" t="s">
        <v>2353</v>
      </c>
      <c r="D88" s="306">
        <v>0</v>
      </c>
      <c r="E88" s="1684"/>
      <c r="F88" s="1700"/>
    </row>
    <row r="89" spans="1:6" ht="16.2" customHeight="1" thickBot="1" x14ac:dyDescent="0.3">
      <c r="A89" s="1666"/>
      <c r="B89" s="1675"/>
      <c r="C89" s="150" t="s">
        <v>1847</v>
      </c>
      <c r="D89" s="307">
        <v>0</v>
      </c>
      <c r="E89" s="1685"/>
      <c r="F89" s="1701"/>
    </row>
    <row r="90" spans="1:6" ht="21" customHeight="1" thickBot="1" x14ac:dyDescent="0.3">
      <c r="A90" s="1670" t="s">
        <v>296</v>
      </c>
      <c r="B90" s="1670" t="s">
        <v>534</v>
      </c>
      <c r="C90" s="293" t="s">
        <v>2370</v>
      </c>
      <c r="D90" s="765"/>
      <c r="E90" s="1683" t="s">
        <v>1451</v>
      </c>
      <c r="F90" s="1699"/>
    </row>
    <row r="91" spans="1:6" ht="16.2" customHeight="1" x14ac:dyDescent="0.25">
      <c r="A91" s="1665"/>
      <c r="B91" s="1674"/>
      <c r="C91" s="147" t="s">
        <v>1927</v>
      </c>
      <c r="D91" s="305">
        <v>0</v>
      </c>
      <c r="E91" s="1684"/>
      <c r="F91" s="1700"/>
    </row>
    <row r="92" spans="1:6" ht="16.2" customHeight="1" x14ac:dyDescent="0.25">
      <c r="A92" s="1665"/>
      <c r="B92" s="1674"/>
      <c r="C92" s="146" t="s">
        <v>2218</v>
      </c>
      <c r="D92" s="306">
        <v>0</v>
      </c>
      <c r="E92" s="1684"/>
      <c r="F92" s="1700"/>
    </row>
    <row r="93" spans="1:6" ht="16.2" customHeight="1" x14ac:dyDescent="0.25">
      <c r="A93" s="1665"/>
      <c r="B93" s="1674"/>
      <c r="C93" s="146" t="s">
        <v>2217</v>
      </c>
      <c r="D93" s="306">
        <v>0</v>
      </c>
      <c r="E93" s="1684"/>
      <c r="F93" s="1700"/>
    </row>
    <row r="94" spans="1:6" ht="16.2" customHeight="1" x14ac:dyDescent="0.25">
      <c r="A94" s="1665"/>
      <c r="B94" s="1674"/>
      <c r="C94" s="146" t="s">
        <v>2353</v>
      </c>
      <c r="D94" s="306">
        <v>0</v>
      </c>
      <c r="E94" s="1684"/>
      <c r="F94" s="1700"/>
    </row>
    <row r="95" spans="1:6" ht="16.2" customHeight="1" thickBot="1" x14ac:dyDescent="0.3">
      <c r="A95" s="1666"/>
      <c r="B95" s="1675"/>
      <c r="C95" s="150" t="s">
        <v>1847</v>
      </c>
      <c r="D95" s="307">
        <v>0</v>
      </c>
      <c r="E95" s="1685"/>
      <c r="F95" s="1701"/>
    </row>
    <row r="96" spans="1:6" ht="21.75" customHeight="1" thickBot="1" x14ac:dyDescent="0.3">
      <c r="A96" s="1522" t="s">
        <v>297</v>
      </c>
      <c r="B96" s="1522" t="s">
        <v>535</v>
      </c>
      <c r="C96" s="4" t="s">
        <v>2642</v>
      </c>
      <c r="D96" s="766"/>
      <c r="E96" s="1547" t="s">
        <v>1452</v>
      </c>
      <c r="F96" s="1659"/>
    </row>
    <row r="97" spans="1:6" ht="16.2" customHeight="1" x14ac:dyDescent="0.25">
      <c r="A97" s="1665"/>
      <c r="B97" s="1521"/>
      <c r="C97" s="112" t="s">
        <v>1966</v>
      </c>
      <c r="D97" s="306">
        <v>0</v>
      </c>
      <c r="E97" s="1548"/>
      <c r="F97" s="1660"/>
    </row>
    <row r="98" spans="1:6" ht="16.2" customHeight="1" x14ac:dyDescent="0.25">
      <c r="A98" s="1665"/>
      <c r="B98" s="1521"/>
      <c r="C98" s="84" t="s">
        <v>1967</v>
      </c>
      <c r="D98" s="306">
        <v>0</v>
      </c>
      <c r="E98" s="1548"/>
      <c r="F98" s="1660"/>
    </row>
    <row r="99" spans="1:6" ht="16.2" customHeight="1" x14ac:dyDescent="0.25">
      <c r="A99" s="1665"/>
      <c r="B99" s="1521"/>
      <c r="C99" s="84" t="s">
        <v>1968</v>
      </c>
      <c r="D99" s="306">
        <v>0</v>
      </c>
      <c r="E99" s="1548"/>
      <c r="F99" s="1660"/>
    </row>
    <row r="100" spans="1:6" ht="16.2" customHeight="1" x14ac:dyDescent="0.25">
      <c r="A100" s="1665"/>
      <c r="B100" s="1521"/>
      <c r="C100" s="84" t="s">
        <v>1969</v>
      </c>
      <c r="D100" s="306">
        <v>0</v>
      </c>
      <c r="E100" s="1548"/>
      <c r="F100" s="1660"/>
    </row>
    <row r="101" spans="1:6" ht="16.2" customHeight="1" thickBot="1" x14ac:dyDescent="0.3">
      <c r="A101" s="1666"/>
      <c r="B101" s="1523"/>
      <c r="C101" s="115" t="s">
        <v>1970</v>
      </c>
      <c r="D101" s="307">
        <v>0</v>
      </c>
      <c r="E101" s="1549"/>
      <c r="F101" s="1661"/>
    </row>
    <row r="102" spans="1:6" ht="22.5" customHeight="1" thickBot="1" x14ac:dyDescent="0.3">
      <c r="A102" s="1522" t="s">
        <v>298</v>
      </c>
      <c r="B102" s="1522" t="s">
        <v>536</v>
      </c>
      <c r="C102" s="4" t="s">
        <v>2377</v>
      </c>
      <c r="D102" s="766"/>
      <c r="E102" s="1547" t="s">
        <v>1453</v>
      </c>
      <c r="F102" s="1659"/>
    </row>
    <row r="103" spans="1:6" ht="16.2" customHeight="1" x14ac:dyDescent="0.25">
      <c r="A103" s="1665"/>
      <c r="B103" s="1521"/>
      <c r="C103" s="112" t="s">
        <v>1966</v>
      </c>
      <c r="D103" s="306">
        <v>0</v>
      </c>
      <c r="E103" s="1548"/>
      <c r="F103" s="1660"/>
    </row>
    <row r="104" spans="1:6" ht="16.2" customHeight="1" x14ac:dyDescent="0.25">
      <c r="A104" s="1665"/>
      <c r="B104" s="1521"/>
      <c r="C104" s="84" t="s">
        <v>1967</v>
      </c>
      <c r="D104" s="306">
        <v>0</v>
      </c>
      <c r="E104" s="1548"/>
      <c r="F104" s="1660"/>
    </row>
    <row r="105" spans="1:6" ht="16.2" customHeight="1" x14ac:dyDescent="0.25">
      <c r="A105" s="1665"/>
      <c r="B105" s="1521"/>
      <c r="C105" s="84" t="s">
        <v>1968</v>
      </c>
      <c r="D105" s="306">
        <v>0</v>
      </c>
      <c r="E105" s="1548"/>
      <c r="F105" s="1660"/>
    </row>
    <row r="106" spans="1:6" ht="16.2" customHeight="1" x14ac:dyDescent="0.25">
      <c r="A106" s="1665"/>
      <c r="B106" s="1521"/>
      <c r="C106" s="84" t="s">
        <v>1969</v>
      </c>
      <c r="D106" s="306">
        <v>0</v>
      </c>
      <c r="E106" s="1548"/>
      <c r="F106" s="1660"/>
    </row>
    <row r="107" spans="1:6" ht="16.2" customHeight="1" thickBot="1" x14ac:dyDescent="0.3">
      <c r="A107" s="1666"/>
      <c r="B107" s="1523"/>
      <c r="C107" s="115" t="s">
        <v>1970</v>
      </c>
      <c r="D107" s="307">
        <v>0</v>
      </c>
      <c r="E107" s="1549"/>
      <c r="F107" s="1661"/>
    </row>
    <row r="108" spans="1:6" ht="30" customHeight="1" thickBot="1" x14ac:dyDescent="0.3">
      <c r="A108" s="1522" t="s">
        <v>299</v>
      </c>
      <c r="B108" s="1522" t="s">
        <v>537</v>
      </c>
      <c r="C108" s="4" t="s">
        <v>268</v>
      </c>
      <c r="D108" s="765"/>
      <c r="E108" s="1547" t="s">
        <v>1576</v>
      </c>
      <c r="F108" s="1659"/>
    </row>
    <row r="109" spans="1:6" ht="16.2" customHeight="1" x14ac:dyDescent="0.25">
      <c r="A109" s="1665"/>
      <c r="B109" s="1521"/>
      <c r="C109" s="578" t="s">
        <v>2378</v>
      </c>
      <c r="D109" s="305">
        <v>0</v>
      </c>
      <c r="E109" s="1548"/>
      <c r="F109" s="1660"/>
    </row>
    <row r="110" spans="1:6" ht="16.2" customHeight="1" x14ac:dyDescent="0.25">
      <c r="A110" s="1665"/>
      <c r="B110" s="1521"/>
      <c r="C110" s="84" t="s">
        <v>1928</v>
      </c>
      <c r="D110" s="306">
        <v>0</v>
      </c>
      <c r="E110" s="1548"/>
      <c r="F110" s="1660"/>
    </row>
    <row r="111" spans="1:6" ht="16.2" customHeight="1" thickBot="1" x14ac:dyDescent="0.3">
      <c r="A111" s="1666"/>
      <c r="B111" s="1523"/>
      <c r="C111" s="115" t="s">
        <v>1929</v>
      </c>
      <c r="D111" s="307">
        <v>0</v>
      </c>
      <c r="E111" s="1549"/>
      <c r="F111" s="1661"/>
    </row>
    <row r="112" spans="1:6" ht="21" customHeight="1" thickBot="1" x14ac:dyDescent="0.3">
      <c r="A112" s="1522" t="s">
        <v>300</v>
      </c>
      <c r="B112" s="1522" t="s">
        <v>538</v>
      </c>
      <c r="C112" s="4" t="s">
        <v>325</v>
      </c>
      <c r="D112" s="766"/>
      <c r="E112" s="1547" t="s">
        <v>1577</v>
      </c>
      <c r="F112" s="1659"/>
    </row>
    <row r="113" spans="1:6" ht="16.2" customHeight="1" x14ac:dyDescent="0.25">
      <c r="A113" s="1665"/>
      <c r="B113" s="1521"/>
      <c r="C113" s="112" t="s">
        <v>1930</v>
      </c>
      <c r="D113" s="306">
        <v>0</v>
      </c>
      <c r="E113" s="1548"/>
      <c r="F113" s="1660"/>
    </row>
    <row r="114" spans="1:6" ht="16.2" customHeight="1" x14ac:dyDescent="0.25">
      <c r="A114" s="1665"/>
      <c r="B114" s="1521"/>
      <c r="C114" s="84" t="s">
        <v>2379</v>
      </c>
      <c r="D114" s="306">
        <v>0</v>
      </c>
      <c r="E114" s="1548"/>
      <c r="F114" s="1660"/>
    </row>
    <row r="115" spans="1:6" ht="16.2" customHeight="1" x14ac:dyDescent="0.25">
      <c r="A115" s="1665"/>
      <c r="B115" s="1521"/>
      <c r="C115" s="84" t="s">
        <v>2380</v>
      </c>
      <c r="D115" s="306">
        <v>0</v>
      </c>
      <c r="E115" s="1548"/>
      <c r="F115" s="1660"/>
    </row>
    <row r="116" spans="1:6" ht="16.2" customHeight="1" x14ac:dyDescent="0.25">
      <c r="A116" s="1665"/>
      <c r="B116" s="1521"/>
      <c r="C116" s="84" t="s">
        <v>2381</v>
      </c>
      <c r="D116" s="306">
        <v>0</v>
      </c>
      <c r="E116" s="1548"/>
      <c r="F116" s="1660"/>
    </row>
    <row r="117" spans="1:6" ht="16.2" customHeight="1" thickBot="1" x14ac:dyDescent="0.3">
      <c r="A117" s="1666"/>
      <c r="B117" s="1523"/>
      <c r="C117" s="115" t="s">
        <v>1931</v>
      </c>
      <c r="D117" s="307">
        <v>0</v>
      </c>
      <c r="E117" s="1549"/>
      <c r="F117" s="1661"/>
    </row>
    <row r="118" spans="1:6" s="3" customFormat="1" ht="21" customHeight="1" thickBot="1" x14ac:dyDescent="0.3">
      <c r="A118" s="1522" t="s">
        <v>328</v>
      </c>
      <c r="B118" s="1522" t="s">
        <v>539</v>
      </c>
      <c r="C118" s="4" t="s">
        <v>2390</v>
      </c>
      <c r="D118" s="703" t="s">
        <v>1572</v>
      </c>
      <c r="E118" s="1547" t="s">
        <v>2727</v>
      </c>
      <c r="F118" s="1659"/>
    </row>
    <row r="119" spans="1:6" s="3" customFormat="1" ht="16.2" customHeight="1" x14ac:dyDescent="0.25">
      <c r="A119" s="1665"/>
      <c r="B119" s="1521"/>
      <c r="C119" s="112" t="s">
        <v>433</v>
      </c>
      <c r="D119" s="526">
        <v>0</v>
      </c>
      <c r="E119" s="1548"/>
      <c r="F119" s="1660"/>
    </row>
    <row r="120" spans="1:6" s="3" customFormat="1" ht="16.2" customHeight="1" x14ac:dyDescent="0.25">
      <c r="A120" s="1665"/>
      <c r="B120" s="1521"/>
      <c r="C120" s="112" t="s">
        <v>2382</v>
      </c>
      <c r="D120" s="161">
        <v>0</v>
      </c>
      <c r="E120" s="1548"/>
      <c r="F120" s="1660"/>
    </row>
    <row r="121" spans="1:6" s="3" customFormat="1" ht="16.2" customHeight="1" x14ac:dyDescent="0.25">
      <c r="A121" s="1665"/>
      <c r="B121" s="1521"/>
      <c r="C121" s="112" t="s">
        <v>2383</v>
      </c>
      <c r="D121" s="161">
        <v>0</v>
      </c>
      <c r="E121" s="1548"/>
      <c r="F121" s="1660"/>
    </row>
    <row r="122" spans="1:6" s="3" customFormat="1" ht="16.2" customHeight="1" x14ac:dyDescent="0.25">
      <c r="A122" s="1665"/>
      <c r="B122" s="1521"/>
      <c r="C122" s="84" t="s">
        <v>2384</v>
      </c>
      <c r="D122" s="161">
        <v>0</v>
      </c>
      <c r="E122" s="1548"/>
      <c r="F122" s="1660"/>
    </row>
    <row r="123" spans="1:6" s="3" customFormat="1" ht="16.2" customHeight="1" x14ac:dyDescent="0.25">
      <c r="A123" s="1665"/>
      <c r="B123" s="1521"/>
      <c r="C123" s="84" t="s">
        <v>2385</v>
      </c>
      <c r="D123" s="161">
        <v>0</v>
      </c>
      <c r="E123" s="1548"/>
      <c r="F123" s="1660"/>
    </row>
    <row r="124" spans="1:6" s="3" customFormat="1" ht="16.2" customHeight="1" x14ac:dyDescent="0.25">
      <c r="A124" s="1665"/>
      <c r="B124" s="1521"/>
      <c r="C124" s="132" t="s">
        <v>2386</v>
      </c>
      <c r="D124" s="161">
        <v>0</v>
      </c>
      <c r="E124" s="1548"/>
      <c r="F124" s="1660"/>
    </row>
    <row r="125" spans="1:6" s="3" customFormat="1" ht="16.2" customHeight="1" x14ac:dyDescent="0.25">
      <c r="A125" s="1665"/>
      <c r="B125" s="1521"/>
      <c r="C125" s="84" t="s">
        <v>2387</v>
      </c>
      <c r="D125" s="161">
        <v>0</v>
      </c>
      <c r="E125" s="1548"/>
      <c r="F125" s="1660"/>
    </row>
    <row r="126" spans="1:6" s="3" customFormat="1" ht="16.2" customHeight="1" x14ac:dyDescent="0.25">
      <c r="A126" s="1665"/>
      <c r="B126" s="1521"/>
      <c r="C126" s="84" t="s">
        <v>2388</v>
      </c>
      <c r="D126" s="161">
        <v>0</v>
      </c>
      <c r="E126" s="1548"/>
      <c r="F126" s="1660"/>
    </row>
    <row r="127" spans="1:6" s="3" customFormat="1" ht="16.2" customHeight="1" x14ac:dyDescent="0.25">
      <c r="A127" s="1665"/>
      <c r="B127" s="1521"/>
      <c r="C127" s="84" t="s">
        <v>2389</v>
      </c>
      <c r="D127" s="161">
        <v>0</v>
      </c>
      <c r="E127" s="1548"/>
      <c r="F127" s="1660"/>
    </row>
    <row r="128" spans="1:6" s="3" customFormat="1" ht="16.2" customHeight="1" thickBot="1" x14ac:dyDescent="0.3">
      <c r="A128" s="1666"/>
      <c r="B128" s="1523"/>
      <c r="C128" s="115" t="s">
        <v>1808</v>
      </c>
      <c r="D128" s="162">
        <v>0</v>
      </c>
      <c r="E128" s="1549"/>
      <c r="F128" s="1661"/>
    </row>
    <row r="129" spans="1:6" s="3" customFormat="1" ht="30.75" customHeight="1" thickBot="1" x14ac:dyDescent="0.3">
      <c r="A129" s="1669" t="s">
        <v>301</v>
      </c>
      <c r="B129" s="1599" t="s">
        <v>540</v>
      </c>
      <c r="C129" s="4" t="s">
        <v>2502</v>
      </c>
      <c r="D129" s="765"/>
      <c r="E129" s="1622" t="s">
        <v>2546</v>
      </c>
      <c r="F129" s="1568"/>
    </row>
    <row r="130" spans="1:6" s="3" customFormat="1" ht="16.2" customHeight="1" x14ac:dyDescent="0.25">
      <c r="A130" s="1665"/>
      <c r="B130" s="1582"/>
      <c r="C130" s="112" t="s">
        <v>435</v>
      </c>
      <c r="D130" s="170">
        <v>0</v>
      </c>
      <c r="E130" s="1693"/>
      <c r="F130" s="1702"/>
    </row>
    <row r="131" spans="1:6" s="3" customFormat="1" ht="16.2" customHeight="1" x14ac:dyDescent="0.25">
      <c r="A131" s="1665"/>
      <c r="B131" s="1582"/>
      <c r="C131" s="84" t="s">
        <v>2209</v>
      </c>
      <c r="D131" s="171">
        <v>0</v>
      </c>
      <c r="E131" s="1623"/>
      <c r="F131" s="1569"/>
    </row>
    <row r="132" spans="1:6" s="3" customFormat="1" ht="16.2" customHeight="1" x14ac:dyDescent="0.25">
      <c r="A132" s="1665"/>
      <c r="B132" s="1582"/>
      <c r="C132" s="84" t="s">
        <v>2210</v>
      </c>
      <c r="D132" s="171">
        <v>0</v>
      </c>
      <c r="E132" s="1623"/>
      <c r="F132" s="1569"/>
    </row>
    <row r="133" spans="1:6" s="3" customFormat="1" ht="16.2" customHeight="1" x14ac:dyDescent="0.25">
      <c r="A133" s="1665"/>
      <c r="B133" s="1582"/>
      <c r="C133" s="84" t="s">
        <v>2391</v>
      </c>
      <c r="D133" s="171">
        <v>0</v>
      </c>
      <c r="E133" s="1623"/>
      <c r="F133" s="1569"/>
    </row>
    <row r="134" spans="1:6" s="3" customFormat="1" ht="16.2" customHeight="1" thickBot="1" x14ac:dyDescent="0.3">
      <c r="A134" s="1666"/>
      <c r="B134" s="1600"/>
      <c r="C134" s="115" t="s">
        <v>1827</v>
      </c>
      <c r="D134" s="172">
        <v>0</v>
      </c>
      <c r="E134" s="1624"/>
      <c r="F134" s="1570"/>
    </row>
    <row r="135" spans="1:6" s="3" customFormat="1" ht="21" customHeight="1" thickBot="1" x14ac:dyDescent="0.3">
      <c r="A135" s="1539" t="s">
        <v>302</v>
      </c>
      <c r="B135" s="1522" t="s">
        <v>541</v>
      </c>
      <c r="C135" s="4" t="s">
        <v>125</v>
      </c>
      <c r="D135" s="765"/>
      <c r="E135" s="1547" t="s">
        <v>2395</v>
      </c>
      <c r="F135" s="1659"/>
    </row>
    <row r="136" spans="1:6" s="3" customFormat="1" ht="16.2" customHeight="1" x14ac:dyDescent="0.25">
      <c r="A136" s="1665"/>
      <c r="B136" s="1521"/>
      <c r="C136" s="112" t="s">
        <v>1971</v>
      </c>
      <c r="D136" s="170">
        <v>0</v>
      </c>
      <c r="E136" s="1548"/>
      <c r="F136" s="1660" t="s">
        <v>1584</v>
      </c>
    </row>
    <row r="137" spans="1:6" s="3" customFormat="1" ht="16.2" customHeight="1" x14ac:dyDescent="0.25">
      <c r="A137" s="1665"/>
      <c r="B137" s="1521"/>
      <c r="C137" s="84" t="s">
        <v>2392</v>
      </c>
      <c r="D137" s="171">
        <v>0</v>
      </c>
      <c r="E137" s="1548"/>
      <c r="F137" s="1660"/>
    </row>
    <row r="138" spans="1:6" s="3" customFormat="1" ht="16.2" customHeight="1" x14ac:dyDescent="0.25">
      <c r="A138" s="1665"/>
      <c r="B138" s="1521"/>
      <c r="C138" s="84" t="s">
        <v>2393</v>
      </c>
      <c r="D138" s="171">
        <v>0</v>
      </c>
      <c r="E138" s="1548"/>
      <c r="F138" s="1660"/>
    </row>
    <row r="139" spans="1:6" s="3" customFormat="1" ht="16.2" customHeight="1" thickBot="1" x14ac:dyDescent="0.3">
      <c r="A139" s="1666"/>
      <c r="B139" s="1523"/>
      <c r="C139" s="115" t="s">
        <v>2394</v>
      </c>
      <c r="D139" s="172">
        <v>0</v>
      </c>
      <c r="E139" s="1549"/>
      <c r="F139" s="1661"/>
    </row>
    <row r="140" spans="1:6" ht="21" customHeight="1" thickBot="1" x14ac:dyDescent="0.3">
      <c r="A140" s="1522" t="s">
        <v>303</v>
      </c>
      <c r="B140" s="1522" t="s">
        <v>542</v>
      </c>
      <c r="C140" s="4" t="s">
        <v>329</v>
      </c>
      <c r="D140" s="765"/>
      <c r="E140" s="1547" t="s">
        <v>1454</v>
      </c>
      <c r="F140" s="1659"/>
    </row>
    <row r="141" spans="1:6" ht="16.2" customHeight="1" x14ac:dyDescent="0.25">
      <c r="A141" s="1665"/>
      <c r="B141" s="1521"/>
      <c r="C141" s="112" t="s">
        <v>1932</v>
      </c>
      <c r="D141" s="308">
        <v>0</v>
      </c>
      <c r="E141" s="1548"/>
      <c r="F141" s="1660"/>
    </row>
    <row r="142" spans="1:6" ht="16.2" customHeight="1" x14ac:dyDescent="0.25">
      <c r="A142" s="1665"/>
      <c r="B142" s="1521"/>
      <c r="C142" s="84" t="s">
        <v>2633</v>
      </c>
      <c r="D142" s="179">
        <v>0</v>
      </c>
      <c r="E142" s="1548"/>
      <c r="F142" s="1660"/>
    </row>
    <row r="143" spans="1:6" ht="16.2" customHeight="1" thickBot="1" x14ac:dyDescent="0.3">
      <c r="A143" s="1666"/>
      <c r="B143" s="1523"/>
      <c r="C143" s="115" t="s">
        <v>2634</v>
      </c>
      <c r="D143" s="180">
        <v>0</v>
      </c>
      <c r="E143" s="1549"/>
      <c r="F143" s="1661"/>
    </row>
    <row r="144" spans="1:6" ht="45" customHeight="1" thickBot="1" x14ac:dyDescent="0.3">
      <c r="A144" s="1522" t="s">
        <v>304</v>
      </c>
      <c r="B144" s="1522" t="s">
        <v>543</v>
      </c>
      <c r="C144" s="531" t="s">
        <v>2632</v>
      </c>
      <c r="D144" s="765"/>
      <c r="E144" s="1694" t="s">
        <v>1455</v>
      </c>
      <c r="F144" s="1703"/>
    </row>
    <row r="145" spans="1:6" ht="16.2" customHeight="1" x14ac:dyDescent="0.25">
      <c r="A145" s="1665"/>
      <c r="B145" s="1521"/>
      <c r="C145" s="136" t="s">
        <v>1933</v>
      </c>
      <c r="D145" s="176">
        <v>0</v>
      </c>
      <c r="E145" s="1695"/>
      <c r="F145" s="1704"/>
    </row>
    <row r="146" spans="1:6" ht="16.2" customHeight="1" x14ac:dyDescent="0.25">
      <c r="A146" s="1665"/>
      <c r="B146" s="1521"/>
      <c r="C146" s="137" t="s">
        <v>1850</v>
      </c>
      <c r="D146" s="177">
        <v>0</v>
      </c>
      <c r="E146" s="1695"/>
      <c r="F146" s="1704"/>
    </row>
    <row r="147" spans="1:6" ht="16.2" customHeight="1" thickBot="1" x14ac:dyDescent="0.3">
      <c r="A147" s="1666"/>
      <c r="B147" s="1523"/>
      <c r="C147" s="142" t="s">
        <v>1934</v>
      </c>
      <c r="D147" s="178">
        <v>0</v>
      </c>
      <c r="E147" s="1696"/>
      <c r="F147" s="1705"/>
    </row>
    <row r="148" spans="1:6" ht="33" customHeight="1" thickBot="1" x14ac:dyDescent="0.3">
      <c r="A148" s="1671" t="s">
        <v>2396</v>
      </c>
      <c r="B148" s="1672"/>
      <c r="C148" s="1673"/>
      <c r="D148" s="767"/>
      <c r="E148" s="534"/>
      <c r="F148" s="704"/>
    </row>
    <row r="149" spans="1:6" s="3" customFormat="1" ht="30" customHeight="1" thickBot="1" x14ac:dyDescent="0.3">
      <c r="A149" s="1662" t="s">
        <v>305</v>
      </c>
      <c r="B149" s="1662" t="s">
        <v>544</v>
      </c>
      <c r="C149" s="4" t="s">
        <v>2728</v>
      </c>
      <c r="D149" s="766"/>
      <c r="E149" s="1547" t="s">
        <v>2503</v>
      </c>
      <c r="F149" s="1659"/>
    </row>
    <row r="150" spans="1:6" s="3" customFormat="1" ht="16.2" customHeight="1" x14ac:dyDescent="0.25">
      <c r="A150" s="1667"/>
      <c r="B150" s="1663"/>
      <c r="C150" s="112" t="s">
        <v>1846</v>
      </c>
      <c r="D150" s="171">
        <v>0</v>
      </c>
      <c r="E150" s="1548"/>
      <c r="F150" s="1660"/>
    </row>
    <row r="151" spans="1:6" s="3" customFormat="1" ht="16.2" customHeight="1" x14ac:dyDescent="0.25">
      <c r="A151" s="1667"/>
      <c r="B151" s="1663"/>
      <c r="C151" s="84" t="s">
        <v>2218</v>
      </c>
      <c r="D151" s="171">
        <v>0</v>
      </c>
      <c r="E151" s="1548"/>
      <c r="F151" s="1660"/>
    </row>
    <row r="152" spans="1:6" s="3" customFormat="1" ht="16.2" customHeight="1" x14ac:dyDescent="0.25">
      <c r="A152" s="1667"/>
      <c r="B152" s="1663"/>
      <c r="C152" s="84" t="s">
        <v>2217</v>
      </c>
      <c r="D152" s="171">
        <v>0</v>
      </c>
      <c r="E152" s="1548"/>
      <c r="F152" s="1660"/>
    </row>
    <row r="153" spans="1:6" s="3" customFormat="1" ht="16.2" customHeight="1" x14ac:dyDescent="0.25">
      <c r="A153" s="1667"/>
      <c r="B153" s="1663"/>
      <c r="C153" s="84" t="s">
        <v>2219</v>
      </c>
      <c r="D153" s="171">
        <v>0</v>
      </c>
      <c r="E153" s="1548"/>
      <c r="F153" s="1660"/>
    </row>
    <row r="154" spans="1:6" s="3" customFormat="1" ht="16.2" customHeight="1" x14ac:dyDescent="0.25">
      <c r="A154" s="1667"/>
      <c r="B154" s="1663"/>
      <c r="C154" s="84" t="s">
        <v>2397</v>
      </c>
      <c r="D154" s="171">
        <v>0</v>
      </c>
      <c r="E154" s="1548"/>
      <c r="F154" s="1660"/>
    </row>
    <row r="155" spans="1:6" s="3" customFormat="1" ht="16.2" customHeight="1" thickBot="1" x14ac:dyDescent="0.3">
      <c r="A155" s="1668"/>
      <c r="B155" s="1664"/>
      <c r="C155" s="115" t="s">
        <v>1847</v>
      </c>
      <c r="D155" s="172">
        <v>0</v>
      </c>
      <c r="E155" s="1549"/>
      <c r="F155" s="1661"/>
    </row>
    <row r="156" spans="1:6" s="3" customFormat="1" ht="40.5" customHeight="1" thickBot="1" x14ac:dyDescent="0.3">
      <c r="A156" s="1662" t="s">
        <v>306</v>
      </c>
      <c r="B156" s="1662" t="s">
        <v>545</v>
      </c>
      <c r="C156" s="4" t="s">
        <v>2401</v>
      </c>
      <c r="D156" s="766"/>
      <c r="E156" s="1547" t="s">
        <v>1987</v>
      </c>
      <c r="F156" s="1659"/>
    </row>
    <row r="157" spans="1:6" s="3" customFormat="1" ht="16.2" customHeight="1" x14ac:dyDescent="0.25">
      <c r="A157" s="1667"/>
      <c r="B157" s="1663"/>
      <c r="C157" s="112" t="s">
        <v>330</v>
      </c>
      <c r="D157" s="171">
        <v>0</v>
      </c>
      <c r="E157" s="1548"/>
      <c r="F157" s="1660"/>
    </row>
    <row r="158" spans="1:6" s="3" customFormat="1" ht="16.2" customHeight="1" x14ac:dyDescent="0.25">
      <c r="A158" s="1667"/>
      <c r="B158" s="1663"/>
      <c r="C158" s="84" t="s">
        <v>2362</v>
      </c>
      <c r="D158" s="171">
        <v>0</v>
      </c>
      <c r="E158" s="1548"/>
      <c r="F158" s="1660"/>
    </row>
    <row r="159" spans="1:6" s="3" customFormat="1" ht="16.2" customHeight="1" x14ac:dyDescent="0.25">
      <c r="A159" s="1667"/>
      <c r="B159" s="1663"/>
      <c r="C159" s="84" t="s">
        <v>2363</v>
      </c>
      <c r="D159" s="171">
        <v>0</v>
      </c>
      <c r="E159" s="1548"/>
      <c r="F159" s="1660"/>
    </row>
    <row r="160" spans="1:6" s="3" customFormat="1" ht="16.2" customHeight="1" x14ac:dyDescent="0.25">
      <c r="A160" s="1667"/>
      <c r="B160" s="1663"/>
      <c r="C160" s="84" t="s">
        <v>2364</v>
      </c>
      <c r="D160" s="171">
        <v>0</v>
      </c>
      <c r="E160" s="1548"/>
      <c r="F160" s="1660"/>
    </row>
    <row r="161" spans="1:6" s="3" customFormat="1" ht="16.2" customHeight="1" x14ac:dyDescent="0.25">
      <c r="A161" s="1667"/>
      <c r="B161" s="1663"/>
      <c r="C161" s="84" t="s">
        <v>2751</v>
      </c>
      <c r="D161" s="171">
        <v>0</v>
      </c>
      <c r="E161" s="1548"/>
      <c r="F161" s="1660"/>
    </row>
    <row r="162" spans="1:6" s="3" customFormat="1" ht="16.2" customHeight="1" thickBot="1" x14ac:dyDescent="0.3">
      <c r="A162" s="1668"/>
      <c r="B162" s="1664"/>
      <c r="C162" s="115" t="s">
        <v>2752</v>
      </c>
      <c r="D162" s="172">
        <v>0</v>
      </c>
      <c r="E162" s="1549"/>
      <c r="F162" s="1661"/>
    </row>
    <row r="163" spans="1:6" s="3" customFormat="1" ht="21" customHeight="1" thickBot="1" x14ac:dyDescent="0.3">
      <c r="A163" s="1662" t="s">
        <v>307</v>
      </c>
      <c r="B163" s="1662" t="s">
        <v>2672</v>
      </c>
      <c r="C163" s="4" t="s">
        <v>2729</v>
      </c>
      <c r="D163" s="766"/>
      <c r="E163" s="1547" t="s">
        <v>1442</v>
      </c>
      <c r="F163" s="1659"/>
    </row>
    <row r="164" spans="1:6" s="3" customFormat="1" ht="16.2" customHeight="1" x14ac:dyDescent="0.25">
      <c r="A164" s="1667"/>
      <c r="B164" s="1663"/>
      <c r="C164" s="112" t="s">
        <v>2402</v>
      </c>
      <c r="D164" s="179">
        <v>0</v>
      </c>
      <c r="E164" s="1548"/>
      <c r="F164" s="1660"/>
    </row>
    <row r="165" spans="1:6" s="3" customFormat="1" ht="16.2" customHeight="1" x14ac:dyDescent="0.25">
      <c r="A165" s="1667"/>
      <c r="B165" s="1663"/>
      <c r="C165" s="84" t="s">
        <v>2403</v>
      </c>
      <c r="D165" s="171">
        <v>0</v>
      </c>
      <c r="E165" s="1548"/>
      <c r="F165" s="1660"/>
    </row>
    <row r="166" spans="1:6" s="3" customFormat="1" ht="16.2" customHeight="1" x14ac:dyDescent="0.25">
      <c r="A166" s="1667"/>
      <c r="B166" s="1663"/>
      <c r="C166" s="84" t="s">
        <v>1935</v>
      </c>
      <c r="D166" s="171">
        <v>0</v>
      </c>
      <c r="E166" s="1548"/>
      <c r="F166" s="1660"/>
    </row>
    <row r="167" spans="1:6" s="3" customFormat="1" ht="16.2" customHeight="1" thickBot="1" x14ac:dyDescent="0.3">
      <c r="A167" s="1668"/>
      <c r="B167" s="1664"/>
      <c r="C167" s="115" t="s">
        <v>1936</v>
      </c>
      <c r="D167" s="172">
        <v>0</v>
      </c>
      <c r="E167" s="1549"/>
      <c r="F167" s="1661"/>
    </row>
    <row r="168" spans="1:6" s="3" customFormat="1" ht="30" customHeight="1" thickBot="1" x14ac:dyDescent="0.3">
      <c r="A168" s="1662" t="s">
        <v>308</v>
      </c>
      <c r="B168" s="1662" t="s">
        <v>2673</v>
      </c>
      <c r="C168" s="4" t="s">
        <v>773</v>
      </c>
      <c r="D168" s="765"/>
      <c r="E168" s="1547" t="s">
        <v>2412</v>
      </c>
      <c r="F168" s="1659"/>
    </row>
    <row r="169" spans="1:6" s="3" customFormat="1" ht="16.2" customHeight="1" x14ac:dyDescent="0.25">
      <c r="A169" s="1667"/>
      <c r="B169" s="1663"/>
      <c r="C169" s="112" t="s">
        <v>1937</v>
      </c>
      <c r="D169" s="170">
        <v>0</v>
      </c>
      <c r="E169" s="1548"/>
      <c r="F169" s="1660"/>
    </row>
    <row r="170" spans="1:6" s="3" customFormat="1" ht="16.2" customHeight="1" x14ac:dyDescent="0.25">
      <c r="A170" s="1667"/>
      <c r="B170" s="1663"/>
      <c r="C170" s="84" t="s">
        <v>1938</v>
      </c>
      <c r="D170" s="179">
        <v>0</v>
      </c>
      <c r="E170" s="1548"/>
      <c r="F170" s="1660"/>
    </row>
    <row r="171" spans="1:6" s="3" customFormat="1" ht="16.2" customHeight="1" x14ac:dyDescent="0.25">
      <c r="A171" s="1667"/>
      <c r="B171" s="1663"/>
      <c r="C171" s="84" t="s">
        <v>1939</v>
      </c>
      <c r="D171" s="171">
        <v>0</v>
      </c>
      <c r="E171" s="1548"/>
      <c r="F171" s="1660"/>
    </row>
    <row r="172" spans="1:6" s="3" customFormat="1" ht="16.2" customHeight="1" x14ac:dyDescent="0.25">
      <c r="A172" s="1667"/>
      <c r="B172" s="1663"/>
      <c r="C172" s="84" t="s">
        <v>1940</v>
      </c>
      <c r="D172" s="171">
        <v>0</v>
      </c>
      <c r="E172" s="1548"/>
      <c r="F172" s="1660"/>
    </row>
    <row r="173" spans="1:6" s="3" customFormat="1" ht="16.2" customHeight="1" thickBot="1" x14ac:dyDescent="0.3">
      <c r="A173" s="1668"/>
      <c r="B173" s="1664"/>
      <c r="C173" s="115" t="s">
        <v>1941</v>
      </c>
      <c r="D173" s="172">
        <v>0</v>
      </c>
      <c r="E173" s="1549"/>
      <c r="F173" s="1661"/>
    </row>
    <row r="174" spans="1:6" s="3" customFormat="1" ht="41.25" customHeight="1" thickBot="1" x14ac:dyDescent="0.3">
      <c r="A174" s="1669" t="s">
        <v>309</v>
      </c>
      <c r="B174" s="1522" t="s">
        <v>546</v>
      </c>
      <c r="C174" s="531" t="s">
        <v>2411</v>
      </c>
      <c r="D174" s="766"/>
      <c r="E174" s="1547" t="s">
        <v>2504</v>
      </c>
      <c r="F174" s="1659"/>
    </row>
    <row r="175" spans="1:6" s="3" customFormat="1" ht="16.2" customHeight="1" x14ac:dyDescent="0.25">
      <c r="A175" s="1665"/>
      <c r="B175" s="1521"/>
      <c r="C175" s="136" t="s">
        <v>1942</v>
      </c>
      <c r="D175" s="171">
        <v>0</v>
      </c>
      <c r="E175" s="1548"/>
      <c r="F175" s="1660"/>
    </row>
    <row r="176" spans="1:6" s="3" customFormat="1" ht="16.2" customHeight="1" x14ac:dyDescent="0.25">
      <c r="A176" s="1665"/>
      <c r="B176" s="1521"/>
      <c r="C176" s="137" t="s">
        <v>2404</v>
      </c>
      <c r="D176" s="171">
        <v>0</v>
      </c>
      <c r="E176" s="1548"/>
      <c r="F176" s="1660"/>
    </row>
    <row r="177" spans="1:6" s="3" customFormat="1" ht="16.2" customHeight="1" x14ac:dyDescent="0.25">
      <c r="A177" s="1665"/>
      <c r="B177" s="1521"/>
      <c r="C177" s="137" t="s">
        <v>2222</v>
      </c>
      <c r="D177" s="171">
        <v>0</v>
      </c>
      <c r="E177" s="1548"/>
      <c r="F177" s="1660"/>
    </row>
    <row r="178" spans="1:6" s="3" customFormat="1" ht="16.2" customHeight="1" x14ac:dyDescent="0.25">
      <c r="A178" s="1665"/>
      <c r="B178" s="1521"/>
      <c r="C178" s="137" t="s">
        <v>2353</v>
      </c>
      <c r="D178" s="171">
        <v>0</v>
      </c>
      <c r="E178" s="1548"/>
      <c r="F178" s="1660"/>
    </row>
    <row r="179" spans="1:6" s="3" customFormat="1" ht="16.2" customHeight="1" thickBot="1" x14ac:dyDescent="0.3">
      <c r="A179" s="1666"/>
      <c r="B179" s="1523"/>
      <c r="C179" s="142" t="s">
        <v>1847</v>
      </c>
      <c r="D179" s="180">
        <v>0</v>
      </c>
      <c r="E179" s="1549"/>
      <c r="F179" s="1661"/>
    </row>
    <row r="180" spans="1:6" s="3" customFormat="1" ht="21" customHeight="1" thickBot="1" x14ac:dyDescent="0.3">
      <c r="A180" s="1669" t="s">
        <v>310</v>
      </c>
      <c r="B180" s="1522" t="s">
        <v>547</v>
      </c>
      <c r="C180" s="4" t="s">
        <v>2413</v>
      </c>
      <c r="D180" s="766"/>
      <c r="E180" s="1547" t="s">
        <v>2505</v>
      </c>
      <c r="F180" s="1659"/>
    </row>
    <row r="181" spans="1:6" s="3" customFormat="1" ht="42" customHeight="1" x14ac:dyDescent="0.25">
      <c r="A181" s="1665"/>
      <c r="B181" s="1521"/>
      <c r="C181" s="112" t="s">
        <v>2405</v>
      </c>
      <c r="D181" s="171">
        <v>0</v>
      </c>
      <c r="E181" s="1548"/>
      <c r="F181" s="1660"/>
    </row>
    <row r="182" spans="1:6" s="3" customFormat="1" ht="27" customHeight="1" x14ac:dyDescent="0.25">
      <c r="A182" s="1665"/>
      <c r="B182" s="1521"/>
      <c r="C182" s="84" t="s">
        <v>2406</v>
      </c>
      <c r="D182" s="171">
        <v>0</v>
      </c>
      <c r="E182" s="1548"/>
      <c r="F182" s="1660"/>
    </row>
    <row r="183" spans="1:6" s="3" customFormat="1" ht="27" customHeight="1" x14ac:dyDescent="0.25">
      <c r="A183" s="1665"/>
      <c r="B183" s="1521"/>
      <c r="C183" s="84" t="s">
        <v>2407</v>
      </c>
      <c r="D183" s="171">
        <v>0</v>
      </c>
      <c r="E183" s="1548"/>
      <c r="F183" s="1660"/>
    </row>
    <row r="184" spans="1:6" s="3" customFormat="1" ht="16.2" customHeight="1" x14ac:dyDescent="0.25">
      <c r="A184" s="1665"/>
      <c r="B184" s="1521"/>
      <c r="C184" s="84" t="s">
        <v>2320</v>
      </c>
      <c r="D184" s="171">
        <v>0</v>
      </c>
      <c r="E184" s="1548"/>
      <c r="F184" s="1660"/>
    </row>
    <row r="185" spans="1:6" s="3" customFormat="1" ht="16.2" customHeight="1" thickBot="1" x14ac:dyDescent="0.3">
      <c r="A185" s="1666"/>
      <c r="B185" s="1523"/>
      <c r="C185" s="115" t="s">
        <v>368</v>
      </c>
      <c r="D185" s="169">
        <v>0</v>
      </c>
      <c r="E185" s="1549"/>
      <c r="F185" s="1661"/>
    </row>
    <row r="186" spans="1:6" s="3" customFormat="1" ht="30" customHeight="1" thickBot="1" x14ac:dyDescent="0.3">
      <c r="A186" s="1669" t="s">
        <v>311</v>
      </c>
      <c r="B186" s="1522" t="s">
        <v>548</v>
      </c>
      <c r="C186" s="4" t="s">
        <v>2409</v>
      </c>
      <c r="D186" s="766"/>
      <c r="E186" s="1547" t="s">
        <v>2730</v>
      </c>
      <c r="F186" s="1659"/>
    </row>
    <row r="187" spans="1:6" s="3" customFormat="1" ht="27" customHeight="1" x14ac:dyDescent="0.25">
      <c r="A187" s="1665"/>
      <c r="B187" s="1521"/>
      <c r="C187" s="112" t="s">
        <v>2408</v>
      </c>
      <c r="D187" s="171">
        <v>0</v>
      </c>
      <c r="E187" s="1548"/>
      <c r="F187" s="1660"/>
    </row>
    <row r="188" spans="1:6" s="3" customFormat="1" ht="16.2" customHeight="1" x14ac:dyDescent="0.25">
      <c r="A188" s="1665"/>
      <c r="B188" s="1521"/>
      <c r="C188" s="84" t="s">
        <v>1850</v>
      </c>
      <c r="D188" s="171">
        <v>0</v>
      </c>
      <c r="E188" s="1548"/>
      <c r="F188" s="1660"/>
    </row>
    <row r="189" spans="1:6" s="3" customFormat="1" ht="16.2" customHeight="1" thickBot="1" x14ac:dyDescent="0.3">
      <c r="A189" s="1666"/>
      <c r="B189" s="1523"/>
      <c r="C189" s="115" t="s">
        <v>1851</v>
      </c>
      <c r="D189" s="172">
        <v>0</v>
      </c>
      <c r="E189" s="1549"/>
      <c r="F189" s="1661"/>
    </row>
    <row r="190" spans="1:6" s="3" customFormat="1" ht="30" customHeight="1" thickBot="1" x14ac:dyDescent="0.3">
      <c r="A190" s="1522" t="s">
        <v>312</v>
      </c>
      <c r="B190" s="1522" t="s">
        <v>1988</v>
      </c>
      <c r="C190" s="4" t="s">
        <v>2635</v>
      </c>
      <c r="D190" s="766"/>
      <c r="E190" s="1622" t="s">
        <v>2506</v>
      </c>
      <c r="F190" s="1568"/>
    </row>
    <row r="191" spans="1:6" s="3" customFormat="1" ht="16.2" customHeight="1" x14ac:dyDescent="0.25">
      <c r="A191" s="1665"/>
      <c r="B191" s="1521"/>
      <c r="C191" s="112" t="s">
        <v>437</v>
      </c>
      <c r="D191" s="168">
        <v>0</v>
      </c>
      <c r="E191" s="1623"/>
      <c r="F191" s="1569"/>
    </row>
    <row r="192" spans="1:6" s="3" customFormat="1" ht="16.2" customHeight="1" x14ac:dyDescent="0.25">
      <c r="A192" s="1665"/>
      <c r="B192" s="1521"/>
      <c r="C192" s="84" t="s">
        <v>327</v>
      </c>
      <c r="D192" s="168">
        <v>0</v>
      </c>
      <c r="E192" s="1623"/>
      <c r="F192" s="1569"/>
    </row>
    <row r="193" spans="1:6" s="3" customFormat="1" ht="27" customHeight="1" x14ac:dyDescent="0.25">
      <c r="A193" s="1665"/>
      <c r="B193" s="1521"/>
      <c r="C193" s="84" t="s">
        <v>226</v>
      </c>
      <c r="D193" s="168">
        <v>0</v>
      </c>
      <c r="E193" s="1623"/>
      <c r="F193" s="1569"/>
    </row>
    <row r="194" spans="1:6" s="3" customFormat="1" ht="16.2" customHeight="1" thickBot="1" x14ac:dyDescent="0.3">
      <c r="A194" s="1666"/>
      <c r="B194" s="1523"/>
      <c r="C194" s="115" t="s">
        <v>326</v>
      </c>
      <c r="D194" s="169">
        <v>0</v>
      </c>
      <c r="E194" s="1624"/>
      <c r="F194" s="1570"/>
    </row>
    <row r="195" spans="1:6" s="3" customFormat="1" ht="45" customHeight="1" thickBot="1" x14ac:dyDescent="0.3">
      <c r="A195" s="1669" t="s">
        <v>313</v>
      </c>
      <c r="B195" s="1651" t="s">
        <v>644</v>
      </c>
      <c r="C195" s="4" t="s">
        <v>2410</v>
      </c>
      <c r="D195" s="766"/>
      <c r="E195" s="1547" t="s">
        <v>2731</v>
      </c>
      <c r="F195" s="1659"/>
    </row>
    <row r="196" spans="1:6" s="3" customFormat="1" ht="16.2" customHeight="1" x14ac:dyDescent="0.25">
      <c r="A196" s="1665"/>
      <c r="B196" s="1652"/>
      <c r="C196" s="134" t="s">
        <v>1943</v>
      </c>
      <c r="D196" s="179">
        <v>0</v>
      </c>
      <c r="E196" s="1548"/>
      <c r="F196" s="1660"/>
    </row>
    <row r="197" spans="1:6" s="3" customFormat="1" ht="16.2" customHeight="1" x14ac:dyDescent="0.25">
      <c r="A197" s="1665"/>
      <c r="B197" s="1652"/>
      <c r="C197" s="135" t="s">
        <v>1944</v>
      </c>
      <c r="D197" s="179">
        <v>0</v>
      </c>
      <c r="E197" s="1548"/>
      <c r="F197" s="1660"/>
    </row>
    <row r="198" spans="1:6" s="3" customFormat="1" ht="16.2" customHeight="1" x14ac:dyDescent="0.25">
      <c r="A198" s="1665"/>
      <c r="B198" s="1652"/>
      <c r="C198" s="135" t="s">
        <v>1945</v>
      </c>
      <c r="D198" s="179">
        <v>0</v>
      </c>
      <c r="E198" s="1548"/>
      <c r="F198" s="1660"/>
    </row>
    <row r="199" spans="1:6" s="3" customFormat="1" ht="16.2" customHeight="1" x14ac:dyDescent="0.25">
      <c r="A199" s="1665"/>
      <c r="B199" s="1652"/>
      <c r="C199" s="135" t="s">
        <v>1946</v>
      </c>
      <c r="D199" s="179">
        <v>0</v>
      </c>
      <c r="E199" s="1548"/>
      <c r="F199" s="1660"/>
    </row>
    <row r="200" spans="1:6" s="3" customFormat="1" ht="16.2" customHeight="1" x14ac:dyDescent="0.25">
      <c r="A200" s="1665"/>
      <c r="B200" s="1652"/>
      <c r="C200" s="84" t="s">
        <v>1856</v>
      </c>
      <c r="D200" s="179">
        <v>0</v>
      </c>
      <c r="E200" s="1548"/>
      <c r="F200" s="1660"/>
    </row>
    <row r="201" spans="1:6" s="3" customFormat="1" ht="16.2" customHeight="1" thickBot="1" x14ac:dyDescent="0.3">
      <c r="A201" s="1666"/>
      <c r="B201" s="1653"/>
      <c r="C201" s="143" t="s">
        <v>1947</v>
      </c>
      <c r="D201" s="180">
        <v>0</v>
      </c>
      <c r="E201" s="1549"/>
      <c r="F201" s="1661"/>
    </row>
    <row r="202" spans="1:6" s="3" customFormat="1" ht="45" customHeight="1" thickBot="1" x14ac:dyDescent="0.3">
      <c r="A202" s="114" t="s">
        <v>314</v>
      </c>
      <c r="B202" s="4" t="s">
        <v>2674</v>
      </c>
      <c r="C202" s="127" t="s">
        <v>2732</v>
      </c>
      <c r="D202" s="181">
        <v>0</v>
      </c>
      <c r="E202" s="4" t="s">
        <v>1456</v>
      </c>
      <c r="F202" s="689"/>
    </row>
    <row r="203" spans="1:6" s="3" customFormat="1" ht="26.25" customHeight="1" thickBot="1" x14ac:dyDescent="0.3">
      <c r="A203" s="1522" t="s">
        <v>315</v>
      </c>
      <c r="B203" s="1522" t="s">
        <v>549</v>
      </c>
      <c r="C203" s="4" t="s">
        <v>2675</v>
      </c>
      <c r="D203" s="765"/>
      <c r="E203" s="1547" t="s">
        <v>2507</v>
      </c>
      <c r="F203" s="1659"/>
    </row>
    <row r="204" spans="1:6" s="3" customFormat="1" ht="16.2" customHeight="1" x14ac:dyDescent="0.25">
      <c r="A204" s="1665"/>
      <c r="B204" s="1521"/>
      <c r="C204" s="112" t="s">
        <v>1948</v>
      </c>
      <c r="D204" s="170">
        <v>0</v>
      </c>
      <c r="E204" s="1548"/>
      <c r="F204" s="1660"/>
    </row>
    <row r="205" spans="1:6" s="3" customFormat="1" ht="16.2" customHeight="1" x14ac:dyDescent="0.25">
      <c r="A205" s="1665"/>
      <c r="B205" s="1521"/>
      <c r="C205" s="84" t="s">
        <v>1949</v>
      </c>
      <c r="D205" s="171">
        <v>0</v>
      </c>
      <c r="E205" s="1548"/>
      <c r="F205" s="1660"/>
    </row>
    <row r="206" spans="1:6" s="3" customFormat="1" ht="16.2" customHeight="1" thickBot="1" x14ac:dyDescent="0.3">
      <c r="A206" s="1666"/>
      <c r="B206" s="1523"/>
      <c r="C206" s="118" t="s">
        <v>1950</v>
      </c>
      <c r="D206" s="172">
        <v>0</v>
      </c>
      <c r="E206" s="1549"/>
      <c r="F206" s="1661"/>
    </row>
    <row r="207" spans="1:6" s="3" customFormat="1" ht="21" customHeight="1" thickBot="1" x14ac:dyDescent="0.3">
      <c r="A207" s="1539" t="s">
        <v>316</v>
      </c>
      <c r="B207" s="1522" t="s">
        <v>550</v>
      </c>
      <c r="C207" s="4" t="s">
        <v>2636</v>
      </c>
      <c r="D207" s="766"/>
      <c r="E207" s="1547" t="s">
        <v>2593</v>
      </c>
      <c r="F207" s="1659"/>
    </row>
    <row r="208" spans="1:6" s="3" customFormat="1" ht="16.2" customHeight="1" x14ac:dyDescent="0.25">
      <c r="A208" s="1665"/>
      <c r="B208" s="1521"/>
      <c r="C208" s="112" t="s">
        <v>2325</v>
      </c>
      <c r="D208" s="179">
        <v>0</v>
      </c>
      <c r="E208" s="1548"/>
      <c r="F208" s="1660"/>
    </row>
    <row r="209" spans="1:6" s="3" customFormat="1" ht="27" customHeight="1" x14ac:dyDescent="0.25">
      <c r="A209" s="1665"/>
      <c r="B209" s="1521"/>
      <c r="C209" s="84" t="s">
        <v>2414</v>
      </c>
      <c r="D209" s="171">
        <v>0</v>
      </c>
      <c r="E209" s="1548"/>
      <c r="F209" s="1660"/>
    </row>
    <row r="210" spans="1:6" s="3" customFormat="1" ht="26.25" customHeight="1" x14ac:dyDescent="0.25">
      <c r="A210" s="1665"/>
      <c r="B210" s="1521"/>
      <c r="C210" s="84" t="s">
        <v>571</v>
      </c>
      <c r="D210" s="179">
        <v>0</v>
      </c>
      <c r="E210" s="1548"/>
      <c r="F210" s="1660"/>
    </row>
    <row r="211" spans="1:6" s="3" customFormat="1" ht="29.25" customHeight="1" thickBot="1" x14ac:dyDescent="0.3">
      <c r="A211" s="1666"/>
      <c r="B211" s="1523"/>
      <c r="C211" s="115" t="s">
        <v>144</v>
      </c>
      <c r="D211" s="169">
        <v>0</v>
      </c>
      <c r="E211" s="1549"/>
      <c r="F211" s="1661"/>
    </row>
    <row r="212" spans="1:6" s="3" customFormat="1" ht="42.75" customHeight="1" thickBot="1" x14ac:dyDescent="0.3">
      <c r="A212" s="1539" t="s">
        <v>317</v>
      </c>
      <c r="B212" s="1522" t="s">
        <v>560</v>
      </c>
      <c r="C212" s="114" t="s">
        <v>2637</v>
      </c>
      <c r="D212" s="766"/>
      <c r="E212" s="1547" t="s">
        <v>2508</v>
      </c>
      <c r="F212" s="1659"/>
    </row>
    <row r="213" spans="1:6" s="3" customFormat="1" ht="16.2" customHeight="1" x14ac:dyDescent="0.25">
      <c r="A213" s="1665"/>
      <c r="B213" s="1521"/>
      <c r="C213" s="138" t="s">
        <v>1772</v>
      </c>
      <c r="D213" s="179">
        <v>0</v>
      </c>
      <c r="E213" s="1548"/>
      <c r="F213" s="1660"/>
    </row>
    <row r="214" spans="1:6" s="3" customFormat="1" ht="16.2" customHeight="1" x14ac:dyDescent="0.25">
      <c r="A214" s="1665"/>
      <c r="B214" s="1521"/>
      <c r="C214" s="138" t="s">
        <v>1773</v>
      </c>
      <c r="D214" s="171">
        <v>0</v>
      </c>
      <c r="E214" s="1548"/>
      <c r="F214" s="1660"/>
    </row>
    <row r="215" spans="1:6" s="3" customFormat="1" ht="16.2" customHeight="1" x14ac:dyDescent="0.25">
      <c r="A215" s="1665"/>
      <c r="B215" s="1521"/>
      <c r="C215" s="138" t="s">
        <v>2416</v>
      </c>
      <c r="D215" s="171">
        <v>0</v>
      </c>
      <c r="E215" s="1548"/>
      <c r="F215" s="1660"/>
    </row>
    <row r="216" spans="1:6" s="3" customFormat="1" ht="16.2" customHeight="1" x14ac:dyDescent="0.25">
      <c r="A216" s="1665"/>
      <c r="B216" s="1521"/>
      <c r="C216" s="139" t="s">
        <v>2221</v>
      </c>
      <c r="D216" s="171">
        <v>0</v>
      </c>
      <c r="E216" s="1548"/>
      <c r="F216" s="1660"/>
    </row>
    <row r="217" spans="1:6" s="3" customFormat="1" ht="16.2" customHeight="1" x14ac:dyDescent="0.25">
      <c r="A217" s="1665"/>
      <c r="B217" s="1521"/>
      <c r="C217" s="84" t="s">
        <v>2415</v>
      </c>
      <c r="D217" s="171">
        <v>0</v>
      </c>
      <c r="E217" s="1548"/>
      <c r="F217" s="1660"/>
    </row>
    <row r="218" spans="1:6" s="3" customFormat="1" ht="16.2" customHeight="1" thickBot="1" x14ac:dyDescent="0.3">
      <c r="A218" s="1666"/>
      <c r="B218" s="1523"/>
      <c r="C218" s="117" t="s">
        <v>1782</v>
      </c>
      <c r="D218" s="172">
        <v>0</v>
      </c>
      <c r="E218" s="1549"/>
      <c r="F218" s="1661"/>
    </row>
    <row r="219" spans="1:6" s="3" customFormat="1" ht="30" customHeight="1" thickBot="1" x14ac:dyDescent="0.3">
      <c r="A219" s="1522" t="s">
        <v>318</v>
      </c>
      <c r="B219" s="1522" t="s">
        <v>561</v>
      </c>
      <c r="C219" s="4" t="s">
        <v>2639</v>
      </c>
      <c r="D219" s="766"/>
      <c r="E219" s="1547" t="s">
        <v>2509</v>
      </c>
      <c r="F219" s="1659"/>
    </row>
    <row r="220" spans="1:6" s="3" customFormat="1" ht="16.2" customHeight="1" x14ac:dyDescent="0.25">
      <c r="A220" s="1665"/>
      <c r="B220" s="1521"/>
      <c r="C220" s="84" t="s">
        <v>1846</v>
      </c>
      <c r="D220" s="179">
        <v>0</v>
      </c>
      <c r="E220" s="1548"/>
      <c r="F220" s="1660"/>
    </row>
    <row r="221" spans="1:6" s="3" customFormat="1" ht="16.2" customHeight="1" x14ac:dyDescent="0.25">
      <c r="A221" s="1665"/>
      <c r="B221" s="1521"/>
      <c r="C221" s="139" t="s">
        <v>2222</v>
      </c>
      <c r="D221" s="171">
        <v>0</v>
      </c>
      <c r="E221" s="1548"/>
      <c r="F221" s="1660"/>
    </row>
    <row r="222" spans="1:6" s="3" customFormat="1" ht="16.2" customHeight="1" x14ac:dyDescent="0.25">
      <c r="A222" s="1665"/>
      <c r="B222" s="1521"/>
      <c r="C222" s="84" t="s">
        <v>2353</v>
      </c>
      <c r="D222" s="179">
        <v>0</v>
      </c>
      <c r="E222" s="1548"/>
      <c r="F222" s="1660"/>
    </row>
    <row r="223" spans="1:6" s="3" customFormat="1" ht="16.2" customHeight="1" thickBot="1" x14ac:dyDescent="0.3">
      <c r="A223" s="1666"/>
      <c r="B223" s="1523"/>
      <c r="C223" s="117" t="s">
        <v>1234</v>
      </c>
      <c r="D223" s="172">
        <v>0</v>
      </c>
      <c r="E223" s="1549"/>
      <c r="F223" s="1661"/>
    </row>
    <row r="224" spans="1:6" s="3" customFormat="1" ht="28.5" customHeight="1" thickBot="1" x14ac:dyDescent="0.3">
      <c r="A224" s="1669" t="s">
        <v>319</v>
      </c>
      <c r="B224" s="1522" t="s">
        <v>551</v>
      </c>
      <c r="C224" s="4" t="s">
        <v>2643</v>
      </c>
      <c r="D224" s="766"/>
      <c r="E224" s="1547" t="s">
        <v>2510</v>
      </c>
      <c r="F224" s="1659"/>
    </row>
    <row r="225" spans="1:6" s="3" customFormat="1" ht="16.2" customHeight="1" x14ac:dyDescent="0.25">
      <c r="A225" s="1665"/>
      <c r="B225" s="1521"/>
      <c r="C225" s="112" t="s">
        <v>1862</v>
      </c>
      <c r="D225" s="171">
        <v>0</v>
      </c>
      <c r="E225" s="1548"/>
      <c r="F225" s="1660"/>
    </row>
    <row r="226" spans="1:6" s="3" customFormat="1" ht="16.2" customHeight="1" x14ac:dyDescent="0.25">
      <c r="A226" s="1665"/>
      <c r="B226" s="1521"/>
      <c r="C226" s="84" t="s">
        <v>1951</v>
      </c>
      <c r="D226" s="171">
        <v>0</v>
      </c>
      <c r="E226" s="1548"/>
      <c r="F226" s="1660"/>
    </row>
    <row r="227" spans="1:6" s="3" customFormat="1" ht="16.2" customHeight="1" x14ac:dyDescent="0.25">
      <c r="A227" s="1665"/>
      <c r="B227" s="1521"/>
      <c r="C227" s="84" t="s">
        <v>1864</v>
      </c>
      <c r="D227" s="179">
        <v>0</v>
      </c>
      <c r="E227" s="1548"/>
      <c r="F227" s="1660"/>
    </row>
    <row r="228" spans="1:6" s="3" customFormat="1" ht="16.2" customHeight="1" thickBot="1" x14ac:dyDescent="0.3">
      <c r="A228" s="1666"/>
      <c r="B228" s="1523"/>
      <c r="C228" s="115" t="s">
        <v>1866</v>
      </c>
      <c r="D228" s="172">
        <v>0</v>
      </c>
      <c r="E228" s="1549"/>
      <c r="F228" s="1661"/>
    </row>
    <row r="229" spans="1:6" s="3" customFormat="1" ht="21" customHeight="1" thickBot="1" x14ac:dyDescent="0.3">
      <c r="A229" s="1522" t="s">
        <v>320</v>
      </c>
      <c r="B229" s="1522" t="s">
        <v>552</v>
      </c>
      <c r="C229" s="4" t="s">
        <v>2324</v>
      </c>
      <c r="D229" s="766"/>
      <c r="E229" s="1547" t="s">
        <v>2511</v>
      </c>
      <c r="F229" s="1659"/>
    </row>
    <row r="230" spans="1:6" s="3" customFormat="1" ht="16.2" customHeight="1" x14ac:dyDescent="0.25">
      <c r="A230" s="1665"/>
      <c r="B230" s="1521"/>
      <c r="C230" s="112" t="s">
        <v>1952</v>
      </c>
      <c r="D230" s="179">
        <v>0</v>
      </c>
      <c r="E230" s="1548"/>
      <c r="F230" s="1660"/>
    </row>
    <row r="231" spans="1:6" s="3" customFormat="1" ht="16.2" customHeight="1" x14ac:dyDescent="0.25">
      <c r="A231" s="1665"/>
      <c r="B231" s="1521"/>
      <c r="C231" s="84" t="s">
        <v>1953</v>
      </c>
      <c r="D231" s="179">
        <v>0</v>
      </c>
      <c r="E231" s="1548"/>
      <c r="F231" s="1660"/>
    </row>
    <row r="232" spans="1:6" s="3" customFormat="1" ht="16.2" customHeight="1" thickBot="1" x14ac:dyDescent="0.3">
      <c r="A232" s="1666"/>
      <c r="B232" s="1523"/>
      <c r="C232" s="115" t="s">
        <v>2640</v>
      </c>
      <c r="D232" s="172">
        <v>0</v>
      </c>
      <c r="E232" s="1549"/>
      <c r="F232" s="1661"/>
    </row>
    <row r="233" spans="1:6" s="3" customFormat="1" ht="44.25" customHeight="1" thickBot="1" x14ac:dyDescent="0.3">
      <c r="A233" s="114" t="s">
        <v>321</v>
      </c>
      <c r="B233" s="114" t="s">
        <v>629</v>
      </c>
      <c r="C233" s="127" t="s">
        <v>2641</v>
      </c>
      <c r="D233" s="182">
        <v>0</v>
      </c>
      <c r="E233" s="114" t="s">
        <v>1437</v>
      </c>
      <c r="F233" s="697"/>
    </row>
    <row r="234" spans="1:6" s="3" customFormat="1" ht="42.75" customHeight="1" thickBot="1" x14ac:dyDescent="0.3">
      <c r="A234" s="114" t="s">
        <v>322</v>
      </c>
      <c r="B234" s="4" t="s">
        <v>553</v>
      </c>
      <c r="C234" s="127" t="s">
        <v>2738</v>
      </c>
      <c r="D234" s="181">
        <v>0</v>
      </c>
      <c r="E234" s="4" t="s">
        <v>2421</v>
      </c>
      <c r="F234" s="689"/>
    </row>
    <row r="235" spans="1:6" s="3" customFormat="1" ht="43.5" customHeight="1" thickBot="1" x14ac:dyDescent="0.3">
      <c r="A235" s="114" t="s">
        <v>323</v>
      </c>
      <c r="B235" s="4" t="s">
        <v>554</v>
      </c>
      <c r="C235" s="127" t="s">
        <v>2739</v>
      </c>
      <c r="D235" s="181">
        <v>0</v>
      </c>
      <c r="E235" s="4" t="s">
        <v>2419</v>
      </c>
      <c r="F235" s="689"/>
    </row>
    <row r="236" spans="1:6" s="3" customFormat="1" ht="45" customHeight="1" thickBot="1" x14ac:dyDescent="0.3">
      <c r="A236" s="114" t="s">
        <v>324</v>
      </c>
      <c r="B236" s="4" t="s">
        <v>555</v>
      </c>
      <c r="C236" s="127" t="s">
        <v>2740</v>
      </c>
      <c r="D236" s="181">
        <v>0</v>
      </c>
      <c r="E236" s="4" t="s">
        <v>1437</v>
      </c>
      <c r="F236" s="689"/>
    </row>
    <row r="237" spans="1:6" s="3" customFormat="1" ht="45" customHeight="1" thickBot="1" x14ac:dyDescent="0.3">
      <c r="A237" s="290" t="s">
        <v>628</v>
      </c>
      <c r="B237" s="4" t="s">
        <v>556</v>
      </c>
      <c r="C237" s="127" t="s">
        <v>2423</v>
      </c>
      <c r="D237" s="181">
        <v>0</v>
      </c>
      <c r="E237" s="4" t="s">
        <v>1457</v>
      </c>
      <c r="F237" s="689"/>
    </row>
  </sheetData>
  <sheetProtection password="C74A" sheet="1" objects="1" scenarios="1" formatCells="0" formatColumns="0" insertColumns="0"/>
  <sortState xmlns:xlrd2="http://schemas.microsoft.com/office/spreadsheetml/2017/richdata2" columnSort="1" ref="E1:GV236">
    <sortCondition descending="1" ref="E4:GV4"/>
  </sortState>
  <mergeCells count="165">
    <mergeCell ref="F212:F218"/>
    <mergeCell ref="F219:F223"/>
    <mergeCell ref="F224:F228"/>
    <mergeCell ref="F229:F232"/>
    <mergeCell ref="F163:F167"/>
    <mergeCell ref="F168:F173"/>
    <mergeCell ref="F174:F179"/>
    <mergeCell ref="F180:F185"/>
    <mergeCell ref="F186:F189"/>
    <mergeCell ref="F190:F194"/>
    <mergeCell ref="F195:F201"/>
    <mergeCell ref="F203:F206"/>
    <mergeCell ref="F207:F211"/>
    <mergeCell ref="F108:F111"/>
    <mergeCell ref="F112:F117"/>
    <mergeCell ref="F118:F128"/>
    <mergeCell ref="F129:F134"/>
    <mergeCell ref="F135:F139"/>
    <mergeCell ref="F140:F143"/>
    <mergeCell ref="F144:F147"/>
    <mergeCell ref="F149:F155"/>
    <mergeCell ref="F156:F162"/>
    <mergeCell ref="F57:F63"/>
    <mergeCell ref="F64:F68"/>
    <mergeCell ref="F69:F72"/>
    <mergeCell ref="F73:F77"/>
    <mergeCell ref="F78:F83"/>
    <mergeCell ref="F84:F89"/>
    <mergeCell ref="F90:F95"/>
    <mergeCell ref="F96:F101"/>
    <mergeCell ref="F102:F107"/>
    <mergeCell ref="F5:F8"/>
    <mergeCell ref="F9:F14"/>
    <mergeCell ref="F15:F22"/>
    <mergeCell ref="F23:F29"/>
    <mergeCell ref="F30:F36"/>
    <mergeCell ref="F37:F41"/>
    <mergeCell ref="F42:F46"/>
    <mergeCell ref="F47:F50"/>
    <mergeCell ref="F51:F56"/>
    <mergeCell ref="A1:B1"/>
    <mergeCell ref="D1:E1"/>
    <mergeCell ref="E219:E223"/>
    <mergeCell ref="E224:E228"/>
    <mergeCell ref="E229:E232"/>
    <mergeCell ref="E190:E194"/>
    <mergeCell ref="E195:E201"/>
    <mergeCell ref="E203:E206"/>
    <mergeCell ref="E207:E211"/>
    <mergeCell ref="E212:E218"/>
    <mergeCell ref="E163:E167"/>
    <mergeCell ref="E168:E173"/>
    <mergeCell ref="E174:E179"/>
    <mergeCell ref="E180:E185"/>
    <mergeCell ref="E186:E189"/>
    <mergeCell ref="E135:E139"/>
    <mergeCell ref="E140:E143"/>
    <mergeCell ref="E144:E147"/>
    <mergeCell ref="E149:E155"/>
    <mergeCell ref="E156:E162"/>
    <mergeCell ref="E102:E107"/>
    <mergeCell ref="E108:E111"/>
    <mergeCell ref="E112:E117"/>
    <mergeCell ref="E118:E128"/>
    <mergeCell ref="E129:E134"/>
    <mergeCell ref="E73:E77"/>
    <mergeCell ref="E78:E83"/>
    <mergeCell ref="E84:E89"/>
    <mergeCell ref="E90:E95"/>
    <mergeCell ref="E96:E101"/>
    <mergeCell ref="E47:E50"/>
    <mergeCell ref="E51:E56"/>
    <mergeCell ref="E57:E63"/>
    <mergeCell ref="E64:E68"/>
    <mergeCell ref="E69:E72"/>
    <mergeCell ref="D2:E2"/>
    <mergeCell ref="A2:B2"/>
    <mergeCell ref="B51:B56"/>
    <mergeCell ref="B23:B29"/>
    <mergeCell ref="B73:B77"/>
    <mergeCell ref="B42:B46"/>
    <mergeCell ref="B37:B41"/>
    <mergeCell ref="E15:E22"/>
    <mergeCell ref="E23:E29"/>
    <mergeCell ref="E30:E36"/>
    <mergeCell ref="E37:E41"/>
    <mergeCell ref="E42:E46"/>
    <mergeCell ref="E5:E8"/>
    <mergeCell ref="E9:E14"/>
    <mergeCell ref="B5:B8"/>
    <mergeCell ref="B9:B14"/>
    <mergeCell ref="A51:A56"/>
    <mergeCell ref="A47:A50"/>
    <mergeCell ref="A73:A77"/>
    <mergeCell ref="B57:B63"/>
    <mergeCell ref="B30:B36"/>
    <mergeCell ref="B47:B50"/>
    <mergeCell ref="A69:A72"/>
    <mergeCell ref="A42:A46"/>
    <mergeCell ref="A5:A8"/>
    <mergeCell ref="A9:A14"/>
    <mergeCell ref="A37:A41"/>
    <mergeCell ref="B15:B22"/>
    <mergeCell ref="B135:B139"/>
    <mergeCell ref="B140:B143"/>
    <mergeCell ref="B108:B111"/>
    <mergeCell ref="B112:B117"/>
    <mergeCell ref="B129:B134"/>
    <mergeCell ref="B118:B128"/>
    <mergeCell ref="A57:A63"/>
    <mergeCell ref="B96:B101"/>
    <mergeCell ref="A96:A101"/>
    <mergeCell ref="A102:A107"/>
    <mergeCell ref="A118:A128"/>
    <mergeCell ref="B102:B107"/>
    <mergeCell ref="B69:B72"/>
    <mergeCell ref="B78:B83"/>
    <mergeCell ref="A190:A194"/>
    <mergeCell ref="A195:A201"/>
    <mergeCell ref="A108:A111"/>
    <mergeCell ref="A112:A117"/>
    <mergeCell ref="A15:A22"/>
    <mergeCell ref="A174:A179"/>
    <mergeCell ref="A140:A143"/>
    <mergeCell ref="A180:A185"/>
    <mergeCell ref="A23:A29"/>
    <mergeCell ref="A64:A68"/>
    <mergeCell ref="A78:A83"/>
    <mergeCell ref="A30:A36"/>
    <mergeCell ref="A84:A89"/>
    <mergeCell ref="A90:A95"/>
    <mergeCell ref="A129:A134"/>
    <mergeCell ref="A156:A162"/>
    <mergeCell ref="A163:A167"/>
    <mergeCell ref="A168:A173"/>
    <mergeCell ref="A148:C148"/>
    <mergeCell ref="B144:B147"/>
    <mergeCell ref="A144:A147"/>
    <mergeCell ref="B64:B68"/>
    <mergeCell ref="B84:B89"/>
    <mergeCell ref="B90:B95"/>
    <mergeCell ref="B156:B162"/>
    <mergeCell ref="B163:B167"/>
    <mergeCell ref="A135:A139"/>
    <mergeCell ref="B149:B155"/>
    <mergeCell ref="A149:A155"/>
    <mergeCell ref="A229:A232"/>
    <mergeCell ref="A207:A211"/>
    <mergeCell ref="A212:A218"/>
    <mergeCell ref="A219:A223"/>
    <mergeCell ref="A224:A228"/>
    <mergeCell ref="B229:B232"/>
    <mergeCell ref="B168:B173"/>
    <mergeCell ref="B180:B185"/>
    <mergeCell ref="B207:B211"/>
    <mergeCell ref="B190:B194"/>
    <mergeCell ref="B212:B218"/>
    <mergeCell ref="B203:B206"/>
    <mergeCell ref="B224:B228"/>
    <mergeCell ref="B219:B223"/>
    <mergeCell ref="B174:B179"/>
    <mergeCell ref="B186:B189"/>
    <mergeCell ref="B195:B201"/>
    <mergeCell ref="A203:A206"/>
    <mergeCell ref="A186:A189"/>
  </mergeCells>
  <conditionalFormatting sqref="E229">
    <cfRule type="cellIs" dxfId="3" priority="37" stopIfTrue="1" operator="equal">
      <formula>1</formula>
    </cfRule>
  </conditionalFormatting>
  <conditionalFormatting sqref="F229">
    <cfRule type="cellIs" dxfId="2" priority="1" stopIfTrue="1" operator="equal">
      <formula>1</formula>
    </cfRule>
  </conditionalFormatting>
  <dataValidations count="2">
    <dataValidation type="whole" allowBlank="1" showInputMessage="1" showErrorMessage="1" error="enter 0 or 1" sqref="D65543:D65545 D786439:D786441 D851975:D851977 D131079:D131081 D196615:D196617 D262151:D262153 D327687:D327689 D393223:D393225 D917511:D917513 D458759:D458761 D524295:D524297 D589831:D589833 D655367:D655369 D720903:D720905 D983047:D983049" xr:uid="{00000000-0002-0000-0300-000000000000}">
      <formula1>0</formula1>
      <formula2>1</formula2>
    </dataValidation>
    <dataValidation type="whole" allowBlank="1" showInputMessage="1" showErrorMessage="1" sqref="D327826:D327828 D393362:D393364 D262290:D262292 D524434:D524436 D458898:D458900 D655506:D655508 D721042:D721044 D786578:D786580 D852114:D852116 D917650:D917652 D983186:D983188 D131218:D131220 D589970:D589972 D65682:D65684 D196754:D196756 D48:D117 D4:D41 D43:D46 D119:D147 D149:D237" xr:uid="{00000000-0002-0000-0300-000001000000}">
      <formula1>0</formula1>
      <formula2>1</formula2>
    </dataValidation>
  </dataValidations>
  <pageMargins left="0.7" right="0.7" top="0.75" bottom="0.75" header="0.3" footer="0.3"/>
  <pageSetup paperSize="5" scale="70" orientation="landscape" r:id="rId1"/>
  <rowBreaks count="5" manualBreakCount="5">
    <brk id="29" max="5" man="1"/>
    <brk id="63" max="5" man="1"/>
    <brk id="139" max="5" man="1"/>
    <brk id="173" max="5" man="1"/>
    <brk id="20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tabColor indexed="10"/>
    <pageSetUpPr fitToPage="1"/>
  </sheetPr>
  <dimension ref="A1:J86"/>
  <sheetViews>
    <sheetView zoomScaleNormal="100" workbookViewId="0">
      <selection sqref="A1:B1"/>
    </sheetView>
  </sheetViews>
  <sheetFormatPr defaultColWidth="9.33203125" defaultRowHeight="13.8" x14ac:dyDescent="0.25"/>
  <cols>
    <col min="1" max="1" width="4.77734375" style="152" customWidth="1"/>
    <col min="2" max="2" width="75.77734375" style="19" customWidth="1"/>
    <col min="3" max="5" width="38.77734375" style="19" customWidth="1"/>
    <col min="6" max="6" width="9.77734375" style="20" customWidth="1"/>
    <col min="7" max="7" width="50.77734375" style="19" customWidth="1"/>
    <col min="8" max="16384" width="9.33203125" style="19"/>
  </cols>
  <sheetData>
    <row r="1" spans="1:10" ht="21" customHeight="1" thickBot="1" x14ac:dyDescent="0.3">
      <c r="A1" s="1554" t="s">
        <v>1495</v>
      </c>
      <c r="B1" s="1555"/>
      <c r="C1" s="1556" t="s">
        <v>1510</v>
      </c>
      <c r="D1" s="1647"/>
      <c r="E1" s="1754" t="s">
        <v>102</v>
      </c>
      <c r="F1" s="1755"/>
      <c r="G1" s="768"/>
    </row>
    <row r="2" spans="1:10" ht="30" customHeight="1" thickBot="1" x14ac:dyDescent="0.3">
      <c r="A2" s="1751" t="s">
        <v>1786</v>
      </c>
      <c r="B2" s="1752"/>
      <c r="C2" s="1752"/>
      <c r="D2" s="1752"/>
      <c r="E2" s="1752"/>
      <c r="F2" s="538" t="s">
        <v>115</v>
      </c>
      <c r="G2" s="538" t="s">
        <v>2233</v>
      </c>
      <c r="H2"/>
      <c r="I2"/>
      <c r="J2"/>
    </row>
    <row r="3" spans="1:10" ht="21" customHeight="1" thickBot="1" x14ac:dyDescent="0.3">
      <c r="A3" s="1706" t="s">
        <v>1578</v>
      </c>
      <c r="B3" s="1748" t="s">
        <v>1741</v>
      </c>
      <c r="C3" s="1749"/>
      <c r="D3" s="1749"/>
      <c r="E3" s="1750"/>
      <c r="F3" s="536"/>
      <c r="G3" s="1756"/>
    </row>
    <row r="4" spans="1:10" ht="30" customHeight="1" thickBot="1" x14ac:dyDescent="0.3">
      <c r="A4" s="1714"/>
      <c r="B4" s="1716" t="s">
        <v>2330</v>
      </c>
      <c r="C4" s="1736"/>
      <c r="D4" s="1736"/>
      <c r="E4" s="1737"/>
      <c r="F4" s="537"/>
      <c r="G4" s="1757"/>
    </row>
    <row r="5" spans="1:10" ht="16.2" customHeight="1" x14ac:dyDescent="0.25">
      <c r="A5" s="1714"/>
      <c r="B5" s="1723" t="s">
        <v>2029</v>
      </c>
      <c r="C5" s="1746"/>
      <c r="D5" s="1746"/>
      <c r="E5" s="1747"/>
      <c r="F5" s="85"/>
      <c r="G5" s="1757"/>
    </row>
    <row r="6" spans="1:10" ht="16.2" customHeight="1" x14ac:dyDescent="0.25">
      <c r="A6" s="1714"/>
      <c r="B6" s="1733" t="s">
        <v>2030</v>
      </c>
      <c r="C6" s="1734"/>
      <c r="D6" s="1734"/>
      <c r="E6" s="1735"/>
      <c r="F6" s="85"/>
      <c r="G6" s="1757"/>
    </row>
    <row r="7" spans="1:10" ht="16.2" customHeight="1" x14ac:dyDescent="0.25">
      <c r="A7" s="1714"/>
      <c r="B7" s="1734" t="s">
        <v>2031</v>
      </c>
      <c r="C7" s="1734"/>
      <c r="D7" s="1734"/>
      <c r="E7" s="1735"/>
      <c r="F7" s="85"/>
      <c r="G7" s="1757"/>
    </row>
    <row r="8" spans="1:10" ht="16.2" customHeight="1" x14ac:dyDescent="0.25">
      <c r="A8" s="1714"/>
      <c r="B8" s="1709" t="s">
        <v>2032</v>
      </c>
      <c r="C8" s="1710"/>
      <c r="D8" s="1710"/>
      <c r="E8" s="1711"/>
      <c r="F8" s="85"/>
      <c r="G8" s="1757"/>
    </row>
    <row r="9" spans="1:10" ht="16.2" customHeight="1" thickBot="1" x14ac:dyDescent="0.3">
      <c r="A9" s="1714"/>
      <c r="B9" s="1709" t="s">
        <v>2033</v>
      </c>
      <c r="C9" s="1710"/>
      <c r="D9" s="1710"/>
      <c r="E9" s="1711"/>
      <c r="F9" s="85"/>
      <c r="G9" s="1757"/>
    </row>
    <row r="10" spans="1:10" ht="30" customHeight="1" thickBot="1" x14ac:dyDescent="0.3">
      <c r="A10" s="1714"/>
      <c r="B10" s="1716" t="s">
        <v>2331</v>
      </c>
      <c r="C10" s="1744"/>
      <c r="D10" s="1744"/>
      <c r="E10" s="1745"/>
      <c r="F10" s="769"/>
      <c r="G10" s="1757"/>
    </row>
    <row r="11" spans="1:10" ht="21" customHeight="1" thickBot="1" x14ac:dyDescent="0.3">
      <c r="A11" s="1714"/>
      <c r="B11" s="337"/>
      <c r="C11" s="340" t="s">
        <v>88</v>
      </c>
      <c r="D11" s="340" t="s">
        <v>89</v>
      </c>
      <c r="E11" s="340" t="s">
        <v>90</v>
      </c>
      <c r="F11" s="537"/>
      <c r="G11" s="1757"/>
    </row>
    <row r="12" spans="1:10" ht="18" customHeight="1" thickBot="1" x14ac:dyDescent="0.3">
      <c r="A12" s="1714"/>
      <c r="B12" s="357" t="s">
        <v>2035</v>
      </c>
      <c r="C12" s="354" t="s">
        <v>2085</v>
      </c>
      <c r="D12" s="355" t="s">
        <v>2089</v>
      </c>
      <c r="E12" s="356" t="s">
        <v>2092</v>
      </c>
      <c r="F12" s="24">
        <v>0</v>
      </c>
      <c r="G12" s="1757"/>
    </row>
    <row r="13" spans="1:10" ht="18" customHeight="1" thickBot="1" x14ac:dyDescent="0.3">
      <c r="A13" s="1714"/>
      <c r="B13" s="357" t="s">
        <v>2034</v>
      </c>
      <c r="C13" s="351" t="s">
        <v>2086</v>
      </c>
      <c r="D13" s="352" t="s">
        <v>2090</v>
      </c>
      <c r="E13" s="353" t="s">
        <v>2093</v>
      </c>
      <c r="F13" s="22">
        <v>0</v>
      </c>
      <c r="G13" s="1757"/>
    </row>
    <row r="14" spans="1:10" ht="30" customHeight="1" thickBot="1" x14ac:dyDescent="0.3">
      <c r="A14" s="1714"/>
      <c r="B14" s="411" t="s">
        <v>180</v>
      </c>
      <c r="C14" s="409"/>
      <c r="D14" s="410"/>
      <c r="E14" s="410"/>
      <c r="F14" s="770"/>
      <c r="G14" s="1757"/>
    </row>
    <row r="15" spans="1:10" ht="18" customHeight="1" thickBot="1" x14ac:dyDescent="0.3">
      <c r="A15" s="1714"/>
      <c r="B15" s="357" t="s">
        <v>2036</v>
      </c>
      <c r="C15" s="349" t="s">
        <v>2087</v>
      </c>
      <c r="D15" s="28" t="s">
        <v>2091</v>
      </c>
      <c r="E15" s="350" t="s">
        <v>2094</v>
      </c>
      <c r="F15" s="22">
        <v>0</v>
      </c>
      <c r="G15" s="1757"/>
    </row>
    <row r="16" spans="1:10" ht="18" customHeight="1" thickBot="1" x14ac:dyDescent="0.3">
      <c r="A16" s="1714"/>
      <c r="B16" s="405" t="s">
        <v>2037</v>
      </c>
      <c r="C16" s="406" t="s">
        <v>2088</v>
      </c>
      <c r="D16" s="407" t="s">
        <v>1850</v>
      </c>
      <c r="E16" s="360" t="s">
        <v>2095</v>
      </c>
      <c r="F16" s="23">
        <v>0</v>
      </c>
      <c r="G16" s="1757"/>
    </row>
    <row r="17" spans="1:7" ht="21" customHeight="1" thickBot="1" x14ac:dyDescent="0.3">
      <c r="A17" s="1714"/>
      <c r="B17" s="1741"/>
      <c r="C17" s="1742"/>
      <c r="D17" s="1743"/>
      <c r="E17" s="401" t="s">
        <v>2027</v>
      </c>
      <c r="F17" s="771">
        <f>SUM(F12:F16)</f>
        <v>0</v>
      </c>
      <c r="G17" s="1757"/>
    </row>
    <row r="18" spans="1:7" ht="21" customHeight="1" thickBot="1" x14ac:dyDescent="0.3">
      <c r="A18" s="1715"/>
      <c r="B18" s="1753"/>
      <c r="C18" s="1720"/>
      <c r="D18" s="1720"/>
      <c r="E18" s="408" t="s">
        <v>2028</v>
      </c>
      <c r="F18" s="772">
        <f>F17/12</f>
        <v>0</v>
      </c>
      <c r="G18" s="1758"/>
    </row>
    <row r="19" spans="1:7" ht="21" customHeight="1" thickBot="1" x14ac:dyDescent="0.3">
      <c r="A19" s="1706" t="s">
        <v>1579</v>
      </c>
      <c r="B19" s="1738" t="s">
        <v>522</v>
      </c>
      <c r="C19" s="1739"/>
      <c r="D19" s="1739"/>
      <c r="E19" s="1740"/>
      <c r="F19" s="773"/>
      <c r="G19" s="1756"/>
    </row>
    <row r="20" spans="1:7" ht="18" customHeight="1" thickBot="1" x14ac:dyDescent="0.3">
      <c r="A20" s="1707"/>
      <c r="B20" s="1716" t="s">
        <v>2334</v>
      </c>
      <c r="C20" s="1717"/>
      <c r="D20" s="1717"/>
      <c r="E20" s="1718"/>
      <c r="F20" s="774"/>
      <c r="G20" s="1759"/>
    </row>
    <row r="21" spans="1:7" ht="16.2" customHeight="1" x14ac:dyDescent="0.25">
      <c r="A21" s="1707"/>
      <c r="B21" s="1723" t="s">
        <v>2038</v>
      </c>
      <c r="C21" s="1724"/>
      <c r="D21" s="1724"/>
      <c r="E21" s="1725"/>
      <c r="F21" s="85"/>
      <c r="G21" s="1759"/>
    </row>
    <row r="22" spans="1:7" ht="16.2" customHeight="1" x14ac:dyDescent="0.25">
      <c r="A22" s="1707"/>
      <c r="B22" s="1709" t="s">
        <v>2039</v>
      </c>
      <c r="C22" s="1710"/>
      <c r="D22" s="1710"/>
      <c r="E22" s="1711"/>
      <c r="F22" s="85"/>
      <c r="G22" s="1759"/>
    </row>
    <row r="23" spans="1:7" ht="16.2" customHeight="1" x14ac:dyDescent="0.25">
      <c r="A23" s="1707"/>
      <c r="B23" s="1709" t="s">
        <v>2040</v>
      </c>
      <c r="C23" s="1710"/>
      <c r="D23" s="1710"/>
      <c r="E23" s="1711"/>
      <c r="F23" s="85"/>
      <c r="G23" s="1759"/>
    </row>
    <row r="24" spans="1:7" ht="16.2" customHeight="1" x14ac:dyDescent="0.25">
      <c r="A24" s="1707"/>
      <c r="B24" s="1709" t="s">
        <v>2041</v>
      </c>
      <c r="C24" s="1710"/>
      <c r="D24" s="1710"/>
      <c r="E24" s="1711"/>
      <c r="F24" s="85"/>
      <c r="G24" s="1759"/>
    </row>
    <row r="25" spans="1:7" ht="16.2" customHeight="1" thickBot="1" x14ac:dyDescent="0.3">
      <c r="A25" s="1707"/>
      <c r="B25" s="1709" t="s">
        <v>2042</v>
      </c>
      <c r="C25" s="1710"/>
      <c r="D25" s="1710"/>
      <c r="E25" s="1711"/>
      <c r="F25" s="85"/>
      <c r="G25" s="1759"/>
    </row>
    <row r="26" spans="1:7" ht="30" customHeight="1" thickBot="1" x14ac:dyDescent="0.3">
      <c r="A26" s="1707"/>
      <c r="B26" s="1716" t="s">
        <v>2332</v>
      </c>
      <c r="C26" s="1744"/>
      <c r="D26" s="1744"/>
      <c r="E26" s="1745"/>
      <c r="F26" s="775"/>
      <c r="G26" s="1759"/>
    </row>
    <row r="27" spans="1:7" s="18" customFormat="1" ht="21" customHeight="1" thickBot="1" x14ac:dyDescent="0.3">
      <c r="A27" s="1707"/>
      <c r="B27" s="341"/>
      <c r="C27" s="340" t="s">
        <v>88</v>
      </c>
      <c r="D27" s="76" t="s">
        <v>89</v>
      </c>
      <c r="E27" s="76" t="s">
        <v>90</v>
      </c>
      <c r="F27" s="775"/>
      <c r="G27" s="1759"/>
    </row>
    <row r="28" spans="1:7" s="18" customFormat="1" ht="30" customHeight="1" thickBot="1" x14ac:dyDescent="0.3">
      <c r="A28" s="1707"/>
      <c r="B28" s="273" t="s">
        <v>2043</v>
      </c>
      <c r="C28" s="354" t="s">
        <v>2096</v>
      </c>
      <c r="D28" s="355" t="s">
        <v>2099</v>
      </c>
      <c r="E28" s="356" t="s">
        <v>2102</v>
      </c>
      <c r="F28" s="25">
        <v>0</v>
      </c>
      <c r="G28" s="1759"/>
    </row>
    <row r="29" spans="1:7" s="18" customFormat="1" ht="18" customHeight="1" thickBot="1" x14ac:dyDescent="0.3">
      <c r="A29" s="1707"/>
      <c r="B29" s="273" t="s">
        <v>2044</v>
      </c>
      <c r="C29" s="349" t="s">
        <v>2097</v>
      </c>
      <c r="D29" s="28" t="s">
        <v>2100</v>
      </c>
      <c r="E29" s="350" t="s">
        <v>2103</v>
      </c>
      <c r="F29" s="26">
        <v>0</v>
      </c>
      <c r="G29" s="1759"/>
    </row>
    <row r="30" spans="1:7" s="18" customFormat="1" ht="18" customHeight="1" thickBot="1" x14ac:dyDescent="0.3">
      <c r="A30" s="1707"/>
      <c r="B30" s="273" t="s">
        <v>2045</v>
      </c>
      <c r="C30" s="351" t="s">
        <v>2098</v>
      </c>
      <c r="D30" s="352" t="s">
        <v>2101</v>
      </c>
      <c r="E30" s="353" t="s">
        <v>2104</v>
      </c>
      <c r="F30" s="27">
        <v>0</v>
      </c>
      <c r="G30" s="1759"/>
    </row>
    <row r="31" spans="1:7" s="18" customFormat="1" ht="21" customHeight="1" thickBot="1" x14ac:dyDescent="0.3">
      <c r="A31" s="1707"/>
      <c r="B31" s="1726"/>
      <c r="C31" s="1726"/>
      <c r="D31" s="1727"/>
      <c r="E31" s="403" t="s">
        <v>2027</v>
      </c>
      <c r="F31" s="771">
        <f>SUM(F28:F30)</f>
        <v>0</v>
      </c>
      <c r="G31" s="1759"/>
    </row>
    <row r="32" spans="1:7" ht="21" customHeight="1" thickBot="1" x14ac:dyDescent="0.3">
      <c r="A32" s="1708"/>
      <c r="B32" s="1719"/>
      <c r="C32" s="1720"/>
      <c r="D32" s="1720"/>
      <c r="E32" s="404" t="s">
        <v>2028</v>
      </c>
      <c r="F32" s="772">
        <f>F31/9</f>
        <v>0</v>
      </c>
      <c r="G32" s="1760"/>
    </row>
    <row r="33" spans="1:7" ht="21" customHeight="1" thickBot="1" x14ac:dyDescent="0.3">
      <c r="A33" s="1706" t="s">
        <v>1580</v>
      </c>
      <c r="B33" s="1732" t="s">
        <v>2046</v>
      </c>
      <c r="C33" s="1721"/>
      <c r="D33" s="1721"/>
      <c r="E33" s="1722"/>
      <c r="F33" s="773"/>
      <c r="G33" s="1756"/>
    </row>
    <row r="34" spans="1:7" ht="18" customHeight="1" thickBot="1" x14ac:dyDescent="0.3">
      <c r="A34" s="1707"/>
      <c r="B34" s="1716" t="s">
        <v>2335</v>
      </c>
      <c r="C34" s="1717"/>
      <c r="D34" s="1717"/>
      <c r="E34" s="1718"/>
      <c r="F34" s="774"/>
      <c r="G34" s="1759"/>
    </row>
    <row r="35" spans="1:7" ht="16.2" customHeight="1" x14ac:dyDescent="0.25">
      <c r="A35" s="1707"/>
      <c r="B35" s="1723" t="s">
        <v>2047</v>
      </c>
      <c r="C35" s="1724"/>
      <c r="D35" s="1724"/>
      <c r="E35" s="1725"/>
      <c r="F35" s="85"/>
      <c r="G35" s="1759"/>
    </row>
    <row r="36" spans="1:7" ht="16.2" customHeight="1" x14ac:dyDescent="0.25">
      <c r="A36" s="1707"/>
      <c r="B36" s="1709" t="s">
        <v>2048</v>
      </c>
      <c r="C36" s="1710"/>
      <c r="D36" s="1710"/>
      <c r="E36" s="1711"/>
      <c r="F36" s="85"/>
      <c r="G36" s="1759"/>
    </row>
    <row r="37" spans="1:7" ht="16.2" customHeight="1" x14ac:dyDescent="0.25">
      <c r="A37" s="1707"/>
      <c r="B37" s="1730" t="s">
        <v>2049</v>
      </c>
      <c r="C37" s="1730"/>
      <c r="D37" s="1730"/>
      <c r="E37" s="1731"/>
      <c r="F37" s="85"/>
      <c r="G37" s="1759"/>
    </row>
    <row r="38" spans="1:7" ht="16.2" customHeight="1" x14ac:dyDescent="0.25">
      <c r="A38" s="1707"/>
      <c r="B38" s="1709" t="s">
        <v>2050</v>
      </c>
      <c r="C38" s="1710"/>
      <c r="D38" s="1710"/>
      <c r="E38" s="1711"/>
      <c r="F38" s="85"/>
      <c r="G38" s="1759"/>
    </row>
    <row r="39" spans="1:7" ht="16.2" customHeight="1" x14ac:dyDescent="0.25">
      <c r="A39" s="1707"/>
      <c r="B39" s="1709" t="s">
        <v>2051</v>
      </c>
      <c r="C39" s="1710"/>
      <c r="D39" s="1710"/>
      <c r="E39" s="1711"/>
      <c r="F39" s="85"/>
      <c r="G39" s="1759"/>
    </row>
    <row r="40" spans="1:7" ht="16.2" customHeight="1" x14ac:dyDescent="0.25">
      <c r="A40" s="1707"/>
      <c r="B40" s="1709" t="s">
        <v>2052</v>
      </c>
      <c r="C40" s="1710"/>
      <c r="D40" s="1710"/>
      <c r="E40" s="1711"/>
      <c r="F40" s="85"/>
      <c r="G40" s="1759"/>
    </row>
    <row r="41" spans="1:7" ht="16.2" customHeight="1" x14ac:dyDescent="0.25">
      <c r="A41" s="1707"/>
      <c r="B41" s="1709" t="s">
        <v>2053</v>
      </c>
      <c r="C41" s="1710"/>
      <c r="D41" s="1710"/>
      <c r="E41" s="1711"/>
      <c r="F41" s="85"/>
      <c r="G41" s="1759"/>
    </row>
    <row r="42" spans="1:7" ht="16.2" customHeight="1" x14ac:dyDescent="0.25">
      <c r="A42" s="1707"/>
      <c r="B42" s="1709" t="s">
        <v>2054</v>
      </c>
      <c r="C42" s="1710"/>
      <c r="D42" s="1710"/>
      <c r="E42" s="1711"/>
      <c r="F42" s="85"/>
      <c r="G42" s="1759"/>
    </row>
    <row r="43" spans="1:7" ht="16.2" customHeight="1" thickBot="1" x14ac:dyDescent="0.3">
      <c r="A43" s="1707"/>
      <c r="B43" s="1709" t="s">
        <v>2055</v>
      </c>
      <c r="C43" s="1710"/>
      <c r="D43" s="1710"/>
      <c r="E43" s="1711"/>
      <c r="F43" s="85"/>
      <c r="G43" s="1759"/>
    </row>
    <row r="44" spans="1:7" ht="30" customHeight="1" thickBot="1" x14ac:dyDescent="0.3">
      <c r="A44" s="1707"/>
      <c r="B44" s="1716" t="s">
        <v>2333</v>
      </c>
      <c r="C44" s="1717"/>
      <c r="D44" s="1717"/>
      <c r="E44" s="1718"/>
      <c r="F44" s="775"/>
      <c r="G44" s="1759"/>
    </row>
    <row r="45" spans="1:7" s="18" customFormat="1" ht="21" customHeight="1" thickBot="1" x14ac:dyDescent="0.3">
      <c r="A45" s="1707"/>
      <c r="B45" s="341"/>
      <c r="C45" s="346" t="s">
        <v>88</v>
      </c>
      <c r="D45" s="347" t="s">
        <v>89</v>
      </c>
      <c r="E45" s="348" t="s">
        <v>90</v>
      </c>
      <c r="F45" s="775"/>
      <c r="G45" s="1759"/>
    </row>
    <row r="46" spans="1:7" s="18" customFormat="1" ht="39" customHeight="1" thickBot="1" x14ac:dyDescent="0.3">
      <c r="A46" s="1707"/>
      <c r="B46" s="338" t="s">
        <v>2056</v>
      </c>
      <c r="C46" s="349" t="s">
        <v>2105</v>
      </c>
      <c r="D46" s="28" t="s">
        <v>2106</v>
      </c>
      <c r="E46" s="350" t="s">
        <v>2107</v>
      </c>
      <c r="F46" s="343">
        <v>0</v>
      </c>
      <c r="G46" s="1759"/>
    </row>
    <row r="47" spans="1:7" s="18" customFormat="1" ht="18" customHeight="1" thickBot="1" x14ac:dyDescent="0.3">
      <c r="A47" s="1707"/>
      <c r="B47" s="338" t="s">
        <v>2044</v>
      </c>
      <c r="C47" s="349" t="s">
        <v>2097</v>
      </c>
      <c r="D47" s="28" t="s">
        <v>2100</v>
      </c>
      <c r="E47" s="350" t="s">
        <v>2103</v>
      </c>
      <c r="F47" s="344">
        <v>0</v>
      </c>
      <c r="G47" s="1759"/>
    </row>
    <row r="48" spans="1:7" s="18" customFormat="1" ht="18" customHeight="1" thickBot="1" x14ac:dyDescent="0.3">
      <c r="A48" s="1707"/>
      <c r="B48" s="338" t="s">
        <v>2045</v>
      </c>
      <c r="C48" s="351" t="s">
        <v>2098</v>
      </c>
      <c r="D48" s="352" t="s">
        <v>2101</v>
      </c>
      <c r="E48" s="353" t="s">
        <v>2104</v>
      </c>
      <c r="F48" s="345">
        <v>0</v>
      </c>
      <c r="G48" s="1759"/>
    </row>
    <row r="49" spans="1:7" s="18" customFormat="1" ht="21" customHeight="1" thickBot="1" x14ac:dyDescent="0.3">
      <c r="A49" s="1707"/>
      <c r="B49" s="1726" t="s">
        <v>2057</v>
      </c>
      <c r="C49" s="1726"/>
      <c r="D49" s="1727"/>
      <c r="E49" s="403" t="s">
        <v>2027</v>
      </c>
      <c r="F49" s="771">
        <f>SUM(F46:F48)</f>
        <v>0</v>
      </c>
      <c r="G49" s="1759"/>
    </row>
    <row r="50" spans="1:7" ht="21" customHeight="1" thickBot="1" x14ac:dyDescent="0.3">
      <c r="A50" s="1708"/>
      <c r="B50" s="1719"/>
      <c r="C50" s="1720"/>
      <c r="D50" s="1720"/>
      <c r="E50" s="404" t="s">
        <v>2028</v>
      </c>
      <c r="F50" s="772">
        <f>F49/9</f>
        <v>0</v>
      </c>
      <c r="G50" s="1760"/>
    </row>
    <row r="51" spans="1:7" ht="21" customHeight="1" thickBot="1" x14ac:dyDescent="0.3">
      <c r="A51" s="1706" t="s">
        <v>1581</v>
      </c>
      <c r="B51" s="1712" t="s">
        <v>2058</v>
      </c>
      <c r="C51" s="1712"/>
      <c r="D51" s="1712"/>
      <c r="E51" s="1713"/>
      <c r="F51" s="776"/>
      <c r="G51" s="1756"/>
    </row>
    <row r="52" spans="1:7" ht="19.2" customHeight="1" thickBot="1" x14ac:dyDescent="0.3">
      <c r="A52" s="1714"/>
      <c r="B52" s="1716" t="s">
        <v>2336</v>
      </c>
      <c r="C52" s="1717"/>
      <c r="D52" s="1717"/>
      <c r="E52" s="1718"/>
      <c r="F52" s="775"/>
      <c r="G52" s="1757"/>
    </row>
    <row r="53" spans="1:7" ht="16.2" customHeight="1" x14ac:dyDescent="0.25">
      <c r="A53" s="1714"/>
      <c r="B53" s="1723" t="s">
        <v>2059</v>
      </c>
      <c r="C53" s="1724"/>
      <c r="D53" s="1724"/>
      <c r="E53" s="1725"/>
      <c r="F53" s="85"/>
      <c r="G53" s="1757"/>
    </row>
    <row r="54" spans="1:7" ht="16.2" customHeight="1" x14ac:dyDescent="0.25">
      <c r="A54" s="1714"/>
      <c r="B54" s="1709" t="s">
        <v>2060</v>
      </c>
      <c r="C54" s="1710"/>
      <c r="D54" s="1710"/>
      <c r="E54" s="1711"/>
      <c r="F54" s="85"/>
      <c r="G54" s="1757"/>
    </row>
    <row r="55" spans="1:7" ht="16.2" customHeight="1" x14ac:dyDescent="0.25">
      <c r="A55" s="1714"/>
      <c r="B55" s="1709" t="s">
        <v>2061</v>
      </c>
      <c r="C55" s="1710"/>
      <c r="D55" s="1710"/>
      <c r="E55" s="1711"/>
      <c r="F55" s="85"/>
      <c r="G55" s="1757"/>
    </row>
    <row r="56" spans="1:7" ht="16.2" customHeight="1" x14ac:dyDescent="0.25">
      <c r="A56" s="1714"/>
      <c r="B56" s="1709" t="s">
        <v>2062</v>
      </c>
      <c r="C56" s="1710"/>
      <c r="D56" s="1710"/>
      <c r="E56" s="1711"/>
      <c r="F56" s="85"/>
      <c r="G56" s="1757"/>
    </row>
    <row r="57" spans="1:7" ht="16.2" customHeight="1" x14ac:dyDescent="0.25">
      <c r="A57" s="1714"/>
      <c r="B57" s="1709" t="s">
        <v>2063</v>
      </c>
      <c r="C57" s="1710"/>
      <c r="D57" s="1710"/>
      <c r="E57" s="1711"/>
      <c r="F57" s="85"/>
      <c r="G57" s="1757"/>
    </row>
    <row r="58" spans="1:7" ht="16.2" customHeight="1" x14ac:dyDescent="0.25">
      <c r="A58" s="1714"/>
      <c r="B58" s="1709" t="s">
        <v>2064</v>
      </c>
      <c r="C58" s="1710"/>
      <c r="D58" s="1710"/>
      <c r="E58" s="1711"/>
      <c r="F58" s="85"/>
      <c r="G58" s="1757"/>
    </row>
    <row r="59" spans="1:7" ht="16.2" customHeight="1" x14ac:dyDescent="0.25">
      <c r="A59" s="1714"/>
      <c r="B59" s="1709" t="s">
        <v>2065</v>
      </c>
      <c r="C59" s="1710"/>
      <c r="D59" s="1710"/>
      <c r="E59" s="1711"/>
      <c r="F59" s="85"/>
      <c r="G59" s="1757"/>
    </row>
    <row r="60" spans="1:7" ht="16.2" customHeight="1" thickBot="1" x14ac:dyDescent="0.3">
      <c r="A60" s="1714"/>
      <c r="B60" s="1709" t="s">
        <v>2066</v>
      </c>
      <c r="C60" s="1710"/>
      <c r="D60" s="1710"/>
      <c r="E60" s="1711"/>
      <c r="F60" s="85"/>
      <c r="G60" s="1757"/>
    </row>
    <row r="61" spans="1:7" ht="30" customHeight="1" thickBot="1" x14ac:dyDescent="0.3">
      <c r="A61" s="1714"/>
      <c r="B61" s="1716" t="s">
        <v>2337</v>
      </c>
      <c r="C61" s="1717"/>
      <c r="D61" s="1717"/>
      <c r="E61" s="1718"/>
      <c r="F61" s="775"/>
      <c r="G61" s="1757"/>
    </row>
    <row r="62" spans="1:7" ht="21" customHeight="1" thickBot="1" x14ac:dyDescent="0.3">
      <c r="A62" s="1714"/>
      <c r="B62" s="342"/>
      <c r="C62" s="340" t="s">
        <v>88</v>
      </c>
      <c r="D62" s="76" t="s">
        <v>89</v>
      </c>
      <c r="E62" s="76" t="s">
        <v>90</v>
      </c>
      <c r="F62" s="775"/>
      <c r="G62" s="1757"/>
    </row>
    <row r="63" spans="1:7" ht="30" customHeight="1" thickBot="1" x14ac:dyDescent="0.3">
      <c r="A63" s="1714"/>
      <c r="B63" s="338" t="s">
        <v>2067</v>
      </c>
      <c r="C63" s="354" t="s">
        <v>2108</v>
      </c>
      <c r="D63" s="355" t="s">
        <v>2111</v>
      </c>
      <c r="E63" s="356" t="s">
        <v>2114</v>
      </c>
      <c r="F63" s="24">
        <v>0</v>
      </c>
      <c r="G63" s="1757"/>
    </row>
    <row r="64" spans="1:7" ht="18" customHeight="1" thickBot="1" x14ac:dyDescent="0.3">
      <c r="A64" s="1714"/>
      <c r="B64" s="338" t="s">
        <v>2068</v>
      </c>
      <c r="C64" s="349" t="s">
        <v>2109</v>
      </c>
      <c r="D64" s="28" t="s">
        <v>2112</v>
      </c>
      <c r="E64" s="350" t="s">
        <v>2115</v>
      </c>
      <c r="F64" s="22">
        <v>0</v>
      </c>
      <c r="G64" s="1757"/>
    </row>
    <row r="65" spans="1:7" ht="30" customHeight="1" thickBot="1" x14ac:dyDescent="0.3">
      <c r="A65" s="1714"/>
      <c r="B65" s="338" t="s">
        <v>2069</v>
      </c>
      <c r="C65" s="349" t="s">
        <v>2097</v>
      </c>
      <c r="D65" s="28" t="s">
        <v>2100</v>
      </c>
      <c r="E65" s="350" t="s">
        <v>2116</v>
      </c>
      <c r="F65" s="22">
        <v>0</v>
      </c>
      <c r="G65" s="1757"/>
    </row>
    <row r="66" spans="1:7" ht="18" customHeight="1" thickBot="1" x14ac:dyDescent="0.3">
      <c r="A66" s="1714"/>
      <c r="B66" s="338" t="s">
        <v>2070</v>
      </c>
      <c r="C66" s="351" t="s">
        <v>2110</v>
      </c>
      <c r="D66" s="352" t="s">
        <v>2113</v>
      </c>
      <c r="E66" s="353" t="s">
        <v>2104</v>
      </c>
      <c r="F66" s="23">
        <v>0</v>
      </c>
      <c r="G66" s="1757"/>
    </row>
    <row r="67" spans="1:7" ht="21" customHeight="1" thickBot="1" x14ac:dyDescent="0.3">
      <c r="A67" s="1714"/>
      <c r="B67" s="1726" t="s">
        <v>2071</v>
      </c>
      <c r="C67" s="1728"/>
      <c r="D67" s="1729"/>
      <c r="E67" s="403" t="s">
        <v>2027</v>
      </c>
      <c r="F67" s="771">
        <f>SUM(F63:F66)</f>
        <v>0</v>
      </c>
      <c r="G67" s="1757"/>
    </row>
    <row r="68" spans="1:7" ht="21" customHeight="1" thickBot="1" x14ac:dyDescent="0.3">
      <c r="A68" s="1715"/>
      <c r="B68" s="1719"/>
      <c r="C68" s="1720"/>
      <c r="D68" s="1720"/>
      <c r="E68" s="404" t="s">
        <v>2028</v>
      </c>
      <c r="F68" s="772">
        <f>F67/12</f>
        <v>0</v>
      </c>
      <c r="G68" s="1758"/>
    </row>
    <row r="69" spans="1:7" ht="21" customHeight="1" thickBot="1" x14ac:dyDescent="0.3">
      <c r="A69" s="1706" t="s">
        <v>81</v>
      </c>
      <c r="B69" s="1712" t="s">
        <v>2072</v>
      </c>
      <c r="C69" s="1721"/>
      <c r="D69" s="1721"/>
      <c r="E69" s="1722"/>
      <c r="F69" s="776"/>
      <c r="G69" s="1756"/>
    </row>
    <row r="70" spans="1:7" ht="18" customHeight="1" thickBot="1" x14ac:dyDescent="0.3">
      <c r="A70" s="1714"/>
      <c r="B70" s="1716" t="s">
        <v>2338</v>
      </c>
      <c r="C70" s="1717"/>
      <c r="D70" s="1717"/>
      <c r="E70" s="1718"/>
      <c r="F70" s="774"/>
      <c r="G70" s="1757"/>
    </row>
    <row r="71" spans="1:7" ht="16.2" customHeight="1" x14ac:dyDescent="0.25">
      <c r="A71" s="1714"/>
      <c r="B71" s="1723" t="s">
        <v>2073</v>
      </c>
      <c r="C71" s="1724"/>
      <c r="D71" s="1724"/>
      <c r="E71" s="1725"/>
      <c r="F71" s="85"/>
      <c r="G71" s="1757"/>
    </row>
    <row r="72" spans="1:7" ht="16.2" customHeight="1" x14ac:dyDescent="0.25">
      <c r="A72" s="1714"/>
      <c r="B72" s="1709" t="s">
        <v>2074</v>
      </c>
      <c r="C72" s="1710"/>
      <c r="D72" s="1710"/>
      <c r="E72" s="1711"/>
      <c r="F72" s="85"/>
      <c r="G72" s="1757"/>
    </row>
    <row r="73" spans="1:7" ht="16.2" customHeight="1" x14ac:dyDescent="0.25">
      <c r="A73" s="1714"/>
      <c r="B73" s="1709" t="s">
        <v>2075</v>
      </c>
      <c r="C73" s="1710"/>
      <c r="D73" s="1710"/>
      <c r="E73" s="1711"/>
      <c r="F73" s="85"/>
      <c r="G73" s="1757"/>
    </row>
    <row r="74" spans="1:7" ht="16.2" customHeight="1" x14ac:dyDescent="0.25">
      <c r="A74" s="1714"/>
      <c r="B74" s="1709" t="s">
        <v>2076</v>
      </c>
      <c r="C74" s="1710"/>
      <c r="D74" s="1710"/>
      <c r="E74" s="1711"/>
      <c r="F74" s="85"/>
      <c r="G74" s="1757"/>
    </row>
    <row r="75" spans="1:7" ht="16.2" customHeight="1" x14ac:dyDescent="0.25">
      <c r="A75" s="1714"/>
      <c r="B75" s="1709" t="s">
        <v>2077</v>
      </c>
      <c r="C75" s="1710"/>
      <c r="D75" s="1710"/>
      <c r="E75" s="1711"/>
      <c r="F75" s="85"/>
      <c r="G75" s="1757"/>
    </row>
    <row r="76" spans="1:7" ht="16.2" customHeight="1" x14ac:dyDescent="0.25">
      <c r="A76" s="1714"/>
      <c r="B76" s="1709" t="s">
        <v>2078</v>
      </c>
      <c r="C76" s="1710"/>
      <c r="D76" s="1710"/>
      <c r="E76" s="1711"/>
      <c r="F76" s="85"/>
      <c r="G76" s="1757"/>
    </row>
    <row r="77" spans="1:7" ht="16.2" customHeight="1" x14ac:dyDescent="0.25">
      <c r="A77" s="1714"/>
      <c r="B77" s="1709" t="s">
        <v>2079</v>
      </c>
      <c r="C77" s="1710"/>
      <c r="D77" s="1710"/>
      <c r="E77" s="1711"/>
      <c r="F77" s="85"/>
      <c r="G77" s="1757"/>
    </row>
    <row r="78" spans="1:7" ht="16.2" customHeight="1" thickBot="1" x14ac:dyDescent="0.3">
      <c r="A78" s="1714"/>
      <c r="B78" s="1709" t="s">
        <v>2080</v>
      </c>
      <c r="C78" s="1710"/>
      <c r="D78" s="1710"/>
      <c r="E78" s="1711"/>
      <c r="F78" s="85"/>
      <c r="G78" s="1757"/>
    </row>
    <row r="79" spans="1:7" ht="30" customHeight="1" thickBot="1" x14ac:dyDescent="0.3">
      <c r="A79" s="1714"/>
      <c r="B79" s="1716" t="s">
        <v>2339</v>
      </c>
      <c r="C79" s="1717"/>
      <c r="D79" s="1717"/>
      <c r="E79" s="1718"/>
      <c r="F79" s="769"/>
      <c r="G79" s="1757"/>
    </row>
    <row r="80" spans="1:7" ht="21" customHeight="1" thickBot="1" x14ac:dyDescent="0.3">
      <c r="A80" s="1714"/>
      <c r="B80" s="342"/>
      <c r="C80" s="340" t="s">
        <v>88</v>
      </c>
      <c r="D80" s="76" t="s">
        <v>89</v>
      </c>
      <c r="E80" s="76" t="s">
        <v>90</v>
      </c>
      <c r="F80" s="777"/>
      <c r="G80" s="1757"/>
    </row>
    <row r="81" spans="1:7" ht="27.75" customHeight="1" thickBot="1" x14ac:dyDescent="0.3">
      <c r="A81" s="1714"/>
      <c r="B81" s="338" t="s">
        <v>2081</v>
      </c>
      <c r="C81" s="354" t="s">
        <v>2117</v>
      </c>
      <c r="D81" s="355" t="s">
        <v>2119</v>
      </c>
      <c r="E81" s="356" t="s">
        <v>2121</v>
      </c>
      <c r="F81" s="24">
        <v>0</v>
      </c>
      <c r="G81" s="1757"/>
    </row>
    <row r="82" spans="1:7" ht="18" customHeight="1" thickBot="1" x14ac:dyDescent="0.3">
      <c r="A82" s="1714"/>
      <c r="B82" s="338" t="s">
        <v>2082</v>
      </c>
      <c r="C82" s="349" t="s">
        <v>2109</v>
      </c>
      <c r="D82" s="28" t="s">
        <v>2112</v>
      </c>
      <c r="E82" s="350" t="s">
        <v>2115</v>
      </c>
      <c r="F82" s="22">
        <v>0</v>
      </c>
      <c r="G82" s="1757"/>
    </row>
    <row r="83" spans="1:7" ht="18" customHeight="1" thickBot="1" x14ac:dyDescent="0.3">
      <c r="A83" s="1714"/>
      <c r="B83" s="338" t="s">
        <v>2083</v>
      </c>
      <c r="C83" s="349" t="s">
        <v>2118</v>
      </c>
      <c r="D83" s="28" t="s">
        <v>2120</v>
      </c>
      <c r="E83" s="350" t="s">
        <v>2122</v>
      </c>
      <c r="F83" s="22">
        <v>0</v>
      </c>
      <c r="G83" s="1757"/>
    </row>
    <row r="84" spans="1:7" ht="18" customHeight="1" thickBot="1" x14ac:dyDescent="0.3">
      <c r="A84" s="1714"/>
      <c r="B84" s="338" t="s">
        <v>2084</v>
      </c>
      <c r="C84" s="358" t="s">
        <v>2097</v>
      </c>
      <c r="D84" s="359" t="s">
        <v>2100</v>
      </c>
      <c r="E84" s="360" t="s">
        <v>2123</v>
      </c>
      <c r="F84" s="23">
        <v>0</v>
      </c>
      <c r="G84" s="1757"/>
    </row>
    <row r="85" spans="1:7" ht="21" customHeight="1" thickBot="1" x14ac:dyDescent="0.3">
      <c r="A85" s="1714"/>
      <c r="B85" s="339"/>
      <c r="C85" s="722"/>
      <c r="D85" s="722"/>
      <c r="E85" s="403" t="s">
        <v>2027</v>
      </c>
      <c r="F85" s="771">
        <f>SUM(F81:F84)</f>
        <v>0</v>
      </c>
      <c r="G85" s="1757"/>
    </row>
    <row r="86" spans="1:7" ht="21" customHeight="1" thickBot="1" x14ac:dyDescent="0.3">
      <c r="A86" s="1715"/>
      <c r="B86" s="1719"/>
      <c r="C86" s="1720"/>
      <c r="D86" s="1720"/>
      <c r="E86" s="402" t="s">
        <v>2028</v>
      </c>
      <c r="F86" s="772">
        <f>F85/12</f>
        <v>0</v>
      </c>
      <c r="G86" s="1758"/>
    </row>
  </sheetData>
  <sheetProtection password="C74A" sheet="1" objects="1" scenarios="1" formatCells="0" formatColumns="0" insertColumns="0"/>
  <sortState xmlns:xlrd2="http://schemas.microsoft.com/office/spreadsheetml/2017/richdata2" columnSort="1" ref="F1:GX150">
    <sortCondition ref="F2:GX2"/>
  </sortState>
  <customSheetViews>
    <customSheetView guid="{B8E02330-2419-4DE6-AD01-7ACC7A5D18DD}" topLeftCell="A2">
      <selection activeCell="B157" sqref="B157:E157"/>
      <rowBreaks count="4" manualBreakCount="4">
        <brk id="36" max="5" man="1"/>
        <brk id="70" max="5" man="1"/>
        <brk id="109" max="16383" man="1"/>
        <brk id="148" max="16383" man="1"/>
      </rowBreaks>
      <pageMargins left="0.25" right="0.25" top="0.75" bottom="0.75" header="0.3" footer="0.3"/>
      <printOptions horizontalCentered="1"/>
      <pageSetup scale="75" orientation="portrait" r:id="rId1"/>
      <headerFooter alignWithMargins="0">
        <oddFooter>&amp;CWESPUS betaV1, by Dr. Paul Adamus</oddFooter>
      </headerFooter>
    </customSheetView>
  </customSheetViews>
  <mergeCells count="73">
    <mergeCell ref="G3:G18"/>
    <mergeCell ref="G19:G32"/>
    <mergeCell ref="G33:G50"/>
    <mergeCell ref="G51:G68"/>
    <mergeCell ref="G69:G86"/>
    <mergeCell ref="B3:E3"/>
    <mergeCell ref="A1:B1"/>
    <mergeCell ref="C1:D1"/>
    <mergeCell ref="A2:E2"/>
    <mergeCell ref="A3:A18"/>
    <mergeCell ref="B10:E10"/>
    <mergeCell ref="B18:D18"/>
    <mergeCell ref="E1:F1"/>
    <mergeCell ref="A19:A32"/>
    <mergeCell ref="B6:E6"/>
    <mergeCell ref="B36:E36"/>
    <mergeCell ref="B4:E4"/>
    <mergeCell ref="B22:E22"/>
    <mergeCell ref="B35:E35"/>
    <mergeCell ref="B7:E7"/>
    <mergeCell ref="B20:E20"/>
    <mergeCell ref="B9:E9"/>
    <mergeCell ref="B21:E21"/>
    <mergeCell ref="B8:E8"/>
    <mergeCell ref="B19:E19"/>
    <mergeCell ref="B17:D17"/>
    <mergeCell ref="B26:E26"/>
    <mergeCell ref="B31:D31"/>
    <mergeCell ref="B5:E5"/>
    <mergeCell ref="B37:E37"/>
    <mergeCell ref="B33:E33"/>
    <mergeCell ref="B23:E23"/>
    <mergeCell ref="B24:E24"/>
    <mergeCell ref="B34:E34"/>
    <mergeCell ref="B32:D32"/>
    <mergeCell ref="B25:E25"/>
    <mergeCell ref="B38:E38"/>
    <mergeCell ref="B44:E44"/>
    <mergeCell ref="B49:D49"/>
    <mergeCell ref="A51:A68"/>
    <mergeCell ref="B60:E60"/>
    <mergeCell ref="B61:E61"/>
    <mergeCell ref="B67:D67"/>
    <mergeCell ref="B68:D68"/>
    <mergeCell ref="B56:E56"/>
    <mergeCell ref="B53:E53"/>
    <mergeCell ref="B54:E54"/>
    <mergeCell ref="B55:E55"/>
    <mergeCell ref="B57:E57"/>
    <mergeCell ref="B52:E52"/>
    <mergeCell ref="B59:E59"/>
    <mergeCell ref="B50:D50"/>
    <mergeCell ref="B39:E39"/>
    <mergeCell ref="B40:E40"/>
    <mergeCell ref="B41:E41"/>
    <mergeCell ref="B42:E42"/>
    <mergeCell ref="B43:E43"/>
    <mergeCell ref="A33:A50"/>
    <mergeCell ref="B58:E58"/>
    <mergeCell ref="B51:E51"/>
    <mergeCell ref="B76:E76"/>
    <mergeCell ref="B74:E74"/>
    <mergeCell ref="A69:A86"/>
    <mergeCell ref="B78:E78"/>
    <mergeCell ref="B79:E79"/>
    <mergeCell ref="B86:D86"/>
    <mergeCell ref="B75:E75"/>
    <mergeCell ref="B72:E72"/>
    <mergeCell ref="B70:E70"/>
    <mergeCell ref="B77:E77"/>
    <mergeCell ref="B73:E73"/>
    <mergeCell ref="B69:E69"/>
    <mergeCell ref="B71:E71"/>
  </mergeCells>
  <phoneticPr fontId="15" type="noConversion"/>
  <conditionalFormatting sqref="F5:F86">
    <cfRule type="cellIs" dxfId="1" priority="1" operator="greaterThan">
      <formula>0</formula>
    </cfRule>
  </conditionalFormatting>
  <dataValidations count="2">
    <dataValidation type="whole" allowBlank="1" showInputMessage="1" showErrorMessage="1" sqref="F655423:F655426 F983103:F983106 F917567:F917570 F852031:F852034 F327743:F327746 F720959:F720962 F262207:F262210 F196671:F196674 F131135:F131138 F65599:F65602 F983121:F983124 F917585:F917588 F852049:F852052 F786513:F786516 F720977:F720980 F655441:F655444 F589905:F589908 F524369:F524372 F458833:F458836 F393297:F393300 F327761:F327764 F262225:F262228 F196689:F196692 F131153:F131156 F65617:F65620 F983068:F983070 F917532:F917534 F851996:F851998 F786460:F786462 F720924:F720926 F655388:F655390 F589852:F589854 F524316:F524318 F458780:F458782 F393244:F393246 F327708:F327710 F262172:F262174 F196636:F196638 F131100:F131102 F65564:F65566 F983052:F983056 F917516:F917520 F851980:F851984 F786444:F786448 F720908:F720912 F655372:F655376 F589836:F589840 F524300:F524304 F458764:F458768 F393228:F393232 F327692:F327696 F262156:F262160 F196620:F196624 F131084:F131088 F65548:F65552 F983004:F983008 F917468:F917472 F851932:F851936 F786396:F786400 F720860:F720864 F655324:F655328 F589788:F589792 F524252:F524256 F458716:F458720 F393180:F393184 F327644:F327648 F262108:F262112 F196572:F196576 F131036:F131040 F65500:F65504 F983020:F983024 F917484:F917488 F851948:F851952 F786412:F786416 F720876:F720880 F655340:F655344 F589804:F589808 F524268:F524272 F458732:F458736 F393196:F393200 F327660:F327664 F262124:F262128 F196588:F196592 F131052:F131056 F65516:F65520 F982989:F982993 F917453:F917457 F851917:F851921 F786381:F786385 F720845:F720849 F655309:F655313 F589773:F589777 F524237:F524241 F458701:F458705 F393165:F393169 F327629:F327633 F262093:F262097 F196557:F196561 F131021:F131025 F65485:F65489 F983036:F983040 F917500:F917504 F851964:F851968 F786428:F786432 F720892:F720896 F655356:F655360 F589820:F589824 F524284:F524288 F458748:F458752 F393212:F393216 F327676:F327680 F262140:F262144 F196604:F196608 F131068:F131072 F65532:F65536 F983086:F983088 F589887:F589890 F524351:F524354 F458815:F458818 F393279:F393282 F786495:F786498 F917550:F917552 F852014:F852016 F786478:F786480 F720942:F720944 F655406:F655408 F589870:F589872 F524334:F524336 F458798:F458800 F393262:F393264 F327726:F327728 F262190:F262192 F196654:F196656 F131118:F131120 F65582:F65584 F46:F48 F63:F66 F81:F84 F28:F30 F12:F16" xr:uid="{00000000-0002-0000-0400-000000000000}">
      <formula1>0</formula1>
      <formula2>3</formula2>
    </dataValidation>
    <dataValidation type="textLength" allowBlank="1" showInputMessage="1" showErrorMessage="1" prompt="Mark with X if ongoing or recent" sqref="F655301:F655306 F589765:F589770 F524229:F524234 F458693:F458698 F393157:F393162 F327621:F327626 F262085:F262090 F196549:F196554 F131013:F131018 F65477:F65482 F982981:F982986 F917445:F917450 F851909:F851914 F786373:F786378 F720837:F720842" xr:uid="{00000000-0002-0000-0400-000001000000}">
      <formula1>1</formula1>
      <formula2>1</formula2>
    </dataValidation>
  </dataValidations>
  <printOptions horizontalCentered="1"/>
  <pageMargins left="0.25" right="0.25" top="0.75" bottom="0.75" header="0.3" footer="0.3"/>
  <pageSetup scale="55" fitToHeight="0" orientation="portrait" r:id="rId2"/>
  <headerFooter alignWithMargins="0">
    <oddFooter>&amp;C&amp;Pof &amp;N</oddFooter>
  </headerFooter>
  <rowBreaks count="3" manualBreakCount="3">
    <brk id="2" max="5" man="1"/>
    <brk id="32" max="5" man="1"/>
    <brk id="68"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rgb="FF00B0F0"/>
  </sheetPr>
  <dimension ref="A1:AK46"/>
  <sheetViews>
    <sheetView zoomScaleNormal="100" workbookViewId="0">
      <selection activeCell="A43" sqref="A43:G43"/>
    </sheetView>
  </sheetViews>
  <sheetFormatPr defaultColWidth="5.77734375" defaultRowHeight="13.8" x14ac:dyDescent="0.3"/>
  <cols>
    <col min="1" max="1" width="42.109375" style="81" customWidth="1"/>
    <col min="2" max="2" width="12.109375" style="82" customWidth="1"/>
    <col min="3" max="3" width="11.77734375" style="82" customWidth="1"/>
    <col min="4" max="4" width="12.77734375" style="82" customWidth="1"/>
    <col min="5" max="5" width="11.77734375" style="81" customWidth="1"/>
    <col min="6" max="6" width="11.77734375" style="185" customWidth="1"/>
    <col min="7" max="7" width="12.77734375" style="185" customWidth="1"/>
    <col min="8" max="9" width="11.77734375" style="185" customWidth="1"/>
    <col min="10" max="10" width="2.109375" style="81" customWidth="1"/>
    <col min="11" max="11" width="8.77734375" style="81" customWidth="1"/>
    <col min="12" max="12" width="5.33203125" style="185" customWidth="1"/>
    <col min="13" max="13" width="5.44140625" style="185" customWidth="1"/>
    <col min="14" max="14" width="6" style="185" customWidth="1"/>
    <col min="15" max="15" width="5.109375" style="185" customWidth="1"/>
    <col min="16" max="16" width="4.44140625" style="185" customWidth="1"/>
    <col min="17" max="17" width="5.44140625" style="81" customWidth="1"/>
    <col min="18" max="18" width="2.109375" style="81" customWidth="1"/>
    <col min="19" max="22" width="5.77734375" style="563"/>
    <col min="23" max="23" width="1.44140625" style="563" customWidth="1"/>
    <col min="24" max="26" width="5.77734375" style="563"/>
    <col min="27" max="28" width="6.33203125" style="563" customWidth="1"/>
    <col min="29" max="29" width="5.77734375" style="563"/>
    <col min="30" max="30" width="6.44140625" style="563" customWidth="1"/>
    <col min="31" max="32" width="6.44140625" style="81" customWidth="1"/>
    <col min="33" max="33" width="6.77734375" style="81" customWidth="1"/>
    <col min="34" max="34" width="1.6640625" style="81" customWidth="1"/>
    <col min="35" max="35" width="9.33203125" style="81" customWidth="1"/>
    <col min="36" max="36" width="8" style="81" customWidth="1"/>
    <col min="37" max="37" width="8.109375" style="81" customWidth="1"/>
    <col min="38" max="16384" width="5.77734375" style="81"/>
  </cols>
  <sheetData>
    <row r="1" spans="1:37" ht="21" customHeight="1" x14ac:dyDescent="0.25">
      <c r="A1" s="657" t="s">
        <v>1395</v>
      </c>
      <c r="B1" s="1761" t="str">
        <f>IF((CoverPg!B2=""),"",CoverPg!B2)</f>
        <v/>
      </c>
      <c r="C1" s="1761"/>
      <c r="D1" s="1761"/>
      <c r="E1" s="1761"/>
      <c r="F1" s="1761"/>
      <c r="G1" s="1762"/>
      <c r="H1" s="634"/>
      <c r="I1" s="634"/>
      <c r="J1" s="492"/>
      <c r="K1" s="492"/>
      <c r="L1" s="81"/>
      <c r="M1" s="81"/>
      <c r="N1" s="81"/>
      <c r="O1" s="81"/>
      <c r="P1" s="81"/>
    </row>
    <row r="2" spans="1:37" ht="21" customHeight="1" x14ac:dyDescent="0.25">
      <c r="A2" s="658" t="s">
        <v>1396</v>
      </c>
      <c r="B2" s="1763" t="str">
        <f>IF((CoverPg!B3=""),"",CoverPg!B3)</f>
        <v/>
      </c>
      <c r="C2" s="1763"/>
      <c r="D2" s="1763"/>
      <c r="E2" s="1763"/>
      <c r="F2" s="1763"/>
      <c r="G2" s="1764"/>
      <c r="H2" s="636"/>
      <c r="I2" s="635"/>
      <c r="J2" s="492"/>
      <c r="K2" s="492"/>
      <c r="L2" s="81"/>
      <c r="M2" s="81"/>
      <c r="N2" s="81"/>
      <c r="O2" s="81"/>
      <c r="P2" s="81"/>
    </row>
    <row r="3" spans="1:37" ht="21" customHeight="1" thickBot="1" x14ac:dyDescent="0.3">
      <c r="A3" s="659" t="s">
        <v>1397</v>
      </c>
      <c r="B3" s="1765" t="str">
        <f>IF((CoverPg!B4=""),"",CoverPg!B4)</f>
        <v/>
      </c>
      <c r="C3" s="1765"/>
      <c r="D3" s="1765"/>
      <c r="E3" s="1765"/>
      <c r="F3" s="1765"/>
      <c r="G3" s="1766"/>
      <c r="H3" s="636"/>
      <c r="I3" s="635"/>
      <c r="J3" s="492"/>
      <c r="K3" s="492"/>
      <c r="L3" s="81"/>
      <c r="M3" s="81"/>
      <c r="N3" s="81"/>
      <c r="O3" s="81"/>
      <c r="P3" s="81"/>
    </row>
    <row r="4" spans="1:37" ht="26.25" customHeight="1" thickBot="1" x14ac:dyDescent="0.3">
      <c r="A4" s="1776" t="s">
        <v>2525</v>
      </c>
      <c r="B4" s="1777"/>
      <c r="C4" s="1777"/>
      <c r="D4" s="1777"/>
      <c r="E4" s="1777"/>
      <c r="F4" s="1777"/>
      <c r="G4" s="1778"/>
      <c r="H4" s="637"/>
      <c r="I4" s="295"/>
      <c r="J4" s="493"/>
      <c r="K4" s="493"/>
      <c r="L4" s="295"/>
      <c r="M4" s="81"/>
      <c r="N4" s="81"/>
      <c r="O4" s="81"/>
      <c r="P4" s="81"/>
      <c r="Q4" s="496"/>
    </row>
    <row r="5" spans="1:37" ht="9.9" customHeight="1" thickBot="1" x14ac:dyDescent="0.3">
      <c r="A5" s="584"/>
      <c r="B5" s="641"/>
      <c r="C5" s="641"/>
      <c r="D5" s="641"/>
      <c r="E5" s="641"/>
      <c r="F5" s="641"/>
      <c r="G5" s="641"/>
      <c r="H5" s="295"/>
      <c r="I5" s="295"/>
      <c r="J5" s="493"/>
      <c r="K5" s="493"/>
      <c r="L5" s="295"/>
      <c r="M5" s="81"/>
      <c r="N5" s="81"/>
      <c r="O5" s="81"/>
      <c r="P5" s="81"/>
      <c r="Q5" s="496"/>
    </row>
    <row r="6" spans="1:37" ht="21" customHeight="1" thickBot="1" x14ac:dyDescent="0.25">
      <c r="A6" s="1770" t="s">
        <v>1488</v>
      </c>
      <c r="B6" s="1771"/>
      <c r="C6" s="1771"/>
      <c r="D6" s="1771"/>
      <c r="E6" s="1771"/>
      <c r="F6" s="1771"/>
      <c r="G6" s="1772"/>
      <c r="H6" s="639"/>
      <c r="I6" s="638"/>
      <c r="J6" s="296"/>
      <c r="K6" s="296"/>
      <c r="L6" s="1779" t="s">
        <v>1570</v>
      </c>
      <c r="M6" s="1779"/>
      <c r="N6" s="1779"/>
      <c r="O6" s="1779" t="s">
        <v>2228</v>
      </c>
      <c r="P6" s="1779"/>
      <c r="Q6" s="1779"/>
      <c r="R6" s="565"/>
      <c r="S6" s="1773" t="s">
        <v>2226</v>
      </c>
      <c r="T6" s="1773"/>
      <c r="U6" s="1773" t="s">
        <v>2227</v>
      </c>
      <c r="V6" s="1773"/>
      <c r="W6" s="566"/>
      <c r="X6" s="1773" t="s">
        <v>2231</v>
      </c>
      <c r="Y6" s="1773"/>
      <c r="Z6" s="1773"/>
      <c r="AA6" s="1773"/>
      <c r="AB6" s="677"/>
      <c r="AC6" s="1773" t="s">
        <v>2232</v>
      </c>
      <c r="AD6" s="1773"/>
      <c r="AE6" s="1773"/>
      <c r="AF6" s="1773"/>
      <c r="AG6" s="1773"/>
      <c r="AI6" s="1769" t="s">
        <v>2528</v>
      </c>
      <c r="AJ6" s="1769"/>
      <c r="AK6" s="1769"/>
    </row>
    <row r="7" spans="1:37" s="501" customFormat="1" ht="32.1" customHeight="1" thickBot="1" x14ac:dyDescent="0.25">
      <c r="A7" s="497" t="s">
        <v>194</v>
      </c>
      <c r="B7" s="643" t="s">
        <v>2531</v>
      </c>
      <c r="C7" s="644" t="s">
        <v>2223</v>
      </c>
      <c r="D7" s="645" t="s">
        <v>2527</v>
      </c>
      <c r="E7" s="646" t="s">
        <v>2532</v>
      </c>
      <c r="F7" s="647" t="s">
        <v>2224</v>
      </c>
      <c r="G7" s="648" t="s">
        <v>2527</v>
      </c>
      <c r="H7" s="499" t="s">
        <v>1570</v>
      </c>
      <c r="I7" s="499" t="s">
        <v>1571</v>
      </c>
      <c r="J7" s="500"/>
      <c r="K7" s="500"/>
      <c r="L7" s="671" t="s">
        <v>1257</v>
      </c>
      <c r="M7" s="671" t="s">
        <v>1258</v>
      </c>
      <c r="N7" s="671" t="s">
        <v>1259</v>
      </c>
      <c r="O7" s="671" t="s">
        <v>1257</v>
      </c>
      <c r="P7" s="671" t="s">
        <v>1258</v>
      </c>
      <c r="Q7" s="671" t="s">
        <v>1259</v>
      </c>
      <c r="R7" s="567"/>
      <c r="S7" s="675" t="s">
        <v>2230</v>
      </c>
      <c r="T7" s="675" t="s">
        <v>2229</v>
      </c>
      <c r="U7" s="675" t="s">
        <v>2230</v>
      </c>
      <c r="V7" s="675" t="s">
        <v>2229</v>
      </c>
      <c r="W7" s="568"/>
      <c r="X7" s="678" t="s">
        <v>2225</v>
      </c>
      <c r="Y7" s="678" t="s">
        <v>2234</v>
      </c>
      <c r="Z7" s="678" t="s">
        <v>2235</v>
      </c>
      <c r="AA7" s="678" t="s">
        <v>2236</v>
      </c>
      <c r="AB7" s="678" t="s">
        <v>2237</v>
      </c>
      <c r="AC7" s="678" t="s">
        <v>2225</v>
      </c>
      <c r="AD7" s="678" t="s">
        <v>2234</v>
      </c>
      <c r="AE7" s="678" t="s">
        <v>2235</v>
      </c>
      <c r="AF7" s="678" t="s">
        <v>2236</v>
      </c>
      <c r="AG7" s="678" t="s">
        <v>2237</v>
      </c>
      <c r="AI7" s="679" t="s">
        <v>2223</v>
      </c>
      <c r="AJ7" s="679" t="s">
        <v>2529</v>
      </c>
      <c r="AK7" s="679" t="s">
        <v>2530</v>
      </c>
    </row>
    <row r="8" spans="1:37" s="501" customFormat="1" ht="18" customHeight="1" thickBot="1" x14ac:dyDescent="0.3">
      <c r="A8" s="599" t="s">
        <v>1568</v>
      </c>
      <c r="B8" s="600" t="str">
        <f t="shared" ref="B8:B23" si="0">IF((H8=""),"",IF((H8&lt;L8),0, IF((H8&gt;M8),10,10*(H8-L8)/N8)))</f>
        <v/>
      </c>
      <c r="C8" s="601" t="str">
        <f>IF((B8=""),"",IF((B8&lt;S8),"Lower", IF((B8&gt;=T8),"Higher", "Moderate")))</f>
        <v/>
      </c>
      <c r="D8" s="602" t="str">
        <f t="shared" ref="D8:D23" si="1">IF((B8=""),"",IF(AND($B8&gt;$Y8,$B8&lt;$Z8,$B8&gt;0),"LM",  IF(AND($B8&gt;$AA8,$B8&lt;$AB8),"MH", "")))</f>
        <v/>
      </c>
      <c r="E8" s="603" t="str">
        <f t="shared" ref="E8:E21" si="2">IF((I8=""),"",IF((I8&lt;O8),0, IF((I8&gt;=P8),10, 10*(I8-O8)/Q8)))</f>
        <v/>
      </c>
      <c r="F8" s="603" t="str">
        <f>IF((E8=""),"",IF((E8&lt;U8),"Lower", IF((E8&gt;=V8),"Higher", "Moderate")))</f>
        <v/>
      </c>
      <c r="G8" s="602" t="str">
        <f t="shared" ref="G8:G21" si="3">IF((E8=""),"",IF(AND($E8&gt;$AD8,$E8&lt;$AE8,$E8&gt;0),"LM",  IF(AND($E8&gt;$AF8,$E8&lt;$AG8),"MH", "")))</f>
        <v/>
      </c>
      <c r="H8" s="625" t="str">
        <f>IF((SUM(OF!D5:'OF'!D10)=0),"",WS!G133)</f>
        <v/>
      </c>
      <c r="I8" s="604" t="str">
        <f>IF((H8=""),"",IF((H8&lt;1),0,WS!G137))</f>
        <v/>
      </c>
      <c r="J8" s="494"/>
      <c r="K8" s="494"/>
      <c r="L8" s="672">
        <v>0</v>
      </c>
      <c r="M8" s="672">
        <v>10</v>
      </c>
      <c r="N8" s="672">
        <v>10</v>
      </c>
      <c r="O8" s="672">
        <v>0</v>
      </c>
      <c r="P8" s="672">
        <v>10</v>
      </c>
      <c r="Q8" s="672">
        <f>P8-O8</f>
        <v>10</v>
      </c>
      <c r="R8" s="567"/>
      <c r="S8" s="676">
        <v>4.07</v>
      </c>
      <c r="T8" s="676">
        <v>6.69</v>
      </c>
      <c r="U8" s="676">
        <v>2.85</v>
      </c>
      <c r="V8" s="676">
        <v>6.56</v>
      </c>
      <c r="W8" s="569"/>
      <c r="X8" s="676">
        <v>0.38</v>
      </c>
      <c r="Y8" s="676">
        <f>$S8-$X8</f>
        <v>3.6900000000000004</v>
      </c>
      <c r="Z8" s="676">
        <f>$S8+$X8</f>
        <v>4.45</v>
      </c>
      <c r="AA8" s="676">
        <f>$T8-$X8</f>
        <v>6.3100000000000005</v>
      </c>
      <c r="AB8" s="676">
        <f t="shared" ref="AB8:AB23" si="4">$T8+$X8</f>
        <v>7.07</v>
      </c>
      <c r="AC8" s="676">
        <v>0.53</v>
      </c>
      <c r="AD8" s="676">
        <f t="shared" ref="AD8:AD21" si="5">$U8-$AC8</f>
        <v>2.3200000000000003</v>
      </c>
      <c r="AE8" s="676">
        <f>$U8+$AC8</f>
        <v>3.38</v>
      </c>
      <c r="AF8" s="676">
        <f>$V8-$AC8</f>
        <v>6.0299999999999994</v>
      </c>
      <c r="AG8" s="676">
        <f t="shared" ref="AG8:AG21" si="6">$V8+$AC8</f>
        <v>7.09</v>
      </c>
      <c r="AI8" s="680" t="str">
        <f>IF((C8=""),"",IF((C8="Higher"),7,IF((C8="Moderate"),4,IF((C8="Lower"),1))))</f>
        <v/>
      </c>
      <c r="AJ8" s="680" t="str">
        <f>IF((F8=""),"",IF((F8="Higher"),2,IF((F8="Moderate"),1,IF((F8="Lower"),0))))</f>
        <v/>
      </c>
      <c r="AK8" s="680" t="str">
        <f>IF((AI8=""),"",AI8+AJ8)</f>
        <v/>
      </c>
    </row>
    <row r="9" spans="1:37" s="501" customFormat="1" ht="18" customHeight="1" thickTop="1" x14ac:dyDescent="0.25">
      <c r="A9" s="503" t="s">
        <v>1564</v>
      </c>
      <c r="B9" s="383" t="str">
        <f t="shared" si="0"/>
        <v/>
      </c>
      <c r="C9" s="489" t="str">
        <f t="shared" ref="C9:C23" si="7">IF((B9=""),"",IF((B9&lt;S9),"Lower", IF((B9&gt;=T9),"Higher", "Moderate")))</f>
        <v/>
      </c>
      <c r="D9" s="486" t="str">
        <f t="shared" si="1"/>
        <v/>
      </c>
      <c r="E9" s="384" t="str">
        <f t="shared" si="2"/>
        <v/>
      </c>
      <c r="F9" s="384" t="str">
        <f t="shared" ref="F9:F21" si="8">IF((E9=""),"",IF((E9&lt;U9),"Lower", IF((E9&gt;=V9),"Higher", "Moderate")))</f>
        <v/>
      </c>
      <c r="G9" s="486" t="str">
        <f t="shared" si="3"/>
        <v/>
      </c>
      <c r="H9" s="626" t="str">
        <f>IF((SUM(OF!D$5:'OF'!D$10)=0),"",SR!G221)</f>
        <v/>
      </c>
      <c r="I9" s="385" t="str">
        <f>IF((H9=""),"", IF((H9&lt;1), 0, SR!G222))</f>
        <v/>
      </c>
      <c r="J9" s="494"/>
      <c r="K9" s="494"/>
      <c r="L9" s="672">
        <v>0.42592592592592593</v>
      </c>
      <c r="M9" s="672">
        <v>10</v>
      </c>
      <c r="N9" s="672">
        <v>9.5740740740740744</v>
      </c>
      <c r="O9" s="672">
        <v>0</v>
      </c>
      <c r="P9" s="672">
        <v>7.6190476190476186</v>
      </c>
      <c r="Q9" s="672">
        <v>7.6190476190476186</v>
      </c>
      <c r="R9" s="567"/>
      <c r="S9" s="676">
        <v>3.6</v>
      </c>
      <c r="T9" s="676">
        <v>6.62</v>
      </c>
      <c r="U9" s="676">
        <v>3.15</v>
      </c>
      <c r="V9" s="676">
        <v>5.89</v>
      </c>
      <c r="W9" s="569"/>
      <c r="X9" s="676">
        <v>0.67</v>
      </c>
      <c r="Y9" s="676">
        <f t="shared" ref="Y9:Y23" si="9">$S9-$X9</f>
        <v>2.93</v>
      </c>
      <c r="Z9" s="676">
        <f t="shared" ref="Z9:Z23" si="10">$S9+$X9</f>
        <v>4.2700000000000005</v>
      </c>
      <c r="AA9" s="676">
        <f t="shared" ref="AA9:AA23" si="11">$T9-$X9</f>
        <v>5.95</v>
      </c>
      <c r="AB9" s="676">
        <f t="shared" si="4"/>
        <v>7.29</v>
      </c>
      <c r="AC9" s="676">
        <v>0.87</v>
      </c>
      <c r="AD9" s="676">
        <f t="shared" si="5"/>
        <v>2.2799999999999998</v>
      </c>
      <c r="AE9" s="676">
        <f t="shared" ref="AE9:AE21" si="12">$U9+$AC9</f>
        <v>4.0199999999999996</v>
      </c>
      <c r="AF9" s="676">
        <f t="shared" ref="AF9:AF29" si="13">$V9-$AC9</f>
        <v>5.0199999999999996</v>
      </c>
      <c r="AG9" s="676">
        <f t="shared" si="6"/>
        <v>6.76</v>
      </c>
      <c r="AI9" s="680" t="str">
        <f t="shared" ref="AI9:AI22" si="14">IF((C9=""),"",IF((C9="Higher"),7,IF((C9="Moderate"),4,IF((C9="Lower"),1))))</f>
        <v/>
      </c>
      <c r="AJ9" s="680" t="str">
        <f t="shared" ref="AJ9:AJ21" si="15">IF((F9=""),"",IF((F9="Higher"),2,IF((F9="Moderate"),1,IF((F9="Lower"),0))))</f>
        <v/>
      </c>
      <c r="AK9" s="680" t="str">
        <f t="shared" ref="AK9:AK22" si="16">IF((AI9=""),"",AI9+AJ9)</f>
        <v/>
      </c>
    </row>
    <row r="10" spans="1:37" s="501" customFormat="1" ht="18" customHeight="1" x14ac:dyDescent="0.25">
      <c r="A10" s="504" t="s">
        <v>118</v>
      </c>
      <c r="B10" s="386" t="str">
        <f t="shared" si="0"/>
        <v/>
      </c>
      <c r="C10" s="490" t="str">
        <f t="shared" si="7"/>
        <v/>
      </c>
      <c r="D10" s="487" t="str">
        <f t="shared" si="1"/>
        <v/>
      </c>
      <c r="E10" s="387" t="str">
        <f t="shared" si="2"/>
        <v/>
      </c>
      <c r="F10" s="387" t="str">
        <f t="shared" si="8"/>
        <v/>
      </c>
      <c r="G10" s="487" t="str">
        <f t="shared" si="3"/>
        <v/>
      </c>
      <c r="H10" s="627" t="str">
        <f>IF((SUM(OF!D$5:'OF'!D$10)=0),"", PR!G249)</f>
        <v/>
      </c>
      <c r="I10" s="388" t="str">
        <f>IF((SUM(OF!D5:'OF'!D10)=0),"",IF((H10&lt;1),0,PR!G250))</f>
        <v/>
      </c>
      <c r="J10" s="494"/>
      <c r="K10" s="494"/>
      <c r="L10" s="672">
        <v>1.3888888888888886</v>
      </c>
      <c r="M10" s="672">
        <v>10</v>
      </c>
      <c r="N10" s="672">
        <v>8.6111111111111107</v>
      </c>
      <c r="O10" s="672">
        <v>6.6666666666666666E-2</v>
      </c>
      <c r="P10" s="672">
        <v>7.9444444444444438</v>
      </c>
      <c r="Q10" s="672">
        <v>7.8777777777777773</v>
      </c>
      <c r="R10" s="567"/>
      <c r="S10" s="676">
        <v>3.12</v>
      </c>
      <c r="T10" s="676">
        <v>6.08</v>
      </c>
      <c r="U10" s="676">
        <v>3.42</v>
      </c>
      <c r="V10" s="676">
        <v>6.54</v>
      </c>
      <c r="W10" s="569"/>
      <c r="X10" s="676">
        <v>0.71</v>
      </c>
      <c r="Y10" s="676">
        <f t="shared" si="9"/>
        <v>2.41</v>
      </c>
      <c r="Z10" s="676">
        <f t="shared" si="10"/>
        <v>3.83</v>
      </c>
      <c r="AA10" s="676">
        <f t="shared" si="11"/>
        <v>5.37</v>
      </c>
      <c r="AB10" s="676">
        <f t="shared" si="4"/>
        <v>6.79</v>
      </c>
      <c r="AC10" s="676">
        <v>0.56000000000000005</v>
      </c>
      <c r="AD10" s="676">
        <f t="shared" si="5"/>
        <v>2.86</v>
      </c>
      <c r="AE10" s="676">
        <f t="shared" si="12"/>
        <v>3.98</v>
      </c>
      <c r="AF10" s="676">
        <f t="shared" si="13"/>
        <v>5.98</v>
      </c>
      <c r="AG10" s="676">
        <f t="shared" si="6"/>
        <v>7.1</v>
      </c>
      <c r="AI10" s="680" t="str">
        <f t="shared" si="14"/>
        <v/>
      </c>
      <c r="AJ10" s="680" t="str">
        <f t="shared" si="15"/>
        <v/>
      </c>
      <c r="AK10" s="680" t="str">
        <f t="shared" si="16"/>
        <v/>
      </c>
    </row>
    <row r="11" spans="1:37" s="501" customFormat="1" ht="18" customHeight="1" thickBot="1" x14ac:dyDescent="0.3">
      <c r="A11" s="594" t="s">
        <v>29</v>
      </c>
      <c r="B11" s="595" t="str">
        <f t="shared" si="0"/>
        <v/>
      </c>
      <c r="C11" s="596" t="str">
        <f t="shared" si="7"/>
        <v/>
      </c>
      <c r="D11" s="597" t="str">
        <f t="shared" si="1"/>
        <v/>
      </c>
      <c r="E11" s="598" t="str">
        <f t="shared" si="2"/>
        <v/>
      </c>
      <c r="F11" s="598" t="str">
        <f t="shared" si="8"/>
        <v/>
      </c>
      <c r="G11" s="597" t="str">
        <f t="shared" si="3"/>
        <v/>
      </c>
      <c r="H11" s="628" t="str">
        <f>IF((SUM(OF!D$5:'OF'!D$10)=0),"", NR!G171)</f>
        <v/>
      </c>
      <c r="I11" s="592" t="str">
        <f>IF((SUM(OF!D5:'OF'!D10)=0),"",IF((H11&lt;1),0,NR!G172))</f>
        <v/>
      </c>
      <c r="J11" s="494"/>
      <c r="K11" s="494"/>
      <c r="L11" s="673">
        <v>1.9255952380952381</v>
      </c>
      <c r="M11" s="673">
        <v>10</v>
      </c>
      <c r="N11" s="673">
        <v>8.0744047619047628</v>
      </c>
      <c r="O11" s="673">
        <v>6.6666666666666666E-2</v>
      </c>
      <c r="P11" s="673">
        <v>10</v>
      </c>
      <c r="Q11" s="673">
        <v>9.9333333333333336</v>
      </c>
      <c r="R11" s="567"/>
      <c r="S11" s="676">
        <v>3.91</v>
      </c>
      <c r="T11" s="676">
        <v>6.96</v>
      </c>
      <c r="U11" s="676">
        <v>3.4</v>
      </c>
      <c r="V11" s="676">
        <v>7.42</v>
      </c>
      <c r="W11" s="569"/>
      <c r="X11" s="676">
        <v>0.66</v>
      </c>
      <c r="Y11" s="676">
        <f t="shared" si="9"/>
        <v>3.25</v>
      </c>
      <c r="Z11" s="676">
        <f t="shared" si="10"/>
        <v>4.57</v>
      </c>
      <c r="AA11" s="676">
        <f t="shared" si="11"/>
        <v>6.3</v>
      </c>
      <c r="AB11" s="676">
        <f t="shared" si="4"/>
        <v>7.62</v>
      </c>
      <c r="AC11" s="676">
        <v>0.77</v>
      </c>
      <c r="AD11" s="676">
        <f t="shared" si="5"/>
        <v>2.63</v>
      </c>
      <c r="AE11" s="676">
        <f t="shared" si="12"/>
        <v>4.17</v>
      </c>
      <c r="AF11" s="676">
        <f t="shared" si="13"/>
        <v>6.65</v>
      </c>
      <c r="AG11" s="676">
        <f t="shared" si="6"/>
        <v>8.19</v>
      </c>
      <c r="AI11" s="680" t="str">
        <f t="shared" si="14"/>
        <v/>
      </c>
      <c r="AJ11" s="680" t="str">
        <f t="shared" si="15"/>
        <v/>
      </c>
      <c r="AK11" s="680" t="str">
        <f t="shared" si="16"/>
        <v/>
      </c>
    </row>
    <row r="12" spans="1:37" s="501" customFormat="1" ht="18" customHeight="1" thickTop="1" x14ac:dyDescent="0.25">
      <c r="A12" s="503" t="s">
        <v>272</v>
      </c>
      <c r="B12" s="383" t="str">
        <f t="shared" si="0"/>
        <v/>
      </c>
      <c r="C12" s="489" t="str">
        <f t="shared" si="7"/>
        <v/>
      </c>
      <c r="D12" s="486" t="str">
        <f t="shared" si="1"/>
        <v/>
      </c>
      <c r="E12" s="384" t="str">
        <f t="shared" si="2"/>
        <v/>
      </c>
      <c r="F12" s="384" t="str">
        <f t="shared" si="8"/>
        <v/>
      </c>
      <c r="G12" s="486" t="str">
        <f t="shared" si="3"/>
        <v/>
      </c>
      <c r="H12" s="626" t="str">
        <f>IF((SUM(OF!D5:'OF'!D10)=0),"",FA!G225)</f>
        <v/>
      </c>
      <c r="I12" s="385" t="str">
        <f>IF((SUM(OF!D5:'OF'!D10)=0),"",IF((H12&lt;1),0, FA!G226))</f>
        <v/>
      </c>
      <c r="J12" s="494"/>
      <c r="K12" s="494"/>
      <c r="L12" s="672">
        <v>0</v>
      </c>
      <c r="M12" s="672">
        <v>8.7733333333333334</v>
      </c>
      <c r="N12" s="672">
        <v>8.7733333333333334</v>
      </c>
      <c r="O12" s="672">
        <v>0</v>
      </c>
      <c r="P12" s="672">
        <v>10</v>
      </c>
      <c r="Q12" s="672">
        <v>10</v>
      </c>
      <c r="R12" s="567"/>
      <c r="S12" s="676">
        <v>0.01</v>
      </c>
      <c r="T12" s="676">
        <v>7.77</v>
      </c>
      <c r="U12" s="676">
        <v>1.67</v>
      </c>
      <c r="V12" s="676">
        <v>5.58</v>
      </c>
      <c r="W12" s="569"/>
      <c r="X12" s="676">
        <v>0.74</v>
      </c>
      <c r="Y12" s="676">
        <f t="shared" si="9"/>
        <v>-0.73</v>
      </c>
      <c r="Z12" s="676">
        <f t="shared" si="10"/>
        <v>0.75</v>
      </c>
      <c r="AA12" s="676">
        <f t="shared" si="11"/>
        <v>7.0299999999999994</v>
      </c>
      <c r="AB12" s="676">
        <f t="shared" si="4"/>
        <v>8.51</v>
      </c>
      <c r="AC12" s="676">
        <v>0.82</v>
      </c>
      <c r="AD12" s="676">
        <f t="shared" si="5"/>
        <v>0.85</v>
      </c>
      <c r="AE12" s="676">
        <f t="shared" si="12"/>
        <v>2.4899999999999998</v>
      </c>
      <c r="AF12" s="676">
        <f t="shared" si="13"/>
        <v>4.76</v>
      </c>
      <c r="AG12" s="676">
        <f t="shared" si="6"/>
        <v>6.4</v>
      </c>
      <c r="AI12" s="680" t="str">
        <f t="shared" si="14"/>
        <v/>
      </c>
      <c r="AJ12" s="680" t="str">
        <f t="shared" si="15"/>
        <v/>
      </c>
      <c r="AK12" s="680" t="str">
        <f t="shared" si="16"/>
        <v/>
      </c>
    </row>
    <row r="13" spans="1:37" s="501" customFormat="1" ht="18" customHeight="1" thickBot="1" x14ac:dyDescent="0.3">
      <c r="A13" s="594" t="s">
        <v>273</v>
      </c>
      <c r="B13" s="595" t="str">
        <f t="shared" si="0"/>
        <v/>
      </c>
      <c r="C13" s="596" t="str">
        <f t="shared" si="7"/>
        <v/>
      </c>
      <c r="D13" s="597" t="str">
        <f t="shared" si="1"/>
        <v/>
      </c>
      <c r="E13" s="598" t="str">
        <f t="shared" si="2"/>
        <v/>
      </c>
      <c r="F13" s="598" t="str">
        <f t="shared" si="8"/>
        <v/>
      </c>
      <c r="G13" s="597" t="str">
        <f t="shared" si="3"/>
        <v/>
      </c>
      <c r="H13" s="628" t="str">
        <f>IF((SUM(OF!D$5:'OF'!D$10)=0),"",FR!G113)</f>
        <v/>
      </c>
      <c r="I13" s="592" t="str">
        <f>IF((H13=""),"", IF((H13&lt;1), 0, FR!G114))</f>
        <v/>
      </c>
      <c r="J13" s="494"/>
      <c r="K13" s="494"/>
      <c r="L13" s="672">
        <v>0</v>
      </c>
      <c r="M13" s="672">
        <v>8.5846560846560855</v>
      </c>
      <c r="N13" s="672">
        <v>8.5846560846560855</v>
      </c>
      <c r="O13" s="672">
        <v>0</v>
      </c>
      <c r="P13" s="672">
        <v>10</v>
      </c>
      <c r="Q13" s="672">
        <v>10</v>
      </c>
      <c r="R13" s="567"/>
      <c r="S13" s="676">
        <v>0.01</v>
      </c>
      <c r="T13" s="676">
        <v>6.08</v>
      </c>
      <c r="U13" s="676">
        <v>1.21</v>
      </c>
      <c r="V13" s="676">
        <v>4.8600000000000003</v>
      </c>
      <c r="W13" s="569"/>
      <c r="X13" s="676">
        <v>1.21</v>
      </c>
      <c r="Y13" s="676">
        <f t="shared" si="9"/>
        <v>-1.2</v>
      </c>
      <c r="Z13" s="676">
        <f t="shared" si="10"/>
        <v>1.22</v>
      </c>
      <c r="AA13" s="676">
        <f t="shared" si="11"/>
        <v>4.87</v>
      </c>
      <c r="AB13" s="676">
        <f t="shared" si="4"/>
        <v>7.29</v>
      </c>
      <c r="AC13" s="676">
        <v>1.43</v>
      </c>
      <c r="AD13" s="676">
        <f t="shared" si="5"/>
        <v>-0.21999999999999997</v>
      </c>
      <c r="AE13" s="676">
        <f t="shared" si="12"/>
        <v>2.6399999999999997</v>
      </c>
      <c r="AF13" s="676">
        <f t="shared" si="13"/>
        <v>3.4300000000000006</v>
      </c>
      <c r="AG13" s="676">
        <f t="shared" si="6"/>
        <v>6.29</v>
      </c>
      <c r="AI13" s="680" t="str">
        <f t="shared" si="14"/>
        <v/>
      </c>
      <c r="AJ13" s="680" t="str">
        <f t="shared" si="15"/>
        <v/>
      </c>
      <c r="AK13" s="680" t="str">
        <f t="shared" si="16"/>
        <v/>
      </c>
    </row>
    <row r="14" spans="1:37" s="501" customFormat="1" ht="18" customHeight="1" thickTop="1" x14ac:dyDescent="0.25">
      <c r="A14" s="503" t="s">
        <v>1508</v>
      </c>
      <c r="B14" s="383" t="str">
        <f t="shared" si="0"/>
        <v/>
      </c>
      <c r="C14" s="489" t="str">
        <f t="shared" si="7"/>
        <v/>
      </c>
      <c r="D14" s="486" t="str">
        <f t="shared" si="1"/>
        <v/>
      </c>
      <c r="E14" s="384" t="str">
        <f t="shared" si="2"/>
        <v/>
      </c>
      <c r="F14" s="384" t="str">
        <f t="shared" si="8"/>
        <v/>
      </c>
      <c r="G14" s="486" t="str">
        <f t="shared" si="3"/>
        <v/>
      </c>
      <c r="H14" s="626" t="str">
        <f>IF((SUM(OF!D$5:'OF'!D$10)=0),"", AM!G289)</f>
        <v/>
      </c>
      <c r="I14" s="385" t="str">
        <f>IF((H14=""),"", IF((H14&lt;1), 0,AM!G290))</f>
        <v/>
      </c>
      <c r="J14" s="494"/>
      <c r="K14" s="494"/>
      <c r="L14" s="672">
        <v>0</v>
      </c>
      <c r="M14" s="672">
        <v>9.0645502645502649</v>
      </c>
      <c r="N14" s="672">
        <f>M14-L14</f>
        <v>9.0645502645502649</v>
      </c>
      <c r="O14" s="672">
        <v>0</v>
      </c>
      <c r="P14" s="672">
        <v>10</v>
      </c>
      <c r="Q14" s="672">
        <v>10</v>
      </c>
      <c r="R14" s="567"/>
      <c r="S14" s="676">
        <v>4.16</v>
      </c>
      <c r="T14" s="676">
        <v>6.82</v>
      </c>
      <c r="U14" s="676">
        <v>4.45</v>
      </c>
      <c r="V14" s="676">
        <v>6.67</v>
      </c>
      <c r="W14" s="569"/>
      <c r="X14" s="676">
        <v>0.56999999999999995</v>
      </c>
      <c r="Y14" s="676">
        <f t="shared" si="9"/>
        <v>3.5900000000000003</v>
      </c>
      <c r="Z14" s="676">
        <f t="shared" si="10"/>
        <v>4.7300000000000004</v>
      </c>
      <c r="AA14" s="676">
        <f t="shared" si="11"/>
        <v>6.25</v>
      </c>
      <c r="AB14" s="676">
        <f t="shared" si="4"/>
        <v>7.3900000000000006</v>
      </c>
      <c r="AC14" s="676">
        <v>0.48</v>
      </c>
      <c r="AD14" s="676">
        <f t="shared" si="5"/>
        <v>3.97</v>
      </c>
      <c r="AE14" s="676">
        <f t="shared" si="12"/>
        <v>4.93</v>
      </c>
      <c r="AF14" s="676">
        <f t="shared" si="13"/>
        <v>6.1899999999999995</v>
      </c>
      <c r="AG14" s="676">
        <f t="shared" si="6"/>
        <v>7.15</v>
      </c>
      <c r="AI14" s="680" t="str">
        <f t="shared" si="14"/>
        <v/>
      </c>
      <c r="AJ14" s="680" t="str">
        <f t="shared" si="15"/>
        <v/>
      </c>
      <c r="AK14" s="680" t="str">
        <f t="shared" si="16"/>
        <v/>
      </c>
    </row>
    <row r="15" spans="1:37" s="501" customFormat="1" ht="18" customHeight="1" x14ac:dyDescent="0.25">
      <c r="A15" s="504" t="s">
        <v>270</v>
      </c>
      <c r="B15" s="386" t="str">
        <f t="shared" si="0"/>
        <v/>
      </c>
      <c r="C15" s="490" t="str">
        <f t="shared" si="7"/>
        <v/>
      </c>
      <c r="D15" s="487" t="str">
        <f t="shared" si="1"/>
        <v/>
      </c>
      <c r="E15" s="387" t="str">
        <f t="shared" si="2"/>
        <v/>
      </c>
      <c r="F15" s="387" t="str">
        <f t="shared" si="8"/>
        <v/>
      </c>
      <c r="G15" s="487" t="str">
        <f t="shared" si="3"/>
        <v/>
      </c>
      <c r="H15" s="627" t="str">
        <f>IF((SUM(OF!D$5:'OF'!D$10)=0),"", WBN!G257)</f>
        <v/>
      </c>
      <c r="I15" s="388" t="str">
        <f>IF((H15=""),"", IF((H15&lt;1), 0, WBN!G258))</f>
        <v/>
      </c>
      <c r="J15" s="494"/>
      <c r="K15" s="494"/>
      <c r="L15" s="672">
        <v>0</v>
      </c>
      <c r="M15" s="672">
        <v>8.2085013017552697</v>
      </c>
      <c r="N15" s="672">
        <f>M15-L15</f>
        <v>8.2085013017552697</v>
      </c>
      <c r="O15" s="672">
        <v>0</v>
      </c>
      <c r="P15" s="672">
        <v>10</v>
      </c>
      <c r="Q15" s="672">
        <v>10</v>
      </c>
      <c r="R15" s="567"/>
      <c r="S15" s="676">
        <v>0.01</v>
      </c>
      <c r="T15" s="676">
        <v>6.98</v>
      </c>
      <c r="U15" s="676">
        <v>1.72</v>
      </c>
      <c r="V15" s="676">
        <v>6.61</v>
      </c>
      <c r="W15" s="569"/>
      <c r="X15" s="676">
        <v>0.5</v>
      </c>
      <c r="Y15" s="676">
        <f t="shared" si="9"/>
        <v>-0.49</v>
      </c>
      <c r="Z15" s="676">
        <f t="shared" si="10"/>
        <v>0.51</v>
      </c>
      <c r="AA15" s="676">
        <f t="shared" si="11"/>
        <v>6.48</v>
      </c>
      <c r="AB15" s="676">
        <f t="shared" si="4"/>
        <v>7.48</v>
      </c>
      <c r="AC15" s="676">
        <v>0.34</v>
      </c>
      <c r="AD15" s="676">
        <f t="shared" si="5"/>
        <v>1.38</v>
      </c>
      <c r="AE15" s="676">
        <f t="shared" si="12"/>
        <v>2.06</v>
      </c>
      <c r="AF15" s="676">
        <f t="shared" si="13"/>
        <v>6.2700000000000005</v>
      </c>
      <c r="AG15" s="676">
        <f t="shared" si="6"/>
        <v>6.95</v>
      </c>
      <c r="AI15" s="680" t="str">
        <f t="shared" si="14"/>
        <v/>
      </c>
      <c r="AJ15" s="680" t="str">
        <f t="shared" si="15"/>
        <v/>
      </c>
      <c r="AK15" s="680" t="str">
        <f t="shared" si="16"/>
        <v/>
      </c>
    </row>
    <row r="16" spans="1:37" s="501" customFormat="1" ht="18" customHeight="1" thickBot="1" x14ac:dyDescent="0.3">
      <c r="A16" s="594" t="s">
        <v>271</v>
      </c>
      <c r="B16" s="595" t="str">
        <f t="shared" si="0"/>
        <v/>
      </c>
      <c r="C16" s="596" t="str">
        <f t="shared" si="7"/>
        <v/>
      </c>
      <c r="D16" s="597" t="str">
        <f t="shared" si="1"/>
        <v/>
      </c>
      <c r="E16" s="598" t="str">
        <f t="shared" si="2"/>
        <v/>
      </c>
      <c r="F16" s="387" t="str">
        <f t="shared" si="8"/>
        <v/>
      </c>
      <c r="G16" s="591" t="str">
        <f t="shared" si="3"/>
        <v/>
      </c>
      <c r="H16" s="628" t="str">
        <f>IF((SUM(OF!D$5:'OF'!D$10)=0),"", WBF!G269)</f>
        <v/>
      </c>
      <c r="I16" s="592" t="str">
        <f>IF((H16=""),"",IF((H16&lt;1),0,WBF!G270))</f>
        <v/>
      </c>
      <c r="J16" s="494"/>
      <c r="K16" s="494"/>
      <c r="L16" s="672">
        <v>0</v>
      </c>
      <c r="M16" s="672">
        <v>8.2830687830687832</v>
      </c>
      <c r="N16" s="672">
        <v>8.2830687830687832</v>
      </c>
      <c r="O16" s="672">
        <v>0</v>
      </c>
      <c r="P16" s="672">
        <v>10</v>
      </c>
      <c r="Q16" s="672">
        <v>10</v>
      </c>
      <c r="R16" s="567"/>
      <c r="S16" s="676">
        <v>2.5099999999999998</v>
      </c>
      <c r="T16" s="676">
        <v>6.3</v>
      </c>
      <c r="U16" s="676">
        <v>2.5</v>
      </c>
      <c r="V16" s="676">
        <v>6.67</v>
      </c>
      <c r="W16" s="569"/>
      <c r="X16" s="676">
        <v>0.65</v>
      </c>
      <c r="Y16" s="676">
        <f t="shared" si="9"/>
        <v>1.8599999999999999</v>
      </c>
      <c r="Z16" s="676">
        <f t="shared" si="10"/>
        <v>3.1599999999999997</v>
      </c>
      <c r="AA16" s="676">
        <f t="shared" si="11"/>
        <v>5.6499999999999995</v>
      </c>
      <c r="AB16" s="676">
        <f t="shared" si="4"/>
        <v>6.95</v>
      </c>
      <c r="AC16" s="676">
        <v>0.55000000000000004</v>
      </c>
      <c r="AD16" s="676">
        <f t="shared" si="5"/>
        <v>1.95</v>
      </c>
      <c r="AE16" s="676">
        <f t="shared" si="12"/>
        <v>3.05</v>
      </c>
      <c r="AF16" s="676">
        <f t="shared" si="13"/>
        <v>6.12</v>
      </c>
      <c r="AG16" s="676">
        <f t="shared" si="6"/>
        <v>7.22</v>
      </c>
      <c r="AI16" s="680" t="str">
        <f t="shared" si="14"/>
        <v/>
      </c>
      <c r="AJ16" s="680" t="str">
        <f t="shared" si="15"/>
        <v/>
      </c>
      <c r="AK16" s="680" t="str">
        <f t="shared" si="16"/>
        <v/>
      </c>
    </row>
    <row r="17" spans="1:37" s="501" customFormat="1" ht="18" customHeight="1" thickTop="1" x14ac:dyDescent="0.25">
      <c r="A17" s="503" t="s">
        <v>93</v>
      </c>
      <c r="B17" s="383" t="str">
        <f t="shared" si="0"/>
        <v/>
      </c>
      <c r="C17" s="489" t="str">
        <f t="shared" si="7"/>
        <v/>
      </c>
      <c r="D17" s="486" t="str">
        <f t="shared" si="1"/>
        <v/>
      </c>
      <c r="E17" s="593" t="str">
        <f t="shared" si="2"/>
        <v/>
      </c>
      <c r="F17" s="589" t="str">
        <f t="shared" si="8"/>
        <v/>
      </c>
      <c r="G17" s="486" t="str">
        <f t="shared" si="3"/>
        <v/>
      </c>
      <c r="H17" s="626" t="str">
        <f>IF((SUM(OF!D$5:'OF'!D$10)=0),"", INV!G215)</f>
        <v/>
      </c>
      <c r="I17" s="385" t="str">
        <f>IF((H17=""),"",IF((H17&lt;1),0,INV!G216))</f>
        <v/>
      </c>
      <c r="J17" s="494"/>
      <c r="K17" s="494"/>
      <c r="L17" s="672">
        <v>2.2945326278659612</v>
      </c>
      <c r="M17" s="672">
        <v>9.1388888888888893</v>
      </c>
      <c r="N17" s="672">
        <v>6.844356261022928</v>
      </c>
      <c r="O17" s="672">
        <v>0.63406580687830683</v>
      </c>
      <c r="P17" s="672">
        <v>10</v>
      </c>
      <c r="Q17" s="672">
        <v>9.365934193121694</v>
      </c>
      <c r="R17" s="567"/>
      <c r="S17" s="676">
        <v>4.4400000000000004</v>
      </c>
      <c r="T17" s="676">
        <v>6.92</v>
      </c>
      <c r="U17" s="676">
        <v>3.07</v>
      </c>
      <c r="V17" s="676">
        <v>5.83</v>
      </c>
      <c r="W17" s="569"/>
      <c r="X17" s="676">
        <v>0.69</v>
      </c>
      <c r="Y17" s="676">
        <f t="shared" si="9"/>
        <v>3.7500000000000004</v>
      </c>
      <c r="Z17" s="676">
        <f t="shared" si="10"/>
        <v>5.1300000000000008</v>
      </c>
      <c r="AA17" s="676">
        <f t="shared" si="11"/>
        <v>6.23</v>
      </c>
      <c r="AB17" s="676">
        <f t="shared" si="4"/>
        <v>7.6099999999999994</v>
      </c>
      <c r="AC17" s="676">
        <v>0.27</v>
      </c>
      <c r="AD17" s="676">
        <f t="shared" si="5"/>
        <v>2.8</v>
      </c>
      <c r="AE17" s="676">
        <f t="shared" si="12"/>
        <v>3.34</v>
      </c>
      <c r="AF17" s="676">
        <f t="shared" si="13"/>
        <v>5.5600000000000005</v>
      </c>
      <c r="AG17" s="676">
        <f t="shared" si="6"/>
        <v>6.1</v>
      </c>
      <c r="AI17" s="680" t="str">
        <f t="shared" si="14"/>
        <v/>
      </c>
      <c r="AJ17" s="680" t="str">
        <f t="shared" si="15"/>
        <v/>
      </c>
      <c r="AK17" s="680" t="str">
        <f t="shared" si="16"/>
        <v/>
      </c>
    </row>
    <row r="18" spans="1:37" s="501" customFormat="1" ht="18" customHeight="1" x14ac:dyDescent="0.25">
      <c r="A18" s="504" t="s">
        <v>2594</v>
      </c>
      <c r="B18" s="386" t="str">
        <f t="shared" si="0"/>
        <v/>
      </c>
      <c r="C18" s="490" t="str">
        <f t="shared" si="7"/>
        <v/>
      </c>
      <c r="D18" s="487" t="str">
        <f t="shared" si="1"/>
        <v/>
      </c>
      <c r="E18" s="390" t="str">
        <f t="shared" si="2"/>
        <v/>
      </c>
      <c r="F18" s="390" t="str">
        <f t="shared" si="8"/>
        <v/>
      </c>
      <c r="G18" s="487" t="str">
        <f t="shared" si="3"/>
        <v/>
      </c>
      <c r="H18" s="627" t="str">
        <f>IF((SUM(OF!D$5:'OF'!D$10)=0),"", SBM!G313)</f>
        <v/>
      </c>
      <c r="I18" s="388" t="str">
        <f>IF((H18=""),"",IF((H18&lt;1), 0, SBM!G314))</f>
        <v/>
      </c>
      <c r="J18" s="494"/>
      <c r="K18" s="494"/>
      <c r="L18" s="672">
        <v>2.5577164502164509</v>
      </c>
      <c r="M18" s="672">
        <v>10</v>
      </c>
      <c r="N18" s="672">
        <f>M18-L18</f>
        <v>7.4422835497835491</v>
      </c>
      <c r="O18" s="672">
        <v>0</v>
      </c>
      <c r="P18" s="672">
        <v>10</v>
      </c>
      <c r="Q18" s="672">
        <v>10</v>
      </c>
      <c r="R18" s="567"/>
      <c r="S18" s="676">
        <v>3.69</v>
      </c>
      <c r="T18" s="676">
        <v>5.7</v>
      </c>
      <c r="U18" s="676">
        <v>4.17</v>
      </c>
      <c r="V18" s="676">
        <v>7.5</v>
      </c>
      <c r="W18" s="569"/>
      <c r="X18" s="676">
        <v>0.65</v>
      </c>
      <c r="Y18" s="676">
        <f t="shared" si="9"/>
        <v>3.04</v>
      </c>
      <c r="Z18" s="676">
        <f t="shared" si="10"/>
        <v>4.34</v>
      </c>
      <c r="AA18" s="676">
        <f t="shared" si="11"/>
        <v>5.05</v>
      </c>
      <c r="AB18" s="676">
        <f t="shared" si="4"/>
        <v>6.3500000000000005</v>
      </c>
      <c r="AC18" s="676">
        <v>0.21</v>
      </c>
      <c r="AD18" s="676">
        <f t="shared" si="5"/>
        <v>3.96</v>
      </c>
      <c r="AE18" s="676">
        <f t="shared" si="12"/>
        <v>4.38</v>
      </c>
      <c r="AF18" s="676">
        <f t="shared" si="13"/>
        <v>7.29</v>
      </c>
      <c r="AG18" s="676">
        <f t="shared" si="6"/>
        <v>7.71</v>
      </c>
      <c r="AI18" s="680" t="str">
        <f t="shared" si="14"/>
        <v/>
      </c>
      <c r="AJ18" s="680" t="str">
        <f t="shared" si="15"/>
        <v/>
      </c>
      <c r="AK18" s="680" t="str">
        <f t="shared" si="16"/>
        <v/>
      </c>
    </row>
    <row r="19" spans="1:37" s="501" customFormat="1" ht="18" customHeight="1" x14ac:dyDescent="0.25">
      <c r="A19" s="504" t="s">
        <v>1569</v>
      </c>
      <c r="B19" s="386" t="str">
        <f t="shared" si="0"/>
        <v/>
      </c>
      <c r="C19" s="490" t="str">
        <f t="shared" si="7"/>
        <v/>
      </c>
      <c r="D19" s="487" t="str">
        <f t="shared" si="1"/>
        <v/>
      </c>
      <c r="E19" s="390" t="str">
        <f t="shared" si="2"/>
        <v/>
      </c>
      <c r="F19" s="390" t="str">
        <f t="shared" si="8"/>
        <v/>
      </c>
      <c r="G19" s="487" t="str">
        <f t="shared" si="3"/>
        <v/>
      </c>
      <c r="H19" s="627" t="str">
        <f>IF((SUM(OF!D$5:'OF'!D$10)=0),"", WC!G125)</f>
        <v/>
      </c>
      <c r="I19" s="388" t="str">
        <f>IF((H19=""),"",IF((H19&lt;1), 0, WC!G126))</f>
        <v/>
      </c>
      <c r="J19" s="494"/>
      <c r="K19" s="494"/>
      <c r="L19" s="672">
        <v>0</v>
      </c>
      <c r="M19" s="672">
        <v>8.3333333333333339</v>
      </c>
      <c r="N19" s="672">
        <v>8.3333333333333339</v>
      </c>
      <c r="O19" s="672">
        <v>0</v>
      </c>
      <c r="P19" s="672">
        <v>9.5337301587301582</v>
      </c>
      <c r="Q19" s="672">
        <v>9.5337301587301582</v>
      </c>
      <c r="R19" s="567"/>
      <c r="S19" s="676">
        <v>2.46</v>
      </c>
      <c r="T19" s="676">
        <v>5.05</v>
      </c>
      <c r="U19" s="676">
        <v>2</v>
      </c>
      <c r="V19" s="676">
        <v>4.75</v>
      </c>
      <c r="W19" s="569"/>
      <c r="X19" s="676">
        <v>0.83</v>
      </c>
      <c r="Y19" s="676">
        <f t="shared" si="9"/>
        <v>1.63</v>
      </c>
      <c r="Z19" s="676">
        <f t="shared" si="10"/>
        <v>3.29</v>
      </c>
      <c r="AA19" s="676">
        <f t="shared" si="11"/>
        <v>4.22</v>
      </c>
      <c r="AB19" s="676">
        <f t="shared" si="4"/>
        <v>5.88</v>
      </c>
      <c r="AC19" s="676">
        <v>0.54</v>
      </c>
      <c r="AD19" s="676">
        <f t="shared" si="5"/>
        <v>1.46</v>
      </c>
      <c r="AE19" s="676">
        <f t="shared" si="12"/>
        <v>2.54</v>
      </c>
      <c r="AF19" s="676">
        <f t="shared" si="13"/>
        <v>4.21</v>
      </c>
      <c r="AG19" s="676">
        <f t="shared" si="6"/>
        <v>5.29</v>
      </c>
      <c r="AI19" s="680" t="str">
        <f t="shared" si="14"/>
        <v/>
      </c>
      <c r="AJ19" s="680" t="str">
        <f t="shared" si="15"/>
        <v/>
      </c>
      <c r="AK19" s="680" t="str">
        <f t="shared" si="16"/>
        <v/>
      </c>
    </row>
    <row r="20" spans="1:37" s="501" customFormat="1" ht="18" customHeight="1" x14ac:dyDescent="0.25">
      <c r="A20" s="504" t="s">
        <v>1574</v>
      </c>
      <c r="B20" s="386" t="str">
        <f t="shared" si="0"/>
        <v/>
      </c>
      <c r="C20" s="490" t="str">
        <f t="shared" si="7"/>
        <v/>
      </c>
      <c r="D20" s="487" t="str">
        <f t="shared" si="1"/>
        <v/>
      </c>
      <c r="E20" s="390" t="str">
        <f t="shared" si="2"/>
        <v/>
      </c>
      <c r="F20" s="390" t="str">
        <f t="shared" si="8"/>
        <v/>
      </c>
      <c r="G20" s="487" t="str">
        <f t="shared" si="3"/>
        <v/>
      </c>
      <c r="H20" s="627" t="str">
        <f>IF((SUM(OF!D$5:'OF'!D$10)=0),"", PD!G321)</f>
        <v/>
      </c>
      <c r="I20" s="388" t="str">
        <f>IF((H20=""),"", IF((H20&lt;1), 0, PD!G322))</f>
        <v/>
      </c>
      <c r="J20" s="494"/>
      <c r="K20" s="494"/>
      <c r="L20" s="672">
        <v>0</v>
      </c>
      <c r="M20" s="672">
        <v>8.9694749694749696</v>
      </c>
      <c r="N20" s="672">
        <v>8.9694749694749696</v>
      </c>
      <c r="O20" s="672">
        <v>0</v>
      </c>
      <c r="P20" s="672">
        <v>10</v>
      </c>
      <c r="Q20" s="672">
        <v>10</v>
      </c>
      <c r="R20" s="567"/>
      <c r="S20" s="676">
        <v>0.01</v>
      </c>
      <c r="T20" s="676">
        <v>6.6</v>
      </c>
      <c r="U20" s="676">
        <v>4.29</v>
      </c>
      <c r="V20" s="676">
        <v>6.67</v>
      </c>
      <c r="W20" s="569"/>
      <c r="X20" s="676">
        <v>0.96</v>
      </c>
      <c r="Y20" s="676">
        <f t="shared" si="9"/>
        <v>-0.95</v>
      </c>
      <c r="Z20" s="676">
        <f t="shared" si="10"/>
        <v>0.97</v>
      </c>
      <c r="AA20" s="676">
        <f t="shared" si="11"/>
        <v>5.64</v>
      </c>
      <c r="AB20" s="676">
        <f t="shared" si="4"/>
        <v>7.56</v>
      </c>
      <c r="AC20" s="676">
        <v>1.1299999999999999</v>
      </c>
      <c r="AD20" s="676">
        <f t="shared" si="5"/>
        <v>3.16</v>
      </c>
      <c r="AE20" s="676">
        <f t="shared" si="12"/>
        <v>5.42</v>
      </c>
      <c r="AF20" s="676">
        <f t="shared" si="13"/>
        <v>5.54</v>
      </c>
      <c r="AG20" s="676">
        <f t="shared" si="6"/>
        <v>7.8</v>
      </c>
      <c r="AI20" s="680" t="str">
        <f t="shared" si="14"/>
        <v/>
      </c>
      <c r="AJ20" s="680" t="str">
        <f t="shared" si="15"/>
        <v/>
      </c>
      <c r="AK20" s="680" t="str">
        <f t="shared" si="16"/>
        <v/>
      </c>
    </row>
    <row r="21" spans="1:37" s="501" customFormat="1" ht="18" customHeight="1" x14ac:dyDescent="0.25">
      <c r="A21" s="504" t="s">
        <v>94</v>
      </c>
      <c r="B21" s="386" t="str">
        <f t="shared" si="0"/>
        <v/>
      </c>
      <c r="C21" s="490" t="str">
        <f t="shared" si="7"/>
        <v/>
      </c>
      <c r="D21" s="487" t="str">
        <f t="shared" si="1"/>
        <v/>
      </c>
      <c r="E21" s="390" t="str">
        <f t="shared" si="2"/>
        <v/>
      </c>
      <c r="F21" s="390" t="str">
        <f t="shared" si="8"/>
        <v/>
      </c>
      <c r="G21" s="487" t="str">
        <f t="shared" si="3"/>
        <v/>
      </c>
      <c r="H21" s="627" t="str">
        <f>IF((SUM(OF!D$5:'OF'!D$10)=0),"",POL!G154)</f>
        <v/>
      </c>
      <c r="I21" s="391" t="str">
        <f>IF((H21=""),"", IF((H21&lt;1),0, POL!G155))</f>
        <v/>
      </c>
      <c r="J21" s="495"/>
      <c r="K21" s="495"/>
      <c r="L21" s="673">
        <v>0</v>
      </c>
      <c r="M21" s="673">
        <v>8.6111111111111107</v>
      </c>
      <c r="N21" s="673">
        <v>8.6111111111111107</v>
      </c>
      <c r="O21" s="673">
        <v>0</v>
      </c>
      <c r="P21" s="673">
        <v>8.0833333333333339</v>
      </c>
      <c r="Q21" s="673">
        <v>8.0833333333333339</v>
      </c>
      <c r="R21" s="567"/>
      <c r="S21" s="676">
        <v>0.01</v>
      </c>
      <c r="T21" s="676">
        <v>6.73</v>
      </c>
      <c r="U21" s="676">
        <v>2.27</v>
      </c>
      <c r="V21" s="676">
        <v>5.15</v>
      </c>
      <c r="W21" s="569"/>
      <c r="X21" s="676">
        <v>0.78</v>
      </c>
      <c r="Y21" s="676">
        <f t="shared" si="9"/>
        <v>-0.77</v>
      </c>
      <c r="Z21" s="676">
        <f t="shared" si="10"/>
        <v>0.79</v>
      </c>
      <c r="AA21" s="676">
        <f t="shared" si="11"/>
        <v>5.95</v>
      </c>
      <c r="AB21" s="676">
        <f t="shared" si="4"/>
        <v>7.5100000000000007</v>
      </c>
      <c r="AC21" s="676">
        <v>0.65</v>
      </c>
      <c r="AD21" s="676">
        <f t="shared" si="5"/>
        <v>1.62</v>
      </c>
      <c r="AE21" s="676">
        <f t="shared" si="12"/>
        <v>2.92</v>
      </c>
      <c r="AF21" s="676">
        <f t="shared" si="13"/>
        <v>4.5</v>
      </c>
      <c r="AG21" s="676">
        <f t="shared" si="6"/>
        <v>5.8000000000000007</v>
      </c>
      <c r="AI21" s="680" t="str">
        <f t="shared" si="14"/>
        <v/>
      </c>
      <c r="AJ21" s="680" t="str">
        <f t="shared" si="15"/>
        <v/>
      </c>
      <c r="AK21" s="680" t="str">
        <f t="shared" si="16"/>
        <v/>
      </c>
    </row>
    <row r="22" spans="1:37" s="501" customFormat="1" ht="18" customHeight="1" thickBot="1" x14ac:dyDescent="0.3">
      <c r="A22" s="505" t="s">
        <v>62</v>
      </c>
      <c r="B22" s="389" t="str">
        <f t="shared" si="0"/>
        <v/>
      </c>
      <c r="C22" s="491" t="str">
        <f t="shared" si="7"/>
        <v/>
      </c>
      <c r="D22" s="591" t="str">
        <f t="shared" si="1"/>
        <v/>
      </c>
      <c r="E22" s="621"/>
      <c r="F22" s="622"/>
      <c r="G22" s="605"/>
      <c r="H22" s="629" t="str">
        <f>IF((SUM(OF!D$5:'OF'!D$10)=0),"", OE!G231)</f>
        <v/>
      </c>
      <c r="I22" s="392"/>
      <c r="J22" s="494"/>
      <c r="K22" s="494"/>
      <c r="L22" s="672">
        <v>0</v>
      </c>
      <c r="M22" s="672">
        <v>8.8547619047619044</v>
      </c>
      <c r="N22" s="672">
        <v>8.8547619047619044</v>
      </c>
      <c r="O22" s="674"/>
      <c r="P22" s="674"/>
      <c r="Q22" s="674"/>
      <c r="R22" s="567"/>
      <c r="S22" s="676">
        <v>0.01</v>
      </c>
      <c r="T22" s="676">
        <v>6.93</v>
      </c>
      <c r="U22" s="676"/>
      <c r="V22" s="676"/>
      <c r="W22" s="569"/>
      <c r="X22" s="676">
        <v>0.51</v>
      </c>
      <c r="Y22" s="676">
        <f t="shared" si="9"/>
        <v>-0.5</v>
      </c>
      <c r="Z22" s="676">
        <f t="shared" si="10"/>
        <v>0.52</v>
      </c>
      <c r="AA22" s="676">
        <f t="shared" si="11"/>
        <v>6.42</v>
      </c>
      <c r="AB22" s="676">
        <f t="shared" si="4"/>
        <v>7.4399999999999995</v>
      </c>
      <c r="AC22" s="676"/>
      <c r="AD22" s="676"/>
      <c r="AE22" s="676"/>
      <c r="AF22" s="676"/>
      <c r="AG22" s="676"/>
      <c r="AI22" s="680" t="str">
        <f t="shared" si="14"/>
        <v/>
      </c>
      <c r="AJ22" s="680" t="str">
        <f>IF((C22=""),"",1)</f>
        <v/>
      </c>
      <c r="AK22" s="680" t="str">
        <f t="shared" si="16"/>
        <v/>
      </c>
    </row>
    <row r="23" spans="1:37" s="501" customFormat="1" ht="18" customHeight="1" thickTop="1" x14ac:dyDescent="0.25">
      <c r="A23" s="587" t="s">
        <v>92</v>
      </c>
      <c r="B23" s="588" t="str">
        <f t="shared" si="0"/>
        <v/>
      </c>
      <c r="C23" s="589" t="str">
        <f t="shared" si="7"/>
        <v/>
      </c>
      <c r="D23" s="590" t="str">
        <f t="shared" si="1"/>
        <v/>
      </c>
      <c r="E23" s="620"/>
      <c r="F23" s="623"/>
      <c r="G23" s="624"/>
      <c r="H23" s="630" t="str">
        <f>IF((SUM(OF!D$5:'OF'!D$10)=0),"", CS!G185)</f>
        <v/>
      </c>
      <c r="I23" s="616"/>
      <c r="J23" s="617"/>
      <c r="K23" s="495"/>
      <c r="L23" s="672">
        <v>1.1904761904761905</v>
      </c>
      <c r="M23" s="672">
        <v>8.0142857142857142</v>
      </c>
      <c r="N23" s="672">
        <v>6.8238095238095235</v>
      </c>
      <c r="O23" s="674"/>
      <c r="P23" s="674"/>
      <c r="Q23" s="674"/>
      <c r="R23" s="567"/>
      <c r="S23" s="676">
        <v>3.84</v>
      </c>
      <c r="T23" s="676">
        <v>6.15</v>
      </c>
      <c r="U23" s="676"/>
      <c r="V23" s="676"/>
      <c r="W23" s="569"/>
      <c r="X23" s="676">
        <v>0.44</v>
      </c>
      <c r="Y23" s="676">
        <f t="shared" si="9"/>
        <v>3.4</v>
      </c>
      <c r="Z23" s="676">
        <f t="shared" si="10"/>
        <v>4.28</v>
      </c>
      <c r="AA23" s="676">
        <f t="shared" si="11"/>
        <v>5.71</v>
      </c>
      <c r="AB23" s="676">
        <f t="shared" si="4"/>
        <v>6.5900000000000007</v>
      </c>
      <c r="AC23" s="676"/>
      <c r="AD23" s="676"/>
      <c r="AE23" s="676"/>
      <c r="AF23" s="676"/>
      <c r="AG23" s="676"/>
    </row>
    <row r="24" spans="1:37" s="501" customFormat="1" ht="18" customHeight="1" x14ac:dyDescent="0.25">
      <c r="A24" s="585" t="s">
        <v>50</v>
      </c>
      <c r="B24" s="618"/>
      <c r="C24" s="619"/>
      <c r="D24" s="488"/>
      <c r="E24" s="386" t="str">
        <f>IF((I24=""),"",IF((I24&lt;O24),0, IF((I24&gt;=P24),10, 10*(I24-O24)/Q24)))</f>
        <v/>
      </c>
      <c r="F24" s="490" t="str">
        <f t="shared" ref="F24" si="17">IF((E24=""),"",IF((E24&lt;U24),"Lower", IF((E24&gt;=V24),"Higher", "Moderate")))</f>
        <v/>
      </c>
      <c r="G24" s="586" t="str">
        <f>IF((E24=""),"",IF(AND($E24&gt;$AD24,$E24&lt;$AE24,$E24&gt;0),"LM",  IF(AND($E24&gt;$AF24,$E24&lt;$AG24),"MH", "")))</f>
        <v/>
      </c>
      <c r="H24" s="631"/>
      <c r="I24" s="611" t="str">
        <f>IF((I8=""),"", PU!G95)</f>
        <v/>
      </c>
      <c r="J24" s="610"/>
      <c r="K24" s="494"/>
      <c r="L24" s="674"/>
      <c r="M24" s="674"/>
      <c r="N24" s="674"/>
      <c r="O24" s="672">
        <v>1.0902777777777777</v>
      </c>
      <c r="P24" s="672">
        <v>9.6875</v>
      </c>
      <c r="Q24" s="672">
        <v>8.5972222222222214</v>
      </c>
      <c r="R24" s="567"/>
      <c r="S24" s="676"/>
      <c r="T24" s="676"/>
      <c r="U24" s="676">
        <v>3.97</v>
      </c>
      <c r="V24" s="676">
        <v>6.72</v>
      </c>
      <c r="W24" s="569"/>
      <c r="X24" s="676"/>
      <c r="Y24" s="676"/>
      <c r="Z24" s="676"/>
      <c r="AA24" s="676"/>
      <c r="AB24" s="676"/>
      <c r="AC24" s="676">
        <v>0.62</v>
      </c>
      <c r="AD24" s="676">
        <f>$U24-$AC24</f>
        <v>3.35</v>
      </c>
      <c r="AE24" s="676">
        <f t="shared" ref="AE24:AE29" si="18">$U24+$AC24</f>
        <v>4.59</v>
      </c>
      <c r="AF24" s="676">
        <f t="shared" si="13"/>
        <v>6.1</v>
      </c>
      <c r="AG24" s="676">
        <f>$V24+$AC24</f>
        <v>7.34</v>
      </c>
    </row>
    <row r="25" spans="1:37" s="501" customFormat="1" ht="8.1" customHeight="1" x14ac:dyDescent="0.25">
      <c r="A25" s="640"/>
      <c r="B25" s="482"/>
      <c r="C25" s="481"/>
      <c r="D25" s="482"/>
      <c r="E25" s="660"/>
      <c r="F25" s="660"/>
      <c r="G25" s="660"/>
      <c r="H25" s="607"/>
      <c r="I25" s="608"/>
      <c r="J25" s="494"/>
      <c r="K25" s="494"/>
      <c r="L25" s="674"/>
      <c r="M25" s="674"/>
      <c r="N25" s="674"/>
      <c r="O25" s="672"/>
      <c r="P25" s="672"/>
      <c r="Q25" s="672"/>
      <c r="R25" s="567"/>
      <c r="S25" s="676"/>
      <c r="T25" s="676"/>
      <c r="U25" s="676"/>
      <c r="V25" s="676"/>
      <c r="W25" s="569"/>
      <c r="X25" s="676"/>
      <c r="Y25" s="676"/>
      <c r="Z25" s="676"/>
      <c r="AA25" s="676"/>
      <c r="AB25" s="676"/>
      <c r="AC25" s="676"/>
      <c r="AD25" s="676"/>
      <c r="AE25" s="676"/>
      <c r="AF25" s="676"/>
      <c r="AG25" s="676"/>
    </row>
    <row r="26" spans="1:37" s="501" customFormat="1" ht="30" customHeight="1" x14ac:dyDescent="0.25">
      <c r="A26" s="606" t="s">
        <v>2515</v>
      </c>
      <c r="B26" s="654" t="s">
        <v>2516</v>
      </c>
      <c r="C26" s="655" t="s">
        <v>2517</v>
      </c>
      <c r="D26" s="656" t="s">
        <v>2518</v>
      </c>
      <c r="E26" s="661"/>
      <c r="F26" s="662"/>
      <c r="G26" s="664"/>
      <c r="H26" s="668"/>
      <c r="I26" s="609"/>
      <c r="J26" s="610"/>
      <c r="K26" s="494"/>
      <c r="L26" s="674"/>
      <c r="M26" s="674"/>
      <c r="N26" s="674"/>
      <c r="O26" s="672"/>
      <c r="P26" s="672"/>
      <c r="Q26" s="672"/>
      <c r="R26" s="567"/>
      <c r="S26" s="676"/>
      <c r="T26" s="676"/>
      <c r="U26" s="676"/>
      <c r="V26" s="676"/>
      <c r="W26" s="569"/>
      <c r="X26" s="676"/>
      <c r="Y26" s="676"/>
      <c r="Z26" s="676"/>
      <c r="AA26" s="676"/>
      <c r="AB26" s="676"/>
      <c r="AC26" s="676"/>
      <c r="AD26" s="676"/>
      <c r="AE26" s="676"/>
      <c r="AF26" s="676"/>
      <c r="AG26" s="676"/>
    </row>
    <row r="27" spans="1:37" s="501" customFormat="1" ht="18" customHeight="1" x14ac:dyDescent="0.25">
      <c r="A27" s="504" t="s">
        <v>210</v>
      </c>
      <c r="B27" s="642" t="str">
        <f>IF((I27=""),"",IF((I27&lt;O27),0, IF((I27&gt;=P27),10, 10*(I27-O27)/Q27)))</f>
        <v/>
      </c>
      <c r="C27" s="490" t="str">
        <f>IF((B27=""),"",IF((B27&lt;U27),"Lower", IF((B27&gt;=V27),"Higher", "Moderate")))</f>
        <v/>
      </c>
      <c r="D27" s="586" t="str">
        <f>IF((B27=""),"",IF(AND($B27&gt;$AD27,$B27&lt;$AE27,$B27&gt;0),"LM",  IF(AND($B27&gt;$AF27,$B27&lt;$AG27),"MH", "")))</f>
        <v/>
      </c>
      <c r="E27" s="661"/>
      <c r="F27" s="662"/>
      <c r="G27" s="662"/>
      <c r="H27" s="669"/>
      <c r="I27" s="611" t="str">
        <f>IF((I8=""),"",Sens!G246)</f>
        <v/>
      </c>
      <c r="J27" s="610"/>
      <c r="K27" s="494"/>
      <c r="L27" s="674"/>
      <c r="M27" s="674"/>
      <c r="N27" s="674"/>
      <c r="O27" s="672">
        <v>3</v>
      </c>
      <c r="P27" s="672">
        <v>9.4375</v>
      </c>
      <c r="Q27" s="672">
        <v>6.4375</v>
      </c>
      <c r="R27" s="567"/>
      <c r="S27" s="676"/>
      <c r="T27" s="676"/>
      <c r="U27" s="676">
        <v>2.25</v>
      </c>
      <c r="V27" s="676">
        <v>4.4400000000000004</v>
      </c>
      <c r="W27" s="569"/>
      <c r="X27" s="676"/>
      <c r="Y27" s="676"/>
      <c r="Z27" s="676"/>
      <c r="AA27" s="676"/>
      <c r="AB27" s="676"/>
      <c r="AC27" s="676">
        <v>0.57999999999999996</v>
      </c>
      <c r="AD27" s="676">
        <f>$U27-$AC27</f>
        <v>1.67</v>
      </c>
      <c r="AE27" s="676">
        <f t="shared" si="18"/>
        <v>2.83</v>
      </c>
      <c r="AF27" s="676">
        <f>$V27-$AC27</f>
        <v>3.8600000000000003</v>
      </c>
      <c r="AG27" s="676">
        <f>$V27+$AC27</f>
        <v>5.0200000000000005</v>
      </c>
    </row>
    <row r="28" spans="1:37" s="501" customFormat="1" ht="18" customHeight="1" x14ac:dyDescent="0.25">
      <c r="A28" s="505" t="s">
        <v>1204</v>
      </c>
      <c r="B28" s="389" t="str">
        <f>IF((I28=""),"",IF((I28&lt;O28),0, IF((I28&gt;=P28),10, 10*(I28-O28)/Q28)))</f>
        <v/>
      </c>
      <c r="C28" s="663" t="str">
        <f>IF((B28=""),"",IF((B28&lt;U28),"Lower", IF((B28&gt;=V28),"Higher", "Moderate")))</f>
        <v/>
      </c>
      <c r="D28" s="613" t="str">
        <f>IF((B28=""),"",IF(AND($B28&gt;$AD28,$B28&lt;$AE28,$B28&gt;0),"LM",  IF(AND($B28&gt;$AF28,$B28&lt;$AG28),"MH", "")))</f>
        <v/>
      </c>
      <c r="E28" s="661"/>
      <c r="F28" s="662"/>
      <c r="G28" s="662"/>
      <c r="H28" s="670"/>
      <c r="I28" s="612" t="str">
        <f>IF((I8=""),"",EC!G69)</f>
        <v/>
      </c>
      <c r="J28" s="610"/>
      <c r="K28" s="494"/>
      <c r="L28" s="674"/>
      <c r="M28" s="674"/>
      <c r="N28" s="674"/>
      <c r="O28" s="672">
        <v>2.5</v>
      </c>
      <c r="P28" s="672">
        <v>10</v>
      </c>
      <c r="Q28" s="672">
        <v>7.5</v>
      </c>
      <c r="R28" s="567"/>
      <c r="S28" s="676"/>
      <c r="T28" s="676"/>
      <c r="U28" s="676">
        <v>2.92</v>
      </c>
      <c r="V28" s="676">
        <v>5.16</v>
      </c>
      <c r="W28" s="569"/>
      <c r="X28" s="676"/>
      <c r="Y28" s="676"/>
      <c r="Z28" s="676"/>
      <c r="AA28" s="676"/>
      <c r="AB28" s="676"/>
      <c r="AC28" s="676">
        <v>0.67</v>
      </c>
      <c r="AD28" s="676">
        <f>$U28-$AC28</f>
        <v>2.25</v>
      </c>
      <c r="AE28" s="676">
        <f t="shared" si="18"/>
        <v>3.59</v>
      </c>
      <c r="AF28" s="676">
        <f t="shared" si="13"/>
        <v>4.49</v>
      </c>
      <c r="AG28" s="676">
        <f>$V28+$AC28</f>
        <v>5.83</v>
      </c>
    </row>
    <row r="29" spans="1:37" s="501" customFormat="1" ht="18" customHeight="1" x14ac:dyDescent="0.25">
      <c r="A29" s="614" t="s">
        <v>211</v>
      </c>
      <c r="B29" s="642" t="str">
        <f>IF((I29=""),"",IF((I29&lt;O29),0, IF((I29&gt;=P29),10, 10*(I29-O29)/Q29)))</f>
        <v/>
      </c>
      <c r="C29" s="663" t="str">
        <f>IF((B29=""),"",IF((B29&lt;U29),"Lower", IF((B29&gt;=V29),"Higher", "Moderate")))</f>
        <v/>
      </c>
      <c r="D29" s="586" t="str">
        <f>IF((B29=""),"",IF(AND($B29&gt;$AD29,$B29&lt;$AE29,$B29&gt;0),"LM",  IF(AND($B29&gt;$AF29,$B29&lt;$AG29),"MH", "")))</f>
        <v/>
      </c>
      <c r="E29" s="661"/>
      <c r="F29" s="662"/>
      <c r="G29" s="662"/>
      <c r="H29" s="669"/>
      <c r="I29" s="612" t="str">
        <f>IF((I8=""),"",STR!G142)</f>
        <v/>
      </c>
      <c r="J29" s="610"/>
      <c r="K29" s="494"/>
      <c r="L29" s="674"/>
      <c r="M29" s="674"/>
      <c r="N29" s="674"/>
      <c r="O29" s="672">
        <v>0</v>
      </c>
      <c r="P29" s="672">
        <v>10</v>
      </c>
      <c r="Q29" s="672">
        <v>10</v>
      </c>
      <c r="R29" s="567"/>
      <c r="S29" s="676"/>
      <c r="T29" s="676"/>
      <c r="U29" s="676">
        <v>3.93</v>
      </c>
      <c r="V29" s="676">
        <v>7.47</v>
      </c>
      <c r="W29" s="569"/>
      <c r="X29" s="676"/>
      <c r="Y29" s="676"/>
      <c r="Z29" s="676"/>
      <c r="AA29" s="676"/>
      <c r="AB29" s="676"/>
      <c r="AC29" s="676">
        <v>0.82</v>
      </c>
      <c r="AD29" s="676">
        <f>$U29-$AC29</f>
        <v>3.1100000000000003</v>
      </c>
      <c r="AE29" s="676">
        <f t="shared" si="18"/>
        <v>4.75</v>
      </c>
      <c r="AF29" s="676">
        <f t="shared" si="13"/>
        <v>6.6499999999999995</v>
      </c>
      <c r="AG29" s="676">
        <f>$V29+$AC29</f>
        <v>8.2899999999999991</v>
      </c>
    </row>
    <row r="30" spans="1:37" ht="8.1" customHeight="1" thickBot="1" x14ac:dyDescent="0.3">
      <c r="A30" s="615"/>
      <c r="B30" s="1774"/>
      <c r="C30" s="1774"/>
      <c r="D30" s="1774"/>
      <c r="E30" s="1775"/>
      <c r="F30" s="1775"/>
      <c r="G30" s="1775"/>
      <c r="H30" s="1774"/>
      <c r="I30" s="1774"/>
      <c r="K30" s="563"/>
      <c r="L30" s="563"/>
      <c r="M30" s="563"/>
      <c r="N30" s="563"/>
      <c r="O30" s="563"/>
      <c r="P30" s="563"/>
      <c r="Q30" s="563"/>
    </row>
    <row r="31" spans="1:37" s="501" customFormat="1" ht="28.2" thickBot="1" x14ac:dyDescent="0.3">
      <c r="A31" s="498" t="s">
        <v>2514</v>
      </c>
      <c r="B31" s="1767" t="s">
        <v>2526</v>
      </c>
      <c r="C31" s="1768"/>
      <c r="D31" s="652" t="s">
        <v>2223</v>
      </c>
      <c r="E31" s="651" t="s">
        <v>2527</v>
      </c>
      <c r="F31" s="649" t="s">
        <v>2224</v>
      </c>
      <c r="G31" s="650" t="s">
        <v>2527</v>
      </c>
      <c r="H31" s="502"/>
      <c r="I31" s="502"/>
      <c r="J31" s="502"/>
      <c r="K31" s="563"/>
      <c r="L31" s="573"/>
      <c r="M31" s="573"/>
      <c r="N31" s="573"/>
      <c r="O31" s="573"/>
      <c r="P31" s="573"/>
      <c r="Q31" s="563"/>
      <c r="S31" s="564"/>
      <c r="T31" s="564"/>
      <c r="U31" s="564"/>
      <c r="V31" s="564"/>
      <c r="W31" s="564"/>
      <c r="X31" s="564"/>
      <c r="Y31" s="564"/>
      <c r="Z31" s="564"/>
      <c r="AA31" s="564"/>
      <c r="AB31" s="564"/>
      <c r="AC31" s="564"/>
      <c r="AD31" s="564"/>
    </row>
    <row r="32" spans="1:37" s="501" customFormat="1" ht="18" customHeight="1" x14ac:dyDescent="0.25">
      <c r="A32" s="506" t="s">
        <v>2519</v>
      </c>
      <c r="B32" s="1782" t="str">
        <f>IF((C8=""),"",A8)</f>
        <v/>
      </c>
      <c r="C32" s="1783"/>
      <c r="D32" s="681" t="str">
        <f>IF((C8=""),"",C8)</f>
        <v/>
      </c>
      <c r="E32" s="483" t="str">
        <f>IF((D8=""),"",D8)</f>
        <v/>
      </c>
      <c r="F32" s="483" t="str">
        <f>F8</f>
        <v/>
      </c>
      <c r="G32" s="570" t="str">
        <f>G8</f>
        <v/>
      </c>
      <c r="K32" s="563"/>
      <c r="L32" s="573"/>
      <c r="M32" s="573"/>
      <c r="N32" s="573"/>
      <c r="O32" s="573"/>
      <c r="P32" s="573"/>
      <c r="Q32" s="563"/>
      <c r="S32" s="564"/>
      <c r="T32" s="564"/>
      <c r="U32" s="564"/>
      <c r="V32" s="564"/>
      <c r="W32" s="564"/>
      <c r="X32" s="564"/>
      <c r="Y32" s="564"/>
      <c r="Z32" s="564"/>
      <c r="AA32" s="564"/>
      <c r="AB32" s="564"/>
      <c r="AC32" s="564"/>
      <c r="AD32" s="564"/>
    </row>
    <row r="33" spans="1:30" s="501" customFormat="1" ht="18" customHeight="1" x14ac:dyDescent="0.25">
      <c r="A33" s="507" t="s">
        <v>2520</v>
      </c>
      <c r="B33" s="1784" t="str">
        <f>IFERROR(INDEX(A9:A11,MATCH(MAX(AK9:AK11),AK9:AK11,0)),"")</f>
        <v/>
      </c>
      <c r="C33" s="1785"/>
      <c r="D33" s="571" t="str">
        <f>IFERROR(INDEX(C9:C11,MATCH(MAX(AK9:AK11),AK9:AK11,0)),"")</f>
        <v/>
      </c>
      <c r="E33" s="484" t="str">
        <f>IFERROR(INDEX(D9:D11,MATCH(MAX(AK9:AK11),AK9:AK11,0)),"")</f>
        <v/>
      </c>
      <c r="F33" s="484" t="str">
        <f>IFERROR(INDEX(F9:F11,MATCH(MAXA(AK9:AK11),AK9:AK11,0)),"")</f>
        <v/>
      </c>
      <c r="G33" s="632" t="str">
        <f>IFERROR(INDEX(G9:G11,MATCH(MAXA(AK9:AK11),AK9:AK11,0)),"")</f>
        <v/>
      </c>
      <c r="I33" s="501" t="s">
        <v>608</v>
      </c>
      <c r="K33" s="563"/>
      <c r="L33" s="573"/>
      <c r="M33" s="573"/>
      <c r="N33" s="573"/>
      <c r="O33" s="573"/>
      <c r="P33" s="573"/>
      <c r="Q33" s="563"/>
      <c r="S33" s="564"/>
      <c r="T33" s="564"/>
      <c r="U33" s="564"/>
      <c r="V33" s="564"/>
      <c r="W33" s="564"/>
      <c r="X33" s="564"/>
      <c r="Y33" s="564"/>
      <c r="Z33" s="564"/>
      <c r="AA33" s="564"/>
      <c r="AB33" s="564"/>
      <c r="AC33" s="564"/>
      <c r="AD33" s="564"/>
    </row>
    <row r="34" spans="1:30" s="501" customFormat="1" ht="18" customHeight="1" x14ac:dyDescent="0.25">
      <c r="A34" s="507" t="s">
        <v>2521</v>
      </c>
      <c r="B34" s="1784" t="str">
        <f>IFERROR(INDEX(A12:A13,MATCH(MAX(AK12:AK13),AK12:AK13,0)),"")</f>
        <v/>
      </c>
      <c r="C34" s="1785"/>
      <c r="D34" s="571" t="str">
        <f>IFERROR(INDEX(C12:C13,MATCH(MAX(AK12:AK13),AK12:AK13,0)),"")</f>
        <v/>
      </c>
      <c r="E34" s="484" t="str">
        <f>IFERROR(INDEX(D12:D13,MATCH(MAX(AK12:AK13),AK12:AK13,0)),"")</f>
        <v/>
      </c>
      <c r="F34" s="484" t="str">
        <f>IFERROR(INDEX(F12:F13,MATCH(MAXA(AK12:AK13),AK12:AK13,0)),"")</f>
        <v/>
      </c>
      <c r="G34" s="632" t="str">
        <f>IFERROR(INDEX(G12:G13,MATCH(MAXA(AK12:AK13),AK12:AK13,0)),"")</f>
        <v/>
      </c>
      <c r="K34" s="563"/>
      <c r="L34" s="573"/>
      <c r="M34" s="573"/>
      <c r="N34" s="573"/>
      <c r="O34" s="573"/>
      <c r="P34" s="573"/>
      <c r="Q34" s="563"/>
      <c r="S34" s="564"/>
      <c r="T34" s="564"/>
      <c r="U34" s="564"/>
      <c r="V34" s="564"/>
      <c r="W34" s="564"/>
      <c r="X34" s="564"/>
      <c r="Y34" s="564"/>
      <c r="Z34" s="564"/>
      <c r="AA34" s="564"/>
      <c r="AB34" s="564"/>
      <c r="AC34" s="564"/>
      <c r="AD34" s="564"/>
    </row>
    <row r="35" spans="1:30" s="501" customFormat="1" ht="18" customHeight="1" x14ac:dyDescent="0.25">
      <c r="A35" s="507" t="s">
        <v>2522</v>
      </c>
      <c r="B35" s="1784" t="str">
        <f>IFERROR(INDEX(A14:A16,MATCH(MAX(AK14:AK16),AK14:AK16,0)),"")</f>
        <v/>
      </c>
      <c r="C35" s="1785"/>
      <c r="D35" s="571" t="str">
        <f>IFERROR(INDEX(C14:C16,MATCH(MAX(AK14:AK16),AK14:AK16,0)),"")</f>
        <v/>
      </c>
      <c r="E35" s="484" t="str">
        <f>IFERROR(INDEX(D14:D16,MATCH(MAX(AK14:AK16),AK14:AK16,0)),"")</f>
        <v/>
      </c>
      <c r="F35" s="484" t="str">
        <f>IFERROR(INDEX(F14:F16,MATCH(MAXA(AK14:AK16),AK14:AK16,0)),"")</f>
        <v/>
      </c>
      <c r="G35" s="632" t="str">
        <f>IFERROR(INDEX(G14:G16,MATCH(MAXA(AK14:AK16),AK14:AK16,0)),"")</f>
        <v/>
      </c>
      <c r="K35" s="563"/>
      <c r="L35" s="573"/>
      <c r="M35" s="573"/>
      <c r="N35" s="573"/>
      <c r="O35" s="573"/>
      <c r="P35" s="573"/>
      <c r="Q35" s="563"/>
      <c r="S35" s="564"/>
      <c r="T35" s="564"/>
      <c r="U35" s="564"/>
      <c r="V35" s="564"/>
      <c r="W35" s="564"/>
      <c r="X35" s="564"/>
      <c r="Y35" s="564"/>
      <c r="Z35" s="564"/>
      <c r="AA35" s="564"/>
      <c r="AB35" s="564"/>
      <c r="AC35" s="564"/>
      <c r="AD35" s="564"/>
    </row>
    <row r="36" spans="1:30" s="501" customFormat="1" ht="30" customHeight="1" thickBot="1" x14ac:dyDescent="0.3">
      <c r="A36" s="508" t="s">
        <v>2523</v>
      </c>
      <c r="B36" s="1786" t="str">
        <f>IFERROR(INDEX(A17:A22,MATCH(MAX(AK17:AK22),AK17:AK22,0)),"")</f>
        <v/>
      </c>
      <c r="C36" s="1787"/>
      <c r="D36" s="572" t="str">
        <f>IFERROR(INDEX(C17:C22,MATCH(MAX(AK17:AK22),AK17:AK22,0)),"")</f>
        <v/>
      </c>
      <c r="E36" s="485" t="str">
        <f>IFERROR(INDEX(D17:D22,MATCH(MAX(AK17:AK22),AK17:AK22,0)),"")</f>
        <v/>
      </c>
      <c r="F36" s="485" t="str">
        <f>IFERROR(INDEX(F17:F22,MATCH(MAXA(AK17:AK22),AK17:AK22,0)),"")</f>
        <v/>
      </c>
      <c r="G36" s="633" t="str">
        <f>IFERROR(INDEX(G17:G22,MATCH(MAXA(AK17:AK22),AK17:AK22,0)),"")</f>
        <v/>
      </c>
      <c r="S36" s="564"/>
      <c r="T36" s="564"/>
      <c r="U36" s="564"/>
      <c r="V36" s="564"/>
      <c r="W36" s="564"/>
      <c r="X36" s="564"/>
      <c r="Y36" s="564"/>
      <c r="Z36" s="564"/>
      <c r="AA36" s="564"/>
      <c r="AB36" s="564"/>
      <c r="AC36" s="564"/>
      <c r="AD36" s="564"/>
    </row>
    <row r="37" spans="1:30" x14ac:dyDescent="0.3">
      <c r="B37" s="81"/>
      <c r="C37" s="81"/>
      <c r="D37" s="81"/>
      <c r="E37" s="82"/>
      <c r="F37" s="82"/>
      <c r="G37" s="81"/>
      <c r="H37" s="81"/>
      <c r="I37" s="81"/>
    </row>
    <row r="39" spans="1:30" ht="59.25" customHeight="1" x14ac:dyDescent="0.25">
      <c r="A39" s="1775" t="s">
        <v>2524</v>
      </c>
      <c r="B39" s="1775"/>
      <c r="C39" s="1775"/>
      <c r="D39" s="1775"/>
      <c r="E39" s="1775"/>
      <c r="F39" s="1775"/>
      <c r="G39" s="1775"/>
    </row>
    <row r="40" spans="1:30" ht="21.75" customHeight="1" x14ac:dyDescent="0.25">
      <c r="A40" s="1780" t="s">
        <v>2533</v>
      </c>
      <c r="B40" s="1780"/>
      <c r="C40" s="1780"/>
      <c r="D40" s="1780"/>
      <c r="E40" s="1780"/>
      <c r="F40" s="1780"/>
      <c r="G40" s="1780"/>
    </row>
    <row r="41" spans="1:30" ht="39.75" customHeight="1" x14ac:dyDescent="0.25">
      <c r="A41" s="1781" t="s">
        <v>2534</v>
      </c>
      <c r="B41" s="1781"/>
      <c r="C41" s="1781"/>
      <c r="D41" s="1781"/>
      <c r="E41" s="1781"/>
      <c r="F41" s="1781"/>
      <c r="G41" s="1781"/>
    </row>
    <row r="42" spans="1:30" ht="69.75" customHeight="1" x14ac:dyDescent="0.25">
      <c r="A42" s="1781" t="s">
        <v>2535</v>
      </c>
      <c r="B42" s="1781"/>
      <c r="C42" s="1781"/>
      <c r="D42" s="1781"/>
      <c r="E42" s="1781"/>
      <c r="F42" s="1781"/>
      <c r="G42" s="1781"/>
    </row>
    <row r="43" spans="1:30" ht="69.75" customHeight="1" x14ac:dyDescent="0.25">
      <c r="A43" s="1781" t="s">
        <v>2536</v>
      </c>
      <c r="B43" s="1781"/>
      <c r="C43" s="1781"/>
      <c r="D43" s="1781"/>
      <c r="E43" s="1781"/>
      <c r="F43" s="1781"/>
      <c r="G43" s="1781"/>
    </row>
    <row r="44" spans="1:30" ht="72.75" customHeight="1" x14ac:dyDescent="0.25">
      <c r="A44" s="1781" t="s">
        <v>2537</v>
      </c>
      <c r="B44" s="1781"/>
      <c r="C44" s="1781"/>
      <c r="D44" s="1781"/>
      <c r="E44" s="1781"/>
      <c r="F44" s="1781"/>
      <c r="G44" s="1781"/>
    </row>
    <row r="46" spans="1:30" x14ac:dyDescent="0.3">
      <c r="B46" s="653"/>
    </row>
  </sheetData>
  <sheetProtection password="C74A" sheet="1" objects="1" scenarios="1"/>
  <customSheetViews>
    <customSheetView guid="{B8E02330-2419-4DE6-AD01-7ACC7A5D18DD}" hiddenColumns="1">
      <selection sqref="A1:I1"/>
      <pageMargins left="0.25" right="0.25" top="0.75" bottom="0.75" header="0.3" footer="0.3"/>
      <pageSetup orientation="portrait" r:id="rId1"/>
      <headerFooter alignWithMargins="0"/>
    </customSheetView>
  </customSheetViews>
  <mergeCells count="25">
    <mergeCell ref="B32:C32"/>
    <mergeCell ref="B33:C33"/>
    <mergeCell ref="B34:C34"/>
    <mergeCell ref="B35:C35"/>
    <mergeCell ref="B36:C36"/>
    <mergeCell ref="A40:G40"/>
    <mergeCell ref="A44:G44"/>
    <mergeCell ref="A39:G39"/>
    <mergeCell ref="A43:G43"/>
    <mergeCell ref="A41:G41"/>
    <mergeCell ref="A42:G42"/>
    <mergeCell ref="B1:G1"/>
    <mergeCell ref="B2:G2"/>
    <mergeCell ref="B3:G3"/>
    <mergeCell ref="B31:C31"/>
    <mergeCell ref="AI6:AK6"/>
    <mergeCell ref="A6:G6"/>
    <mergeCell ref="AC6:AG6"/>
    <mergeCell ref="B30:I30"/>
    <mergeCell ref="A4:G4"/>
    <mergeCell ref="X6:AA6"/>
    <mergeCell ref="S6:T6"/>
    <mergeCell ref="U6:V6"/>
    <mergeCell ref="L6:N6"/>
    <mergeCell ref="O6:Q6"/>
  </mergeCells>
  <phoneticPr fontId="3" type="noConversion"/>
  <conditionalFormatting sqref="D33:D36">
    <cfRule type="expression" dxfId="0" priority="1">
      <formula>"enter =ISERROR(B8:C31)"</formula>
    </cfRule>
  </conditionalFormatting>
  <pageMargins left="0.25" right="0.25" top="0.75" bottom="0.75" header="0.3" footer="0.3"/>
  <pageSetup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176"/>
  <sheetViews>
    <sheetView zoomScaleNormal="100" workbookViewId="0">
      <selection activeCell="C74" sqref="C74"/>
    </sheetView>
  </sheetViews>
  <sheetFormatPr defaultColWidth="9.33203125" defaultRowHeight="13.8" x14ac:dyDescent="0.25"/>
  <cols>
    <col min="1" max="1" width="5.77734375" style="42" customWidth="1"/>
    <col min="2" max="2" width="18.77734375" style="42" customWidth="1"/>
    <col min="3" max="3" width="75.77734375" style="40" customWidth="1"/>
    <col min="4" max="4" width="6.77734375" style="52" customWidth="1"/>
    <col min="5" max="5" width="8.33203125" style="69" customWidth="1"/>
    <col min="6" max="6" width="6.77734375" style="70" customWidth="1"/>
    <col min="7" max="7" width="13.44140625" style="41" customWidth="1"/>
    <col min="8" max="8" width="75.77734375" style="40" customWidth="1"/>
    <col min="9" max="9" width="22.109375" style="40" customWidth="1"/>
    <col min="10" max="16384" width="9.33203125" style="40"/>
  </cols>
  <sheetData>
    <row r="1" spans="1:9" ht="78" customHeight="1" thickBot="1" x14ac:dyDescent="0.3">
      <c r="A1" s="1826" t="s">
        <v>572</v>
      </c>
      <c r="B1" s="1827"/>
      <c r="C1" s="151" t="s">
        <v>2008</v>
      </c>
      <c r="D1" s="194" t="s">
        <v>1171</v>
      </c>
      <c r="E1" s="1823"/>
      <c r="F1" s="1824"/>
      <c r="G1" s="1824"/>
      <c r="H1" s="1824"/>
    </row>
    <row r="2" spans="1:9" s="361" customFormat="1" ht="45.75" customHeight="1" thickBot="1" x14ac:dyDescent="0.3">
      <c r="A2" s="539" t="s">
        <v>126</v>
      </c>
      <c r="B2" s="540" t="s">
        <v>1459</v>
      </c>
      <c r="C2" s="541" t="s">
        <v>1271</v>
      </c>
      <c r="D2" s="376" t="s">
        <v>115</v>
      </c>
      <c r="E2" s="377" t="s">
        <v>771</v>
      </c>
      <c r="F2" s="378" t="s">
        <v>1461</v>
      </c>
      <c r="G2" s="379" t="s">
        <v>1273</v>
      </c>
      <c r="H2" s="376" t="s">
        <v>772</v>
      </c>
    </row>
    <row r="3" spans="1:9" ht="42" customHeight="1" thickBot="1" x14ac:dyDescent="0.3">
      <c r="A3" s="1799" t="str">
        <f>OF!A187</f>
        <v>OF35</v>
      </c>
      <c r="B3" s="1522" t="str">
        <f>OF!B187</f>
        <v>Runoff Contributing Area (RCA) - Wetland as % of (WetPctRCA)</v>
      </c>
      <c r="C3" s="4" t="str">
        <f>OF!C187</f>
        <v>Delimit the wetland's Runoff Contributing Area (RCA) using a topographic base map.  The area of the AA's wetland is:</v>
      </c>
      <c r="D3" s="195"/>
      <c r="E3" s="195"/>
      <c r="F3" s="204"/>
      <c r="G3" s="791">
        <f>MAX(F4:F7)/MAX(E4:E7)</f>
        <v>0</v>
      </c>
      <c r="H3" s="1522" t="s">
        <v>338</v>
      </c>
      <c r="I3" s="2"/>
    </row>
    <row r="4" spans="1:9" ht="16.2" customHeight="1" x14ac:dyDescent="0.25">
      <c r="A4" s="1800"/>
      <c r="B4" s="1521"/>
      <c r="C4" s="215" t="str">
        <f>OF!C188</f>
        <v>&lt;1% of its RCA.</v>
      </c>
      <c r="D4" s="44">
        <f>OF!D188</f>
        <v>0</v>
      </c>
      <c r="E4" s="206">
        <v>1</v>
      </c>
      <c r="F4" s="197">
        <f>D4*E4</f>
        <v>0</v>
      </c>
      <c r="G4" s="792"/>
      <c r="H4" s="1521"/>
      <c r="I4" s="2"/>
    </row>
    <row r="5" spans="1:9" ht="16.2" customHeight="1" x14ac:dyDescent="0.25">
      <c r="A5" s="1800"/>
      <c r="B5" s="1521"/>
      <c r="C5" s="216" t="str">
        <f>OF!C189</f>
        <v>1 to &lt;10% of its RCA.</v>
      </c>
      <c r="D5" s="44">
        <f>OF!D189</f>
        <v>0</v>
      </c>
      <c r="E5" s="206">
        <v>2</v>
      </c>
      <c r="F5" s="197">
        <f>D5*E5</f>
        <v>0</v>
      </c>
      <c r="G5" s="793"/>
      <c r="H5" s="1521"/>
      <c r="I5" s="2"/>
    </row>
    <row r="6" spans="1:9" ht="15.75" customHeight="1" x14ac:dyDescent="0.25">
      <c r="A6" s="1800"/>
      <c r="B6" s="1521"/>
      <c r="C6" s="216" t="str">
        <f>OF!C190</f>
        <v>10 to 100% of its RCA.</v>
      </c>
      <c r="D6" s="44">
        <f>OF!D190</f>
        <v>0</v>
      </c>
      <c r="E6" s="206">
        <v>3</v>
      </c>
      <c r="F6" s="197">
        <f>D6*E6</f>
        <v>0</v>
      </c>
      <c r="G6" s="793"/>
      <c r="H6" s="1521"/>
      <c r="I6" s="2"/>
    </row>
    <row r="7" spans="1:9" ht="15.75" customHeight="1" thickBot="1" x14ac:dyDescent="0.3">
      <c r="A7" s="1801"/>
      <c r="B7" s="1523"/>
      <c r="C7" s="254" t="str">
        <f>OF!C191</f>
        <v>Larger than the area of its RCA.  Enter 1 and SKIP TO OF39.</v>
      </c>
      <c r="D7" s="198">
        <f>OF!D191</f>
        <v>0</v>
      </c>
      <c r="E7" s="444">
        <v>4</v>
      </c>
      <c r="F7" s="200">
        <f>D7*E7</f>
        <v>0</v>
      </c>
      <c r="G7" s="794"/>
      <c r="H7" s="1523"/>
      <c r="I7" s="2"/>
    </row>
    <row r="8" spans="1:9" ht="60" customHeight="1" thickBot="1" x14ac:dyDescent="0.3">
      <c r="A8" s="1788" t="str">
        <f>OF!A206</f>
        <v>OF39</v>
      </c>
      <c r="B8" s="1522" t="str">
        <f>OF!B206</f>
        <v>Streamflow Contributing Area (SCA) - Wetland as % of (WetPctSCA)</v>
      </c>
      <c r="C8" s="4" t="str">
        <f>OF!C206</f>
        <v>Delimit (or visualize, for large river basins) the wetland's Streamflow Contributing Area (SCA) using a topographic base map. The area of the AA's wetland is:</v>
      </c>
      <c r="D8" s="195"/>
      <c r="E8" s="195"/>
      <c r="F8" s="204"/>
      <c r="G8" s="795">
        <f>IF((D13=1),"",MAX(F9:F12)/MAX(E9:E12))</f>
        <v>0</v>
      </c>
      <c r="H8" s="1522" t="s">
        <v>124</v>
      </c>
    </row>
    <row r="9" spans="1:9" ht="16.2" customHeight="1" x14ac:dyDescent="0.25">
      <c r="A9" s="1789"/>
      <c r="B9" s="1521"/>
      <c r="C9" s="265" t="str">
        <f>OF!C207</f>
        <v>&lt;1% of its SCA, or wetland is in the floodplain of a major river.</v>
      </c>
      <c r="D9" s="44">
        <f>OF!D207</f>
        <v>0</v>
      </c>
      <c r="E9" s="206">
        <v>1</v>
      </c>
      <c r="F9" s="197">
        <f>D9*E9</f>
        <v>0</v>
      </c>
      <c r="G9" s="796"/>
      <c r="H9" s="1521"/>
    </row>
    <row r="10" spans="1:9" ht="16.2" customHeight="1" x14ac:dyDescent="0.25">
      <c r="A10" s="1789"/>
      <c r="B10" s="1521"/>
      <c r="C10" s="266" t="str">
        <f>OF!C208</f>
        <v>1 to &lt;10% of its SCA.</v>
      </c>
      <c r="D10" s="44">
        <f>OF!D208</f>
        <v>0</v>
      </c>
      <c r="E10" s="206">
        <v>2</v>
      </c>
      <c r="F10" s="197">
        <f>D10*E10</f>
        <v>0</v>
      </c>
      <c r="G10" s="797"/>
      <c r="H10" s="1521"/>
    </row>
    <row r="11" spans="1:9" ht="16.2" customHeight="1" x14ac:dyDescent="0.25">
      <c r="A11" s="1789"/>
      <c r="B11" s="1521"/>
      <c r="C11" s="266" t="str">
        <f>OF!C209</f>
        <v>10 to 100% of its SCA.</v>
      </c>
      <c r="D11" s="44">
        <f>OF!D209</f>
        <v>0</v>
      </c>
      <c r="E11" s="206">
        <v>3</v>
      </c>
      <c r="F11" s="197">
        <f>D11*E11</f>
        <v>0</v>
      </c>
      <c r="G11" s="797"/>
      <c r="H11" s="1521"/>
    </row>
    <row r="12" spans="1:9" ht="16.2" customHeight="1" x14ac:dyDescent="0.25">
      <c r="A12" s="1789"/>
      <c r="B12" s="1521"/>
      <c r="C12" s="266" t="str">
        <f>OF!C210</f>
        <v>Larger than the area of its SCA.  Enter 1 and SKIP TO OF41.</v>
      </c>
      <c r="D12" s="44">
        <f>OF!D210</f>
        <v>0</v>
      </c>
      <c r="E12" s="206">
        <v>4</v>
      </c>
      <c r="F12" s="197">
        <f>D12*E12</f>
        <v>0</v>
      </c>
      <c r="G12" s="797"/>
      <c r="H12" s="1521"/>
    </row>
    <row r="13" spans="1:9" ht="16.2" customHeight="1" thickBot="1" x14ac:dyDescent="0.3">
      <c r="A13" s="1790"/>
      <c r="B13" s="1523"/>
      <c r="C13" s="262" t="str">
        <f>OF!C211</f>
        <v>Wetland lacks tributaries and receives no overbank water.  Enter 1 and SKIP to OF41.</v>
      </c>
      <c r="D13" s="198">
        <f>OF!D211</f>
        <v>0</v>
      </c>
      <c r="E13" s="444"/>
      <c r="F13" s="200"/>
      <c r="G13" s="798"/>
      <c r="H13" s="1523"/>
    </row>
    <row r="14" spans="1:9" ht="55.5" customHeight="1" thickBot="1" x14ac:dyDescent="0.3">
      <c r="A14" s="1803" t="str">
        <f>F!A7</f>
        <v>F3</v>
      </c>
      <c r="B14" s="1521" t="str">
        <f>F!B7</f>
        <v>Water Regime (Hydropd)</v>
      </c>
      <c r="C14" s="4" t="str">
        <f>F!C7</f>
        <v>The water regime (hydroperiod) of the most permanent (usually deepest) part of the AA is:  Select only ONE. 
[To meet any of the definitions other than Ephemeral, there must be &gt;100 sq ft of surface water for the duration described, otherwise mark the type listed above it.]</v>
      </c>
      <c r="D14" s="201"/>
      <c r="E14" s="201"/>
      <c r="F14" s="205"/>
      <c r="G14" s="799">
        <f>MAX(F15:F19)/MAX(E15:E19)</f>
        <v>0</v>
      </c>
      <c r="H14" s="1521" t="s">
        <v>1537</v>
      </c>
      <c r="I14" s="2"/>
    </row>
    <row r="15" spans="1:9" ht="42" customHeight="1" x14ac:dyDescent="0.25">
      <c r="A15" s="1803"/>
      <c r="B15" s="1521"/>
      <c r="C15" s="2" t="str">
        <f>F!C8</f>
        <v>Ephemeral.  Surface water in the wettest part of the AA is present for fewer than 7 consecutive days during an average growing season.  Includes some of the areas mapped as Saturated Nontidal in the ORWAP Map Viewer (which is not comprehensive).  Enter 1 and SKIP to F25.</v>
      </c>
      <c r="D15" s="44">
        <f>F!D8</f>
        <v>0</v>
      </c>
      <c r="E15" s="206">
        <v>5</v>
      </c>
      <c r="F15" s="203">
        <f>D15*E15</f>
        <v>0</v>
      </c>
      <c r="G15" s="793"/>
      <c r="H15" s="1521"/>
      <c r="I15" s="2"/>
    </row>
    <row r="16" spans="1:9" ht="63.75" customHeight="1" x14ac:dyDescent="0.25">
      <c r="A16" s="1803"/>
      <c r="B16" s="1521"/>
      <c r="C16" s="95" t="str">
        <f>F!C9</f>
        <v xml:space="preserve">Temporary.  Surface water present for 1-4 weeks consecutively during an average growing season, OR if persists for longer, it is almost entirely in scattered pools, each smaller than 1 sq.m.  Dries up completely during part of most average years.  Includes some of the areas mapped as Saturated Nontidal in the ORWAP Map Viewer (which is not comprehensive). Enter 1 and SKIP to F25. </v>
      </c>
      <c r="D16" s="44">
        <f>F!D9</f>
        <v>0</v>
      </c>
      <c r="E16" s="206">
        <v>4</v>
      </c>
      <c r="F16" s="203">
        <f>D16*E16</f>
        <v>0</v>
      </c>
      <c r="G16" s="793"/>
      <c r="H16" s="1521"/>
      <c r="I16" s="2"/>
    </row>
    <row r="17" spans="1:9" ht="54.75" customHeight="1" x14ac:dyDescent="0.25">
      <c r="A17" s="1803"/>
      <c r="B17" s="1521"/>
      <c r="C17" s="95" t="str">
        <f>F!C10</f>
        <v>Seasonal.  Surface water present for 5-17 weeks (1-4 months) consecutively during an average growing season, but dries up completely during part of most average years.  Includes some of the areas mapped as Seasonal Nontidal in the ORWAP Map Viewer (which is not comprehensive). Enter 1 and SKIP to F5.</v>
      </c>
      <c r="D17" s="44">
        <f>F!D10</f>
        <v>0</v>
      </c>
      <c r="E17" s="206">
        <v>3</v>
      </c>
      <c r="F17" s="203">
        <f>D17*E17</f>
        <v>0</v>
      </c>
      <c r="G17" s="793"/>
      <c r="H17" s="1521"/>
      <c r="I17" s="2"/>
    </row>
    <row r="18" spans="1:9" ht="57" customHeight="1" x14ac:dyDescent="0.25">
      <c r="A18" s="1803"/>
      <c r="B18" s="1521"/>
      <c r="C18" s="95" t="str">
        <f>F!C11</f>
        <v>Semi-Persistent.  Surface water present for more than 17 weeks (4 months) consecutively during an average growing season, but dries up completely during part of most average years.  Includes some of the areas mapped as Seasonal Nontidal in the ORWAP Map Viewer (which is not comprehensive). Enter 1 and SKIP to F5.</v>
      </c>
      <c r="D18" s="44">
        <f>F!D11</f>
        <v>0</v>
      </c>
      <c r="E18" s="206">
        <v>2</v>
      </c>
      <c r="F18" s="203">
        <f>D18*E18</f>
        <v>0</v>
      </c>
      <c r="G18" s="793"/>
      <c r="H18" s="1521"/>
      <c r="I18" s="2"/>
    </row>
    <row r="19" spans="1:9" ht="42" customHeight="1" thickBot="1" x14ac:dyDescent="0.3">
      <c r="A19" s="1803"/>
      <c r="B19" s="1521"/>
      <c r="C19" s="95" t="str">
        <f>F!C12</f>
        <v>Permanent.  Does not dry up completely during most average years. Includes some of the areas mapped as Persistent Nontidal in the ORWAP Map Viewer (which is not comprehensive).  Enter 1 and continue.</v>
      </c>
      <c r="D19" s="17">
        <f>F!D12</f>
        <v>0</v>
      </c>
      <c r="E19" s="207">
        <v>1</v>
      </c>
      <c r="F19" s="203">
        <f>D19*E19</f>
        <v>0</v>
      </c>
      <c r="G19" s="800"/>
      <c r="H19" s="1521"/>
      <c r="I19" s="2"/>
    </row>
    <row r="20" spans="1:9" ht="45" customHeight="1" thickBot="1" x14ac:dyDescent="0.3">
      <c r="A20" s="1821" t="str">
        <f>F!A13</f>
        <v>F4</v>
      </c>
      <c r="B20" s="1522" t="str">
        <f>F!B13</f>
        <v>Flooded Persistently - % of AA (PermW)</v>
      </c>
      <c r="C20" s="4" t="str">
        <f>F!C13</f>
        <v xml:space="preserve">Identify the parts of the AA that still contain surface water even during the driest times of a normal year . At that time, the percentage of the AA that still contains surface water is: </v>
      </c>
      <c r="D20" s="208"/>
      <c r="E20" s="195"/>
      <c r="F20" s="209"/>
      <c r="G20" s="801">
        <f>IF((NeverWater+TempWet&gt;0),"",MAX(F21:F24)/MAX(E21:E24))</f>
        <v>0</v>
      </c>
      <c r="H20" s="1599" t="s">
        <v>2007</v>
      </c>
    </row>
    <row r="21" spans="1:9" ht="16.2" customHeight="1" x14ac:dyDescent="0.25">
      <c r="A21" s="1822"/>
      <c r="B21" s="1521"/>
      <c r="C21" s="215" t="str">
        <f>F!C14</f>
        <v>1 to &lt;25% of the AA.</v>
      </c>
      <c r="D21" s="44">
        <f>F!D14</f>
        <v>0</v>
      </c>
      <c r="E21" s="206">
        <v>4</v>
      </c>
      <c r="F21" s="203">
        <f>D21*E21</f>
        <v>0</v>
      </c>
      <c r="G21" s="802"/>
      <c r="H21" s="1582"/>
    </row>
    <row r="22" spans="1:9" ht="16.2" customHeight="1" x14ac:dyDescent="0.25">
      <c r="A22" s="1822"/>
      <c r="B22" s="1521"/>
      <c r="C22" s="216" t="str">
        <f>F!C15</f>
        <v>25 to &lt;50% of the AA.</v>
      </c>
      <c r="D22" s="44">
        <f>F!D15</f>
        <v>0</v>
      </c>
      <c r="E22" s="206">
        <v>3</v>
      </c>
      <c r="F22" s="203">
        <f>D22*E22</f>
        <v>0</v>
      </c>
      <c r="G22" s="803"/>
      <c r="H22" s="1582"/>
    </row>
    <row r="23" spans="1:9" ht="16.2" customHeight="1" x14ac:dyDescent="0.25">
      <c r="A23" s="1822"/>
      <c r="B23" s="1521"/>
      <c r="C23" s="216" t="str">
        <f>F!C16</f>
        <v>50 to 95% of the AA.</v>
      </c>
      <c r="D23" s="44">
        <f>F!D16</f>
        <v>0</v>
      </c>
      <c r="E23" s="206">
        <v>2</v>
      </c>
      <c r="F23" s="203">
        <f>D23*E23</f>
        <v>0</v>
      </c>
      <c r="G23" s="803"/>
      <c r="H23" s="1582"/>
    </row>
    <row r="24" spans="1:9" ht="16.2" customHeight="1" thickBot="1" x14ac:dyDescent="0.3">
      <c r="A24" s="1822"/>
      <c r="B24" s="1523"/>
      <c r="C24" s="465" t="str">
        <f>F!C17</f>
        <v>&gt;95% of the AA.</v>
      </c>
      <c r="D24" s="198">
        <f>F!D17</f>
        <v>0</v>
      </c>
      <c r="E24" s="444">
        <v>1</v>
      </c>
      <c r="F24" s="200">
        <f>D24*E24</f>
        <v>0</v>
      </c>
      <c r="G24" s="798"/>
      <c r="H24" s="1600"/>
    </row>
    <row r="25" spans="1:9" ht="30" customHeight="1" thickBot="1" x14ac:dyDescent="0.3">
      <c r="A25" s="1804" t="str">
        <f>F!A54</f>
        <v>F12</v>
      </c>
      <c r="B25" s="1521" t="str">
        <f>F!B54</f>
        <v>All Ponded Water as Percentage - Wettest (PondWpctWet)</v>
      </c>
      <c r="C25" s="4" t="str">
        <f>F!C54</f>
        <v>When water levels are highest, during a normal year, the surface water that is ponded continually for &gt;6 days occupies:</v>
      </c>
      <c r="D25" s="65"/>
      <c r="E25" s="201"/>
      <c r="F25" s="217"/>
      <c r="G25" s="799">
        <f>IF((NeverWater+TempWet&gt;0),"",MAX(F26:F31)/MAX(E26:E31))</f>
        <v>0</v>
      </c>
      <c r="H25" s="1582" t="s">
        <v>1606</v>
      </c>
    </row>
    <row r="26" spans="1:9" ht="27" customHeight="1" x14ac:dyDescent="0.25">
      <c r="A26" s="1805"/>
      <c r="B26" s="1521"/>
      <c r="C26" s="2" t="str">
        <f>F!C55</f>
        <v xml:space="preserve">&lt;1% or none of the AA.  Surface water is completely or nearly absent then, or is entirely flowing. 
Enter 1 and SKIP TO F22. </v>
      </c>
      <c r="D26" s="44">
        <f>F!D55</f>
        <v>0</v>
      </c>
      <c r="E26" s="206">
        <v>0</v>
      </c>
      <c r="F26" s="203">
        <f t="shared" ref="F26:F31" si="0">D26*E26</f>
        <v>0</v>
      </c>
      <c r="G26" s="800"/>
      <c r="H26" s="1582"/>
    </row>
    <row r="27" spans="1:9" ht="16.2" customHeight="1" x14ac:dyDescent="0.25">
      <c r="A27" s="1805"/>
      <c r="B27" s="1521"/>
      <c r="C27" s="95" t="str">
        <f>F!C56</f>
        <v>1-5% of the AA.</v>
      </c>
      <c r="D27" s="44">
        <f>F!D56</f>
        <v>0</v>
      </c>
      <c r="E27" s="206">
        <v>1</v>
      </c>
      <c r="F27" s="203">
        <f t="shared" si="0"/>
        <v>0</v>
      </c>
      <c r="G27" s="800"/>
      <c r="H27" s="1582"/>
    </row>
    <row r="28" spans="1:9" ht="16.2" customHeight="1" x14ac:dyDescent="0.25">
      <c r="A28" s="1805"/>
      <c r="B28" s="1521"/>
      <c r="C28" s="95" t="str">
        <f>F!C57</f>
        <v>5 to &lt;30% of the AA.</v>
      </c>
      <c r="D28" s="44">
        <f>F!D57</f>
        <v>0</v>
      </c>
      <c r="E28" s="206">
        <v>2</v>
      </c>
      <c r="F28" s="203">
        <f t="shared" si="0"/>
        <v>0</v>
      </c>
      <c r="G28" s="800"/>
      <c r="H28" s="1582"/>
    </row>
    <row r="29" spans="1:9" ht="16.2" customHeight="1" x14ac:dyDescent="0.25">
      <c r="A29" s="1805"/>
      <c r="B29" s="1521"/>
      <c r="C29" s="95" t="str">
        <f>F!C58</f>
        <v>30 to &lt;70% of the AA.</v>
      </c>
      <c r="D29" s="44">
        <f>F!D58</f>
        <v>0</v>
      </c>
      <c r="E29" s="206">
        <v>3</v>
      </c>
      <c r="F29" s="203">
        <f t="shared" si="0"/>
        <v>0</v>
      </c>
      <c r="G29" s="800"/>
      <c r="H29" s="1582"/>
    </row>
    <row r="30" spans="1:9" ht="16.2" customHeight="1" x14ac:dyDescent="0.25">
      <c r="A30" s="1805"/>
      <c r="B30" s="1521"/>
      <c r="C30" s="95" t="str">
        <f>F!C59</f>
        <v>70 to 95% of the AA.</v>
      </c>
      <c r="D30" s="44">
        <f>F!D59</f>
        <v>0</v>
      </c>
      <c r="E30" s="206">
        <v>4</v>
      </c>
      <c r="F30" s="203">
        <f t="shared" si="0"/>
        <v>0</v>
      </c>
      <c r="G30" s="800"/>
      <c r="H30" s="1582"/>
    </row>
    <row r="31" spans="1:9" ht="16.2" customHeight="1" thickBot="1" x14ac:dyDescent="0.3">
      <c r="A31" s="1805"/>
      <c r="B31" s="1521"/>
      <c r="C31" s="95" t="str">
        <f>F!C60</f>
        <v>&gt;95% of the AA.</v>
      </c>
      <c r="D31" s="17">
        <f>F!D60</f>
        <v>0</v>
      </c>
      <c r="E31" s="207">
        <v>5</v>
      </c>
      <c r="F31" s="203">
        <f t="shared" si="0"/>
        <v>0</v>
      </c>
      <c r="G31" s="800"/>
      <c r="H31" s="1582"/>
    </row>
    <row r="32" spans="1:9" ht="34.5" customHeight="1" thickBot="1" x14ac:dyDescent="0.3">
      <c r="A32" s="1804" t="str">
        <f>F!A61</f>
        <v>F13</v>
      </c>
      <c r="B32" s="1522" t="str">
        <f>F!B61</f>
        <v>Ponded Open Water Area - Wettest  (OWareaWet)</v>
      </c>
      <c r="C32" s="4" t="str">
        <f>F!C61</f>
        <v>When water levels are highest, during a normal year, the AA's ponded open water occupies a cumulative area of:</v>
      </c>
      <c r="D32" s="195"/>
      <c r="E32" s="195"/>
      <c r="F32" s="218"/>
      <c r="G32" s="804">
        <f>IF((NeverWater+TempWet&gt;0),"",MAX(F33:F41)/MAX(E33:E41))</f>
        <v>0</v>
      </c>
      <c r="H32" s="1522" t="s">
        <v>1607</v>
      </c>
      <c r="I32" s="2"/>
    </row>
    <row r="33" spans="1:9" ht="16.2" customHeight="1" x14ac:dyDescent="0.25">
      <c r="A33" s="1805"/>
      <c r="B33" s="1521"/>
      <c r="C33" s="215" t="str">
        <f>F!C62</f>
        <v>&lt;0.10 acre (&lt; 4356 sq. ft) of the AA and adjacent ponded waters.  Enter 1 and SKIP TO F16.</v>
      </c>
      <c r="D33" s="44">
        <f>F!D62</f>
        <v>0</v>
      </c>
      <c r="E33" s="206">
        <v>0</v>
      </c>
      <c r="F33" s="203">
        <f t="shared" ref="F33:F41" si="1">D33*E33</f>
        <v>0</v>
      </c>
      <c r="G33" s="793"/>
      <c r="H33" s="1521"/>
      <c r="I33" s="2"/>
    </row>
    <row r="34" spans="1:9" ht="16.2" customHeight="1" x14ac:dyDescent="0.25">
      <c r="A34" s="1805"/>
      <c r="B34" s="1521"/>
      <c r="C34" s="216" t="str">
        <f>F!C63</f>
        <v>0.10 to &lt;0.50 acres (21,340 sq. ft) of the AA and adjacent ponded waters.</v>
      </c>
      <c r="D34" s="44">
        <f>F!D63</f>
        <v>0</v>
      </c>
      <c r="E34" s="206">
        <v>1</v>
      </c>
      <c r="F34" s="203">
        <f t="shared" si="1"/>
        <v>0</v>
      </c>
      <c r="G34" s="793"/>
      <c r="H34" s="1521"/>
      <c r="I34" s="2"/>
    </row>
    <row r="35" spans="1:9" ht="16.2" customHeight="1" x14ac:dyDescent="0.25">
      <c r="A35" s="1805"/>
      <c r="B35" s="1521"/>
      <c r="C35" s="216" t="str">
        <f>F!C64</f>
        <v>0.50 to &lt;1 acres of the AA and adjacent ponded waters.</v>
      </c>
      <c r="D35" s="44">
        <f>F!D64</f>
        <v>0</v>
      </c>
      <c r="E35" s="206">
        <v>2</v>
      </c>
      <c r="F35" s="203">
        <f t="shared" si="1"/>
        <v>0</v>
      </c>
      <c r="G35" s="793"/>
      <c r="H35" s="1521"/>
      <c r="I35" s="2"/>
    </row>
    <row r="36" spans="1:9" ht="16.2" customHeight="1" x14ac:dyDescent="0.25">
      <c r="A36" s="1805"/>
      <c r="B36" s="1521"/>
      <c r="C36" s="216" t="str">
        <f>F!C65</f>
        <v>1 to &lt;5 acres of the AA and adjacent ponded waters.</v>
      </c>
      <c r="D36" s="44">
        <f>F!D65</f>
        <v>0</v>
      </c>
      <c r="E36" s="206">
        <v>3</v>
      </c>
      <c r="F36" s="203">
        <f t="shared" si="1"/>
        <v>0</v>
      </c>
      <c r="G36" s="793"/>
      <c r="H36" s="1521"/>
      <c r="I36" s="2"/>
    </row>
    <row r="37" spans="1:9" ht="16.2" customHeight="1" x14ac:dyDescent="0.25">
      <c r="A37" s="1805"/>
      <c r="B37" s="1521"/>
      <c r="C37" s="216" t="str">
        <f>F!C66</f>
        <v>5 to &lt;50 acres of the AA and adjacent ponded waters.</v>
      </c>
      <c r="D37" s="44">
        <f>F!D66</f>
        <v>0</v>
      </c>
      <c r="E37" s="206">
        <v>4</v>
      </c>
      <c r="F37" s="203">
        <f t="shared" si="1"/>
        <v>0</v>
      </c>
      <c r="G37" s="793"/>
      <c r="H37" s="1521"/>
      <c r="I37" s="2"/>
    </row>
    <row r="38" spans="1:9" ht="16.2" customHeight="1" x14ac:dyDescent="0.25">
      <c r="A38" s="1805"/>
      <c r="B38" s="1521"/>
      <c r="C38" s="216" t="str">
        <f>F!C67</f>
        <v>50 to &lt;640 acres (1 sq. mi) of the AA and adjacent ponded waters.</v>
      </c>
      <c r="D38" s="44">
        <f>F!D67</f>
        <v>0</v>
      </c>
      <c r="E38" s="206">
        <v>5</v>
      </c>
      <c r="F38" s="203">
        <f t="shared" si="1"/>
        <v>0</v>
      </c>
      <c r="G38" s="793"/>
      <c r="H38" s="1521"/>
      <c r="I38" s="2"/>
    </row>
    <row r="39" spans="1:9" ht="16.2" customHeight="1" x14ac:dyDescent="0.25">
      <c r="A39" s="1805"/>
      <c r="B39" s="1521"/>
      <c r="C39" s="216" t="str">
        <f>F!C68</f>
        <v>64 to &lt;1000 acres of the AA and adjacent ponded waters.</v>
      </c>
      <c r="D39" s="44">
        <f>F!D68</f>
        <v>0</v>
      </c>
      <c r="E39" s="206">
        <v>6</v>
      </c>
      <c r="F39" s="203">
        <f t="shared" si="1"/>
        <v>0</v>
      </c>
      <c r="G39" s="793"/>
      <c r="H39" s="1521"/>
      <c r="I39" s="2"/>
    </row>
    <row r="40" spans="1:9" ht="16.2" customHeight="1" x14ac:dyDescent="0.25">
      <c r="A40" s="1805"/>
      <c r="B40" s="1521"/>
      <c r="C40" s="216" t="str">
        <f>F!C69</f>
        <v>1000 to 2500 acres of the AA and adjacent ponded waters.</v>
      </c>
      <c r="D40" s="44">
        <f>F!D69</f>
        <v>0</v>
      </c>
      <c r="E40" s="206">
        <v>7</v>
      </c>
      <c r="F40" s="203">
        <f t="shared" si="1"/>
        <v>0</v>
      </c>
      <c r="G40" s="793"/>
      <c r="H40" s="1521"/>
      <c r="I40" s="2"/>
    </row>
    <row r="41" spans="1:9" ht="16.2" customHeight="1" thickBot="1" x14ac:dyDescent="0.3">
      <c r="A41" s="1806"/>
      <c r="B41" s="1523"/>
      <c r="C41" s="254" t="str">
        <f>F!C70</f>
        <v>&gt;2500 acres (&gt;4 sq.mi) of the AA and adjacent ponded waters.</v>
      </c>
      <c r="D41" s="198">
        <f>F!D70</f>
        <v>0</v>
      </c>
      <c r="E41" s="444">
        <v>8</v>
      </c>
      <c r="F41" s="200">
        <f t="shared" si="1"/>
        <v>0</v>
      </c>
      <c r="G41" s="798"/>
      <c r="H41" s="1523"/>
      <c r="I41" s="2"/>
    </row>
    <row r="42" spans="1:9" ht="21" customHeight="1" thickBot="1" x14ac:dyDescent="0.3">
      <c r="A42" s="1802" t="str">
        <f>F!A128</f>
        <v>F25</v>
      </c>
      <c r="B42" s="1521" t="str">
        <f>F!B128</f>
        <v>Water Fluctuation Range - Maximum  (Fluctu)</v>
      </c>
      <c r="C42" s="4" t="str">
        <f>F!C128</f>
        <v>The maximum vertical fluctuation in surface water within the AA, during a normal year is:</v>
      </c>
      <c r="D42" s="201"/>
      <c r="E42" s="201"/>
      <c r="F42" s="202"/>
      <c r="G42" s="805">
        <f>MAX(F43:F47)/MAX(E43:E47)</f>
        <v>0</v>
      </c>
      <c r="H42" s="1582" t="s">
        <v>34</v>
      </c>
    </row>
    <row r="43" spans="1:9" ht="16.2" customHeight="1" x14ac:dyDescent="0.25">
      <c r="A43" s="1802"/>
      <c r="B43" s="1521"/>
      <c r="C43" s="215" t="str">
        <f>F!C129</f>
        <v>&lt;0.5 ft or stable.</v>
      </c>
      <c r="D43" s="44">
        <f>F!D129</f>
        <v>0</v>
      </c>
      <c r="E43" s="206">
        <v>0</v>
      </c>
      <c r="F43" s="203">
        <f>D43*E43</f>
        <v>0</v>
      </c>
      <c r="G43" s="802"/>
      <c r="H43" s="1582"/>
    </row>
    <row r="44" spans="1:9" ht="16.2" customHeight="1" x14ac:dyDescent="0.25">
      <c r="A44" s="1802"/>
      <c r="B44" s="1521"/>
      <c r="C44" s="216" t="str">
        <f>F!C130</f>
        <v>0.5 to &lt; 1 ft.</v>
      </c>
      <c r="D44" s="44">
        <f>F!D130</f>
        <v>0</v>
      </c>
      <c r="E44" s="206">
        <v>1</v>
      </c>
      <c r="F44" s="203">
        <f>D44*E44</f>
        <v>0</v>
      </c>
      <c r="G44" s="803"/>
      <c r="H44" s="1582"/>
    </row>
    <row r="45" spans="1:9" ht="16.2" customHeight="1" x14ac:dyDescent="0.25">
      <c r="A45" s="1802"/>
      <c r="B45" s="1521"/>
      <c r="C45" s="216" t="str">
        <f>F!C131</f>
        <v>1 to &lt;3 ft.</v>
      </c>
      <c r="D45" s="44">
        <f>F!D131</f>
        <v>0</v>
      </c>
      <c r="E45" s="206">
        <v>2</v>
      </c>
      <c r="F45" s="203">
        <f>D45*E45</f>
        <v>0</v>
      </c>
      <c r="G45" s="803"/>
      <c r="H45" s="1582"/>
    </row>
    <row r="46" spans="1:9" ht="16.2" customHeight="1" x14ac:dyDescent="0.25">
      <c r="A46" s="1802"/>
      <c r="B46" s="1521"/>
      <c r="C46" s="216" t="str">
        <f>F!C132</f>
        <v>3 to 6 ft.</v>
      </c>
      <c r="D46" s="44">
        <f>F!D132</f>
        <v>0</v>
      </c>
      <c r="E46" s="206">
        <v>4</v>
      </c>
      <c r="F46" s="203">
        <f>D46*E46</f>
        <v>0</v>
      </c>
      <c r="G46" s="803"/>
      <c r="H46" s="1582"/>
    </row>
    <row r="47" spans="1:9" ht="16.2" customHeight="1" thickBot="1" x14ac:dyDescent="0.3">
      <c r="A47" s="1802"/>
      <c r="B47" s="1521"/>
      <c r="C47" s="95" t="str">
        <f>F!C133</f>
        <v>&gt;6 ft.</v>
      </c>
      <c r="D47" s="17">
        <f>F!D133</f>
        <v>0</v>
      </c>
      <c r="E47" s="207">
        <v>7</v>
      </c>
      <c r="F47" s="203">
        <f>D47*E47</f>
        <v>0</v>
      </c>
      <c r="G47" s="803"/>
      <c r="H47" s="1582"/>
    </row>
    <row r="48" spans="1:9" ht="81" customHeight="1" thickBot="1" x14ac:dyDescent="0.3">
      <c r="A48" s="1804" t="str">
        <f>F!A162</f>
        <v>F31</v>
      </c>
      <c r="B48" s="1522" t="str">
        <f>F!B162</f>
        <v>Outflow Duration (OutDura)</v>
      </c>
      <c r="C48" s="4"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48" s="195"/>
      <c r="E48" s="195"/>
      <c r="F48" s="214"/>
      <c r="G48" s="801">
        <f>MAX(F49:F52)/MAX(E49:E52)</f>
        <v>0</v>
      </c>
      <c r="H48" s="1599" t="s">
        <v>1135</v>
      </c>
    </row>
    <row r="49" spans="1:9" ht="16.2" customHeight="1" x14ac:dyDescent="0.25">
      <c r="A49" s="1805"/>
      <c r="B49" s="1521"/>
      <c r="C49" s="215" t="str">
        <f>F!C163</f>
        <v>Persistent (&gt;9 months/year).</v>
      </c>
      <c r="D49" s="44">
        <f>F!D163</f>
        <v>0</v>
      </c>
      <c r="E49" s="206">
        <v>1</v>
      </c>
      <c r="F49" s="203">
        <f>D49*E49</f>
        <v>0</v>
      </c>
      <c r="G49" s="802"/>
      <c r="H49" s="1582"/>
    </row>
    <row r="50" spans="1:9" ht="16.2" customHeight="1" x14ac:dyDescent="0.25">
      <c r="A50" s="1805"/>
      <c r="B50" s="1521"/>
      <c r="C50" s="216" t="str">
        <f>F!C164</f>
        <v>Seasonal (14 days to 9 months/year, not necessarily consecutive).</v>
      </c>
      <c r="D50" s="44">
        <f>F!D164</f>
        <v>0</v>
      </c>
      <c r="E50" s="206">
        <v>3</v>
      </c>
      <c r="F50" s="203">
        <f>D50*E50</f>
        <v>0</v>
      </c>
      <c r="G50" s="803"/>
      <c r="H50" s="1582"/>
    </row>
    <row r="51" spans="1:9" ht="16.2" customHeight="1" x14ac:dyDescent="0.25">
      <c r="A51" s="1805"/>
      <c r="B51" s="1521"/>
      <c r="C51" s="216" t="str">
        <f>F!C165</f>
        <v>Temporary (&lt;14 days, not necessarily consecutive).</v>
      </c>
      <c r="D51" s="44">
        <f>F!D165</f>
        <v>0</v>
      </c>
      <c r="E51" s="206">
        <v>4</v>
      </c>
      <c r="F51" s="203">
        <f>D51*E51</f>
        <v>0</v>
      </c>
      <c r="G51" s="803"/>
      <c r="H51" s="1582"/>
    </row>
    <row r="52" spans="1:9" ht="42" customHeight="1" thickBot="1" x14ac:dyDescent="0.3">
      <c r="A52" s="1806"/>
      <c r="B52" s="1523"/>
      <c r="C52" s="254" t="str">
        <f>F!C166</f>
        <v xml:space="preserve">None -- no surface water flows out of the wetland except possibly during extreme events (&lt;once per 10 years). Or, water flows only into a wetland, ditch, or lake that lacks an outlet. Enter 1  and SKIP TO F33. </v>
      </c>
      <c r="D52" s="198">
        <f>F!D166</f>
        <v>0</v>
      </c>
      <c r="E52" s="444">
        <v>6</v>
      </c>
      <c r="F52" s="200">
        <f>D52*E52</f>
        <v>0</v>
      </c>
      <c r="G52" s="798"/>
      <c r="H52" s="1600"/>
    </row>
    <row r="53" spans="1:9" ht="21" customHeight="1" thickBot="1" x14ac:dyDescent="0.3">
      <c r="A53" s="1805" t="str">
        <f>F!A167</f>
        <v>F32</v>
      </c>
      <c r="B53" s="1521" t="str">
        <f>F!B167</f>
        <v>Outflow Confinement (Constric)</v>
      </c>
      <c r="C53" s="4" t="str">
        <f>F!C167</f>
        <v>During major runoff events, in the places described above where surface water exits the AA, it:</v>
      </c>
      <c r="D53" s="201"/>
      <c r="E53" s="201"/>
      <c r="F53" s="86"/>
      <c r="G53" s="799">
        <f>IF((NoOutlet=1),"",MAX(F54:F56)/MAX(E54:E56))</f>
        <v>0</v>
      </c>
      <c r="H53" s="1582" t="s">
        <v>1713</v>
      </c>
    </row>
    <row r="54" spans="1:9" ht="27" customHeight="1" x14ac:dyDescent="0.25">
      <c r="A54" s="1805"/>
      <c r="B54" s="1521"/>
      <c r="C54" s="2" t="str">
        <f>F!C168</f>
        <v>Is impeded as it mostly passes through a pipe, culvert, tidegate, narrowly breached dike, berm, beaver dam, or other partial obstruction (other than natural topography).</v>
      </c>
      <c r="D54" s="44">
        <f>F!D168</f>
        <v>0</v>
      </c>
      <c r="E54" s="206">
        <v>3</v>
      </c>
      <c r="F54" s="197">
        <f t="shared" ref="F54:F62" si="2">D54*E54</f>
        <v>0</v>
      </c>
      <c r="G54" s="792"/>
      <c r="H54" s="1582"/>
    </row>
    <row r="55" spans="1:9" ht="27" customHeight="1" x14ac:dyDescent="0.25">
      <c r="A55" s="1805"/>
      <c r="B55" s="1521"/>
      <c r="C55" s="95" t="str">
        <f>F!C169</f>
        <v>Leaves mainly through natural surface exits, not largely through artificial or temporary features which impede or accelerate outflow.</v>
      </c>
      <c r="D55" s="44">
        <f>F!D169</f>
        <v>0</v>
      </c>
      <c r="E55" s="206">
        <v>2</v>
      </c>
      <c r="F55" s="197">
        <f t="shared" si="2"/>
        <v>0</v>
      </c>
      <c r="G55" s="806"/>
      <c r="H55" s="1582"/>
    </row>
    <row r="56" spans="1:9" ht="43.5" customHeight="1" thickBot="1" x14ac:dyDescent="0.3">
      <c r="A56" s="1805"/>
      <c r="B56" s="1521"/>
      <c r="C56" s="95" t="str">
        <f>F!C170</f>
        <v>Is exported more quickly than usual as it mostly passes through ditches or pipes intended to accelerate drainage.  They may be within the AA or connected to its outlet or within 30 ft of the AA's edge.</v>
      </c>
      <c r="D56" s="17">
        <f>F!D170</f>
        <v>0</v>
      </c>
      <c r="E56" s="207">
        <v>0</v>
      </c>
      <c r="F56" s="203">
        <f t="shared" si="2"/>
        <v>0</v>
      </c>
      <c r="G56" s="800"/>
      <c r="H56" s="1582"/>
    </row>
    <row r="57" spans="1:9" ht="45" customHeight="1" thickBot="1" x14ac:dyDescent="0.3">
      <c r="A57" s="1821" t="str">
        <f>F!A177</f>
        <v>F35</v>
      </c>
      <c r="B57" s="1522" t="str">
        <f>F!B177</f>
        <v>Throughflow Complexity (ThruFlo)</v>
      </c>
      <c r="C57" s="4" t="str">
        <f>F!C177</f>
        <v>[Skip this question if the AA lacks both an inlet and outlet.]  During peak annual flow, water entering the AA in channels encounters which of the following conditions as it travels through the AA: Select the ONE encountered most.</v>
      </c>
      <c r="D57" s="195"/>
      <c r="E57" s="195"/>
      <c r="F57" s="204"/>
      <c r="G57" s="807">
        <f>IF(AND(Inflow=0,NoOutlet=1),"",MAX(F58:F62)/MAX(E58:E62))</f>
        <v>0</v>
      </c>
      <c r="H57" s="1522" t="s">
        <v>1714</v>
      </c>
    </row>
    <row r="58" spans="1:9" ht="42" customHeight="1" x14ac:dyDescent="0.25">
      <c r="A58" s="1822"/>
      <c r="B58" s="1521"/>
      <c r="C58" s="215"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58" s="44">
        <f>F!D178</f>
        <v>0</v>
      </c>
      <c r="E58" s="206">
        <v>0</v>
      </c>
      <c r="F58" s="203">
        <f t="shared" si="2"/>
        <v>0</v>
      </c>
      <c r="G58" s="792"/>
      <c r="H58" s="1521"/>
    </row>
    <row r="59" spans="1:9" ht="16.2" customHeight="1" x14ac:dyDescent="0.25">
      <c r="A59" s="1822"/>
      <c r="B59" s="1521"/>
      <c r="C59" s="215" t="str">
        <f>F!C179</f>
        <v>Bumps into herbaceous vegetation but mostly remains in fairly straight channels.</v>
      </c>
      <c r="D59" s="44">
        <f>F!D179</f>
        <v>0</v>
      </c>
      <c r="E59" s="206">
        <v>3</v>
      </c>
      <c r="F59" s="203">
        <f t="shared" si="2"/>
        <v>0</v>
      </c>
      <c r="G59" s="792"/>
      <c r="H59" s="1521"/>
    </row>
    <row r="60" spans="1:9" ht="27" customHeight="1" x14ac:dyDescent="0.25">
      <c r="A60" s="1822"/>
      <c r="B60" s="1521"/>
      <c r="C60" s="216" t="str">
        <f>F!C180</f>
        <v>Bumps into herbaceous vegetation and mostly spreads throughout, or follows a fairly indirect path (in widely meandering, multi-branched, or braided channels).</v>
      </c>
      <c r="D60" s="44">
        <f>F!D180</f>
        <v>0</v>
      </c>
      <c r="E60" s="206">
        <v>4</v>
      </c>
      <c r="F60" s="203">
        <f t="shared" si="2"/>
        <v>0</v>
      </c>
      <c r="G60" s="793"/>
      <c r="H60" s="1521"/>
    </row>
    <row r="61" spans="1:9" ht="16.2" customHeight="1" x14ac:dyDescent="0.25">
      <c r="A61" s="1822"/>
      <c r="B61" s="1521"/>
      <c r="C61" s="216" t="str">
        <f>F!C181</f>
        <v>Bumps into tree trunks and/or shrub stems but mostly remains in fairly straight channels.</v>
      </c>
      <c r="D61" s="44">
        <f>F!D181</f>
        <v>0</v>
      </c>
      <c r="E61" s="206">
        <v>6</v>
      </c>
      <c r="F61" s="203">
        <f t="shared" si="2"/>
        <v>0</v>
      </c>
      <c r="G61" s="793"/>
      <c r="H61" s="1521"/>
    </row>
    <row r="62" spans="1:9" ht="27" customHeight="1" thickBot="1" x14ac:dyDescent="0.3">
      <c r="A62" s="1825"/>
      <c r="B62" s="1523"/>
      <c r="C62" s="254" t="str">
        <f>F!C182</f>
        <v>Bumps into tree trunks and/or shrub stems and follows a fairly indirect path  (meandering, multi-branched, or braided) from entrance to exit.</v>
      </c>
      <c r="D62" s="198">
        <f>F!D182</f>
        <v>0</v>
      </c>
      <c r="E62" s="444">
        <v>8</v>
      </c>
      <c r="F62" s="200">
        <f t="shared" si="2"/>
        <v>0</v>
      </c>
      <c r="G62" s="794"/>
      <c r="H62" s="1523"/>
    </row>
    <row r="63" spans="1:9" ht="21" customHeight="1" thickBot="1" x14ac:dyDescent="0.3">
      <c r="A63" s="1805" t="str">
        <f>F!A183</f>
        <v>F36</v>
      </c>
      <c r="B63" s="1521" t="str">
        <f>F!B183</f>
        <v>Internal Gradient (Gradient)</v>
      </c>
      <c r="C63" s="4" t="str">
        <f>F!C183</f>
        <v>The gradient from the lowest to highest point of land within the AA (or from outlet to inlet) is:</v>
      </c>
      <c r="D63" s="201"/>
      <c r="E63" s="201"/>
      <c r="F63" s="86"/>
      <c r="G63" s="799">
        <f>MAX(F64:F67)/MAX(E64:E67)</f>
        <v>0</v>
      </c>
      <c r="H63" s="1582" t="s">
        <v>345</v>
      </c>
      <c r="I63" s="2"/>
    </row>
    <row r="64" spans="1:9" ht="16.2" customHeight="1" x14ac:dyDescent="0.25">
      <c r="A64" s="1805"/>
      <c r="B64" s="1521"/>
      <c r="C64" s="215" t="str">
        <f>F!C184</f>
        <v>&lt;2% (internal flow is absent or barely detectable; basically flat).</v>
      </c>
      <c r="D64" s="44">
        <f>F!D184</f>
        <v>0</v>
      </c>
      <c r="E64" s="206">
        <v>5</v>
      </c>
      <c r="F64" s="197">
        <f>D64*E64</f>
        <v>0</v>
      </c>
      <c r="G64" s="792"/>
      <c r="H64" s="1582"/>
    </row>
    <row r="65" spans="1:9" ht="16.2" customHeight="1" x14ac:dyDescent="0.25">
      <c r="A65" s="1805"/>
      <c r="B65" s="1521"/>
      <c r="C65" s="216" t="str">
        <f>F!C185</f>
        <v>2 to &lt;6%.</v>
      </c>
      <c r="D65" s="44">
        <f>F!D185</f>
        <v>0</v>
      </c>
      <c r="E65" s="206">
        <v>3</v>
      </c>
      <c r="F65" s="197">
        <f>D65*E65</f>
        <v>0</v>
      </c>
      <c r="G65" s="793"/>
      <c r="H65" s="1582"/>
    </row>
    <row r="66" spans="1:9" ht="16.2" customHeight="1" x14ac:dyDescent="0.25">
      <c r="A66" s="1805"/>
      <c r="B66" s="1521"/>
      <c r="C66" s="216" t="str">
        <f>F!C186</f>
        <v>6 to 10%.</v>
      </c>
      <c r="D66" s="44">
        <f>F!D186</f>
        <v>0</v>
      </c>
      <c r="E66" s="206">
        <v>2</v>
      </c>
      <c r="F66" s="197">
        <f>D66*E66</f>
        <v>0</v>
      </c>
      <c r="G66" s="793"/>
      <c r="H66" s="1582"/>
    </row>
    <row r="67" spans="1:9" ht="16.2" customHeight="1" thickBot="1" x14ac:dyDescent="0.3">
      <c r="A67" s="1806"/>
      <c r="B67" s="1521"/>
      <c r="C67" s="95" t="str">
        <f>F!C187</f>
        <v>&gt;10%.</v>
      </c>
      <c r="D67" s="17">
        <f>F!D187</f>
        <v>0</v>
      </c>
      <c r="E67" s="207">
        <v>1</v>
      </c>
      <c r="F67" s="203">
        <f>D67*E67</f>
        <v>0</v>
      </c>
      <c r="G67" s="800"/>
      <c r="H67" s="1582"/>
    </row>
    <row r="68" spans="1:9" ht="21" customHeight="1" thickBot="1" x14ac:dyDescent="0.3">
      <c r="A68" s="1820" t="str">
        <f>F!A188</f>
        <v>F37</v>
      </c>
      <c r="B68" s="1669" t="str">
        <f>F!B188</f>
        <v xml:space="preserve">Groundwater Strength of Evidence (Groundw) </v>
      </c>
      <c r="C68" s="219" t="str">
        <f>F!C188</f>
        <v>Select first one that applies:</v>
      </c>
      <c r="D68" s="195"/>
      <c r="E68" s="195"/>
      <c r="F68" s="211"/>
      <c r="G68" s="804">
        <f>MAX(F69:F72)/MAX(E69:E72)</f>
        <v>0</v>
      </c>
      <c r="H68" s="1522" t="s">
        <v>346</v>
      </c>
      <c r="I68" s="2"/>
    </row>
    <row r="69" spans="1:9" ht="99" customHeight="1" x14ac:dyDescent="0.25">
      <c r="A69" s="1820"/>
      <c r="B69" s="1691"/>
      <c r="C69" s="439" t="str">
        <f>F!C189</f>
        <v xml:space="preserve">In the AA or its wetland: 
(a) Springs are observed, OR 
(b) Water is markedly cooler in summer and warmer in winter (e.g., later ice formation) than in other local wetlands, OR 
(c) Measurements from shallow wells indicate groundwater is discharging to the wetland, OR 
(d) Water visibly seeps into pits dug within the AA during the driest time of the year and located &gt;30 ft from the closest surface water. </v>
      </c>
      <c r="D69" s="47">
        <f>F!D189</f>
        <v>0</v>
      </c>
      <c r="E69" s="206">
        <v>0</v>
      </c>
      <c r="F69" s="197">
        <f>D69*E69</f>
        <v>0</v>
      </c>
      <c r="G69" s="792"/>
      <c r="H69" s="1521"/>
    </row>
    <row r="70" spans="1:9" ht="99" customHeight="1" x14ac:dyDescent="0.25">
      <c r="A70" s="1820"/>
      <c r="B70" s="1691"/>
      <c r="C70" s="440" t="str">
        <f>F!C190</f>
        <v>The AA's wetland:
(a) Is very close to the base of a natural slope steeper than 15% and longer than 300 ft or is located at a geologic fault, OR 
(b) Has no persistently flowing tributary AND one or more is true: 
   (b1) Is on a natural slope of &gt;5%, OR
   (b2) Has rust deposits ("iron floc"), colored precipitates, or dispersible natural oil sheen, OR 
   (b3) Is in an Arid or Semi-arid hydrologic unit.</v>
      </c>
      <c r="D70" s="47">
        <f>F!D190</f>
        <v>0</v>
      </c>
      <c r="E70" s="206">
        <v>1</v>
      </c>
      <c r="F70" s="197">
        <f>D70*E70</f>
        <v>0</v>
      </c>
      <c r="G70" s="793"/>
      <c r="H70" s="1521"/>
    </row>
    <row r="71" spans="1:9" ht="41.25" customHeight="1" x14ac:dyDescent="0.25">
      <c r="A71" s="1820"/>
      <c r="B71" s="1691"/>
      <c r="C71" s="440" t="str">
        <f>F!C191</f>
        <v>The AA is not in an Arid or Semi-arid hydrologic unit, but has persistent ponded water, no tributary, and is not fed by wastewater, concentrated stormwater, or irrigation water, or by an adjacent river or lake.</v>
      </c>
      <c r="D71" s="47">
        <f>F!D191</f>
        <v>0</v>
      </c>
      <c r="E71" s="206">
        <v>2</v>
      </c>
      <c r="F71" s="197">
        <f>D71*E71</f>
        <v>0</v>
      </c>
      <c r="G71" s="800"/>
      <c r="H71" s="1521"/>
    </row>
    <row r="72" spans="1:9" ht="27" customHeight="1" thickBot="1" x14ac:dyDescent="0.3">
      <c r="A72" s="1820"/>
      <c r="B72" s="1692"/>
      <c r="C72" s="451" t="str">
        <f>F!C192</f>
        <v>None of above is true, OR AA contains a hot spring. Some groundwater may nonetheless discharge to or flow through the wetland.</v>
      </c>
      <c r="D72" s="242">
        <f>F!D192</f>
        <v>0</v>
      </c>
      <c r="E72" s="444">
        <v>3</v>
      </c>
      <c r="F72" s="200">
        <f>D72*E72</f>
        <v>0</v>
      </c>
      <c r="G72" s="794"/>
      <c r="H72" s="1523"/>
    </row>
    <row r="73" spans="1:9" ht="39.75" customHeight="1" thickBot="1" x14ac:dyDescent="0.3">
      <c r="A73" s="1804" t="str">
        <f>F!A288</f>
        <v>F56</v>
      </c>
      <c r="B73" s="1522" t="str">
        <f>F!B288</f>
        <v>Bare Ground &amp; Accumulated Plant Litter (Gcover)</v>
      </c>
      <c r="C73" s="4" t="str">
        <f>F!C288</f>
        <v>Consider the parts of the AA that go dry during a normal year. Viewed from 6 inches above the soil surface, the condition in most of that area just before the year's longest inundation period begins is:</v>
      </c>
      <c r="D73" s="195"/>
      <c r="E73" s="195"/>
      <c r="F73" s="218"/>
      <c r="G73" s="804">
        <f>IF((D78=1),"",MAX(F74:F77)/MAX(E74:E77))</f>
        <v>0</v>
      </c>
      <c r="H73" s="1547" t="s">
        <v>347</v>
      </c>
      <c r="I73" s="2"/>
    </row>
    <row r="74" spans="1:9" ht="52.5" customHeight="1" x14ac:dyDescent="0.25">
      <c r="A74" s="1805"/>
      <c r="B74" s="1521"/>
      <c r="C74" s="215"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74" s="44">
        <f>F!D289</f>
        <v>0</v>
      </c>
      <c r="E74" s="206">
        <v>4</v>
      </c>
      <c r="F74" s="197">
        <f t="shared" ref="F74:F82" si="3">D74*E74</f>
        <v>0</v>
      </c>
      <c r="G74" s="793"/>
      <c r="H74" s="1548"/>
    </row>
    <row r="75" spans="1:9" ht="27" customHeight="1" x14ac:dyDescent="0.25">
      <c r="A75" s="1805"/>
      <c r="B75" s="1521"/>
      <c r="C75" s="216" t="str">
        <f>F!C290</f>
        <v>Some (5-20%) bare ground or remaining thatch is visible.  Herbaceous plants have moderate stem densities and do not closely hug the ground.</v>
      </c>
      <c r="D75" s="44">
        <f>F!D290</f>
        <v>0</v>
      </c>
      <c r="E75" s="206">
        <v>3</v>
      </c>
      <c r="F75" s="197">
        <f t="shared" si="3"/>
        <v>0</v>
      </c>
      <c r="G75" s="793"/>
      <c r="H75" s="1548"/>
    </row>
    <row r="76" spans="1:9" ht="27" customHeight="1" x14ac:dyDescent="0.25">
      <c r="A76" s="1805"/>
      <c r="B76" s="1521"/>
      <c r="C76" s="216" t="str">
        <f>F!C291</f>
        <v>Much (20-50%) bare ground or thatch is visible.  Low stem density and/or tall plants with little living ground cover during early growing season.</v>
      </c>
      <c r="D76" s="44">
        <f>F!D291</f>
        <v>0</v>
      </c>
      <c r="E76" s="206">
        <v>2</v>
      </c>
      <c r="F76" s="197">
        <f t="shared" si="3"/>
        <v>0</v>
      </c>
      <c r="G76" s="793"/>
      <c r="H76" s="1548"/>
    </row>
    <row r="77" spans="1:9" ht="16.2" customHeight="1" x14ac:dyDescent="0.25">
      <c r="A77" s="1805"/>
      <c r="B77" s="1521"/>
      <c r="C77" s="216" t="str">
        <f>F!C292</f>
        <v>Mostly (&gt;50%) bare ground or thatch.</v>
      </c>
      <c r="D77" s="44">
        <f>F!D292</f>
        <v>0</v>
      </c>
      <c r="E77" s="206">
        <v>1</v>
      </c>
      <c r="F77" s="197">
        <f t="shared" si="3"/>
        <v>0</v>
      </c>
      <c r="G77" s="793"/>
      <c r="H77" s="1548"/>
    </row>
    <row r="78" spans="1:9" ht="16.2" customHeight="1" thickBot="1" x14ac:dyDescent="0.3">
      <c r="A78" s="1806"/>
      <c r="B78" s="1523"/>
      <c r="C78" s="254" t="str">
        <f>F!C293</f>
        <v>Not applicable.  All of the AA is inundated throughout most years.</v>
      </c>
      <c r="D78" s="198">
        <f>F!D293</f>
        <v>0</v>
      </c>
      <c r="E78" s="444"/>
      <c r="F78" s="200"/>
      <c r="G78" s="794"/>
      <c r="H78" s="1549"/>
    </row>
    <row r="79" spans="1:9" ht="43.5" customHeight="1" thickBot="1" x14ac:dyDescent="0.3">
      <c r="A79" s="1805" t="str">
        <f>F!A294</f>
        <v>F57</v>
      </c>
      <c r="B79" s="1521" t="str">
        <f>F!B294</f>
        <v>Ground Irregularity (Girreg)</v>
      </c>
      <c r="C79" s="4" t="str">
        <f>F!C294</f>
        <v xml:space="preserve"> In parts of the AA that lack persistent water, the number of small pits, raised mounds, hummocks, boulders, upturned trees, animal burrows, islands, natural levees, wide soil cracks, and microdepressions is:</v>
      </c>
      <c r="D79" s="201"/>
      <c r="E79" s="201"/>
      <c r="F79" s="205"/>
      <c r="G79" s="799">
        <f>MAX(F80:F82)/MAX(E80:E82)</f>
        <v>0</v>
      </c>
      <c r="H79" s="1576" t="s">
        <v>348</v>
      </c>
      <c r="I79" s="2"/>
    </row>
    <row r="80" spans="1:9" ht="27" customHeight="1" x14ac:dyDescent="0.25">
      <c r="A80" s="1805"/>
      <c r="B80" s="1521"/>
      <c r="C80" s="215" t="str">
        <f>F!C295</f>
        <v>Few or none, or the entire AA is always water-covered.  Minimal microtopography; &lt;1% of the AA, e.g., many flat sites having a single hydroperiod.</v>
      </c>
      <c r="D80" s="44">
        <f>F!D295</f>
        <v>0</v>
      </c>
      <c r="E80" s="206">
        <v>0</v>
      </c>
      <c r="F80" s="197">
        <f t="shared" si="3"/>
        <v>0</v>
      </c>
      <c r="G80" s="793"/>
      <c r="H80" s="1548"/>
    </row>
    <row r="81" spans="1:9" ht="16.2" customHeight="1" x14ac:dyDescent="0.25">
      <c r="A81" s="1805"/>
      <c r="B81" s="1521"/>
      <c r="C81" s="216" t="str">
        <f>F!C296</f>
        <v>Intermediate.</v>
      </c>
      <c r="D81" s="44">
        <f>F!D296</f>
        <v>0</v>
      </c>
      <c r="E81" s="206">
        <v>1</v>
      </c>
      <c r="F81" s="197">
        <f t="shared" si="3"/>
        <v>0</v>
      </c>
      <c r="G81" s="793"/>
      <c r="H81" s="1548"/>
    </row>
    <row r="82" spans="1:9" ht="16.2" customHeight="1" thickBot="1" x14ac:dyDescent="0.3">
      <c r="A82" s="1806"/>
      <c r="B82" s="1521"/>
      <c r="C82" s="95" t="str">
        <f>F!C297</f>
        <v>Several (extensive micro-topography).</v>
      </c>
      <c r="D82" s="17">
        <f>F!D297</f>
        <v>0</v>
      </c>
      <c r="E82" s="207">
        <v>2</v>
      </c>
      <c r="F82" s="203">
        <f t="shared" si="3"/>
        <v>0</v>
      </c>
      <c r="G82" s="800"/>
      <c r="H82" s="1818"/>
    </row>
    <row r="83" spans="1:9" ht="30" customHeight="1" thickBot="1" x14ac:dyDescent="0.3">
      <c r="A83" s="1820" t="str">
        <f>F!A298</f>
        <v>F58</v>
      </c>
      <c r="B83" s="1669" t="str">
        <f>F!B298</f>
        <v>Soil Composition (SoilTex)</v>
      </c>
      <c r="C83" s="219" t="str">
        <f>F!C298</f>
        <v>Based on digging into the substrate and examining the surface layer of the soil (2 inch depth) that was mapped as being predominant, its composition (excluding duff and living roots) is mostly:</v>
      </c>
      <c r="D83" s="195"/>
      <c r="E83" s="195"/>
      <c r="F83" s="204"/>
      <c r="G83" s="804">
        <f>MAX(F84:F87)/MAX(E84:E87)</f>
        <v>0</v>
      </c>
      <c r="H83" s="1599" t="s">
        <v>1538</v>
      </c>
      <c r="I83" s="2"/>
    </row>
    <row r="84" spans="1:9" ht="16.2" customHeight="1" x14ac:dyDescent="0.25">
      <c r="A84" s="1820"/>
      <c r="B84" s="1691"/>
      <c r="C84" s="439" t="str">
        <f>F!C299</f>
        <v>Loamy: includes silt, silt loam, loam, sandy loam.</v>
      </c>
      <c r="D84" s="47">
        <f>F!D299</f>
        <v>0</v>
      </c>
      <c r="E84" s="206">
        <v>1</v>
      </c>
      <c r="F84" s="197">
        <f>D84*E84</f>
        <v>0</v>
      </c>
      <c r="G84" s="792"/>
      <c r="H84" s="1582"/>
    </row>
    <row r="85" spans="1:9" ht="16.2" customHeight="1" x14ac:dyDescent="0.25">
      <c r="A85" s="1820"/>
      <c r="B85" s="1691"/>
      <c r="C85" s="440" t="str">
        <f>F!C300</f>
        <v>Clayey: includes clay, clay loam, silty clay, silty clay loam, sandy clay, sandy clay loam.</v>
      </c>
      <c r="D85" s="47">
        <f>F!D300</f>
        <v>0</v>
      </c>
      <c r="E85" s="206">
        <v>0</v>
      </c>
      <c r="F85" s="197">
        <f>D85*E85</f>
        <v>0</v>
      </c>
      <c r="G85" s="793"/>
      <c r="H85" s="1582"/>
    </row>
    <row r="86" spans="1:9" ht="27" customHeight="1" x14ac:dyDescent="0.25">
      <c r="A86" s="1820"/>
      <c r="B86" s="1691"/>
      <c r="C86" s="440" t="str">
        <f>F!C301</f>
        <v>Organic: includes muck, mucky peat, peat, and mucky mineral soils (blackish or grayish).  Exclude live roots unless they are moss.</v>
      </c>
      <c r="D86" s="47">
        <f>F!D301</f>
        <v>0</v>
      </c>
      <c r="E86" s="206">
        <v>2</v>
      </c>
      <c r="F86" s="197">
        <f>D86*E86</f>
        <v>0</v>
      </c>
      <c r="G86" s="793"/>
      <c r="H86" s="1582"/>
    </row>
    <row r="87" spans="1:9" ht="27.75" customHeight="1" thickBot="1" x14ac:dyDescent="0.3">
      <c r="A87" s="1820"/>
      <c r="B87" s="1692"/>
      <c r="C87" s="451" t="str">
        <f>F!C302</f>
        <v>Coarse: includes sand, loamy sand, gravel, cobble, stones, boulders, fluvents, fluvaquents, riverwash.</v>
      </c>
      <c r="D87" s="242">
        <f>F!D302</f>
        <v>0</v>
      </c>
      <c r="E87" s="444">
        <v>3</v>
      </c>
      <c r="F87" s="200">
        <f>D87*E87</f>
        <v>0</v>
      </c>
      <c r="G87" s="794"/>
      <c r="H87" s="1600"/>
    </row>
    <row r="88" spans="1:9" s="361" customFormat="1" ht="46.5" customHeight="1" thickBot="1" x14ac:dyDescent="0.3">
      <c r="A88" s="362" t="s">
        <v>126</v>
      </c>
      <c r="B88" s="380" t="s">
        <v>1460</v>
      </c>
      <c r="C88" s="363" t="s">
        <v>1271</v>
      </c>
      <c r="D88" s="363" t="s">
        <v>115</v>
      </c>
      <c r="E88" s="542" t="s">
        <v>771</v>
      </c>
      <c r="F88" s="543" t="s">
        <v>1462</v>
      </c>
      <c r="G88" s="808" t="s">
        <v>770</v>
      </c>
      <c r="H88" s="363" t="s">
        <v>772</v>
      </c>
    </row>
    <row r="89" spans="1:9" s="2" customFormat="1" ht="45" customHeight="1" thickBot="1" x14ac:dyDescent="0.3">
      <c r="A89" s="1791" t="str">
        <f>OF!A87</f>
        <v>OF15</v>
      </c>
      <c r="B89" s="1521" t="str">
        <f>OF!B87</f>
        <v>Landscape Functional Deficit (GISscore)</v>
      </c>
      <c r="C89" s="548" t="str">
        <f>OF!C87</f>
        <v xml:space="preserve">In the ORWAP Report, find the AA's 12-digit HUC code.  Then, find that HUC code in the FuncDeficit worksheet in the accompanying Supp_Info file. Select All functions below that have a notation for that HUC code. </v>
      </c>
      <c r="D89" s="547"/>
      <c r="E89" s="445"/>
      <c r="F89" s="83"/>
      <c r="G89" s="809">
        <f>IF((OF!D98=1),"",D90)</f>
        <v>0</v>
      </c>
      <c r="H89" s="1521" t="s">
        <v>674</v>
      </c>
    </row>
    <row r="90" spans="1:9" s="2" customFormat="1" ht="16.2" customHeight="1" thickBot="1" x14ac:dyDescent="0.3">
      <c r="A90" s="1791"/>
      <c r="B90" s="1521"/>
      <c r="C90" s="11" t="str">
        <f>OF!C88</f>
        <v>Water storage (WS)</v>
      </c>
      <c r="D90" s="17">
        <f>OF!D88</f>
        <v>0</v>
      </c>
      <c r="E90" s="446"/>
      <c r="F90" s="98"/>
      <c r="G90" s="800"/>
      <c r="H90" s="1521"/>
    </row>
    <row r="91" spans="1:9" ht="42" customHeight="1" thickBot="1" x14ac:dyDescent="0.3">
      <c r="A91" s="274" t="str">
        <f>OF!A136</f>
        <v>OF24</v>
      </c>
      <c r="B91" s="4" t="str">
        <f>OF!B136</f>
        <v>River Proximity (RiverProx)</v>
      </c>
      <c r="C91" s="226" t="str">
        <f>OF!C136</f>
        <v>There is a nontidal river within 1 mile and it is adjacent to, OR downslope from, the AA (connected or not).
Enter 1, if true.  If not,  SKIP to OF27.</v>
      </c>
      <c r="D91" s="220">
        <f>OF!D136</f>
        <v>0</v>
      </c>
      <c r="E91" s="447"/>
      <c r="F91" s="221"/>
      <c r="G91" s="810">
        <f>D91</f>
        <v>0</v>
      </c>
      <c r="H91" s="4" t="s">
        <v>675</v>
      </c>
    </row>
    <row r="92" spans="1:9" ht="21" customHeight="1" thickBot="1" x14ac:dyDescent="0.3">
      <c r="A92" s="1791" t="str">
        <f>OF!A137</f>
        <v>OF25</v>
      </c>
      <c r="B92" s="1521" t="str">
        <f>OF!B137</f>
        <v>Floodable Property (FloodProp)</v>
      </c>
      <c r="C92" s="4" t="str">
        <f>OF!C137</f>
        <v>Select ONE of the below:</v>
      </c>
      <c r="D92" s="201"/>
      <c r="E92" s="201"/>
      <c r="F92" s="86"/>
      <c r="G92" s="811">
        <f>IF((D93=1),"",MAX(F94:F96)/MAX(E94:E96))</f>
        <v>0</v>
      </c>
      <c r="H92" s="1521" t="s">
        <v>1223</v>
      </c>
    </row>
    <row r="93" spans="1:9" ht="27" customHeight="1" x14ac:dyDescent="0.25">
      <c r="A93" s="1791"/>
      <c r="B93" s="1521"/>
      <c r="C93" s="2" t="str">
        <f>OF!C138</f>
        <v xml:space="preserve">Floodplain boundaries within 1 mile downslope or downriver from the AA have not been mapped. 
Enter 1 and SKIP TO OF27. </v>
      </c>
      <c r="D93" s="44">
        <f>OF!D138</f>
        <v>0</v>
      </c>
      <c r="E93" s="206">
        <v>0</v>
      </c>
      <c r="F93" s="197">
        <f>D93*E93</f>
        <v>0</v>
      </c>
      <c r="G93" s="792"/>
      <c r="H93" s="1521"/>
    </row>
    <row r="94" spans="1:9" ht="42" customHeight="1" x14ac:dyDescent="0.25">
      <c r="A94" s="1791"/>
      <c r="B94" s="1521"/>
      <c r="C94" s="95" t="str">
        <f>OF!C139</f>
        <v xml:space="preserve">Floodplain boundaries  within 1 mile downslope from the AA have been mapped BUT there is neither infrastructure nor row crops vulnerable to river flooding located within the floodplain and within that distance.
Enter 1 and SKIP TO OF27. </v>
      </c>
      <c r="D94" s="44">
        <f>OF!D139</f>
        <v>0</v>
      </c>
      <c r="E94" s="206">
        <v>0</v>
      </c>
      <c r="F94" s="197">
        <f>D94*E94</f>
        <v>0</v>
      </c>
      <c r="G94" s="793"/>
      <c r="H94" s="1521"/>
    </row>
    <row r="95" spans="1:9" ht="42" customHeight="1" x14ac:dyDescent="0.25">
      <c r="A95" s="1791"/>
      <c r="B95" s="1521"/>
      <c r="C95" s="95" t="str">
        <f>OF!C140</f>
        <v>Floodplain boundaries have been mapped AND infrastructure or row crops are present within 1 mile downslope or downriver and those are not protected from 100-year floods, but actual damage has not been documented.</v>
      </c>
      <c r="D95" s="44">
        <f>OF!D140</f>
        <v>0</v>
      </c>
      <c r="E95" s="206">
        <v>1</v>
      </c>
      <c r="F95" s="197">
        <f>D95*E95</f>
        <v>0</v>
      </c>
      <c r="G95" s="793"/>
      <c r="H95" s="1521"/>
    </row>
    <row r="96" spans="1:9" ht="27" customHeight="1" thickBot="1" x14ac:dyDescent="0.3">
      <c r="A96" s="1791"/>
      <c r="B96" s="1521"/>
      <c r="C96" s="95" t="str">
        <f>OF!C141</f>
        <v>Damage to infrastructure or row crops from river flooding has been documented within that distance.</v>
      </c>
      <c r="D96" s="17">
        <f>OF!D141</f>
        <v>0</v>
      </c>
      <c r="E96" s="207">
        <v>2</v>
      </c>
      <c r="F96" s="203">
        <f>D96*E96</f>
        <v>0</v>
      </c>
      <c r="G96" s="800"/>
      <c r="H96" s="1521"/>
    </row>
    <row r="97" spans="1:9" ht="21" customHeight="1" thickBot="1" x14ac:dyDescent="0.3">
      <c r="A97" s="1796" t="str">
        <f>OF!A142</f>
        <v>OF26</v>
      </c>
      <c r="B97" s="1522" t="str">
        <f>OF!B142</f>
        <v>Type of Flood Damage (DamageType)</v>
      </c>
      <c r="C97" s="75" t="str">
        <f>OF!C142</f>
        <v>The greatest financial damage in the floodplain is (or would be) to:</v>
      </c>
      <c r="D97" s="196"/>
      <c r="E97" s="195"/>
      <c r="F97" s="211"/>
      <c r="G97" s="810" t="str">
        <f>IF((NearRiver=0),"",IF((D93=1),"",IF((D94=1),"",MAX(F98:F99)/MAX(E98:E99))))</f>
        <v/>
      </c>
      <c r="H97" s="1522" t="s">
        <v>349</v>
      </c>
      <c r="I97" s="2"/>
    </row>
    <row r="98" spans="1:9" ht="16.2" customHeight="1" x14ac:dyDescent="0.25">
      <c r="A98" s="1797"/>
      <c r="B98" s="1521"/>
      <c r="C98" s="2" t="str">
        <f>OF!C143</f>
        <v>Buildings, roads, bridges.</v>
      </c>
      <c r="D98" s="44">
        <f>OF!D143</f>
        <v>0</v>
      </c>
      <c r="E98" s="206">
        <v>2</v>
      </c>
      <c r="F98" s="197">
        <f>D98*E98</f>
        <v>0</v>
      </c>
      <c r="G98" s="792"/>
      <c r="H98" s="1521"/>
    </row>
    <row r="99" spans="1:9" ht="16.2" customHeight="1" thickBot="1" x14ac:dyDescent="0.3">
      <c r="A99" s="1798"/>
      <c r="B99" s="1523"/>
      <c r="C99" s="254" t="str">
        <f>OF!C144</f>
        <v>Row crops (during some years).</v>
      </c>
      <c r="D99" s="198">
        <f>OF!D144</f>
        <v>0</v>
      </c>
      <c r="E99" s="444">
        <v>1</v>
      </c>
      <c r="F99" s="200">
        <f>D99*E99</f>
        <v>0</v>
      </c>
      <c r="G99" s="812"/>
      <c r="H99" s="1523"/>
    </row>
    <row r="100" spans="1:9" ht="30" customHeight="1" thickBot="1" x14ac:dyDescent="0.3">
      <c r="A100" s="1791" t="str">
        <f>OF!A183</f>
        <v>OF34</v>
      </c>
      <c r="B100" s="1521" t="str">
        <f>OF!B183</f>
        <v>Relative Elevation in Watershed (Elev)</v>
      </c>
      <c r="C100" s="4" t="str">
        <f>OF!C183</f>
        <v>In the ORWAP Map Viewer, based on the Hydrologic Boundaries 4th Level (HUC 8) layer (under Watersheds), determine if the AA is:          (See Column E)</v>
      </c>
      <c r="D100" s="201"/>
      <c r="E100" s="201"/>
      <c r="F100" s="202"/>
      <c r="G100" s="811">
        <f>MAX(F101:F103)/MAX(E101:E103)</f>
        <v>0</v>
      </c>
      <c r="H100" s="1582" t="s">
        <v>150</v>
      </c>
      <c r="I100" s="2"/>
    </row>
    <row r="101" spans="1:9" ht="15.75" customHeight="1" x14ac:dyDescent="0.25">
      <c r="A101" s="1791"/>
      <c r="B101" s="1521"/>
      <c r="C101" s="2" t="str">
        <f>OF!C184</f>
        <v>In the upper one-third of its watershed.</v>
      </c>
      <c r="D101" s="44">
        <f>OF!D184</f>
        <v>0</v>
      </c>
      <c r="E101" s="206">
        <v>1</v>
      </c>
      <c r="F101" s="197">
        <f>D101*E101</f>
        <v>0</v>
      </c>
      <c r="G101" s="806"/>
      <c r="H101" s="1582"/>
    </row>
    <row r="102" spans="1:9" ht="16.5" customHeight="1" x14ac:dyDescent="0.25">
      <c r="A102" s="1791"/>
      <c r="B102" s="1521"/>
      <c r="C102" s="95" t="str">
        <f>OF!C185</f>
        <v>In the middle one-third of its watershed.</v>
      </c>
      <c r="D102" s="44">
        <f>OF!D185</f>
        <v>0</v>
      </c>
      <c r="E102" s="206">
        <v>2</v>
      </c>
      <c r="F102" s="197">
        <f>D102*E102</f>
        <v>0</v>
      </c>
      <c r="G102" s="800"/>
      <c r="H102" s="1582"/>
    </row>
    <row r="103" spans="1:9" ht="17.25" customHeight="1" thickBot="1" x14ac:dyDescent="0.3">
      <c r="A103" s="1791"/>
      <c r="B103" s="1521"/>
      <c r="C103" s="95" t="str">
        <f>OF!C186</f>
        <v>In the lower one-third of its watershed.</v>
      </c>
      <c r="D103" s="17">
        <f>OF!D186</f>
        <v>0</v>
      </c>
      <c r="E103" s="207">
        <v>3</v>
      </c>
      <c r="F103" s="203">
        <f>D103*E103</f>
        <v>0</v>
      </c>
      <c r="G103" s="800"/>
      <c r="H103" s="1582"/>
    </row>
    <row r="104" spans="1:9" ht="43.5" customHeight="1" thickBot="1" x14ac:dyDescent="0.3">
      <c r="A104" s="1796" t="str">
        <f>OF!A187</f>
        <v>OF35</v>
      </c>
      <c r="B104" s="1522" t="str">
        <f>OF!B187</f>
        <v>Runoff Contributing Area (RCA) - Wetland as % of (WetPctRCA)</v>
      </c>
      <c r="C104" s="4" t="str">
        <f>OF!C187</f>
        <v>Delimit the wetland's Runoff Contributing Area (RCA) using a topographic base map.  The area of the AA's wetland is:</v>
      </c>
      <c r="D104" s="195"/>
      <c r="E104" s="195"/>
      <c r="F104" s="204"/>
      <c r="G104" s="810">
        <f>MAX(F105:F108)/MAX(E105:E108)</f>
        <v>0</v>
      </c>
      <c r="H104" s="1599" t="s">
        <v>350</v>
      </c>
    </row>
    <row r="105" spans="1:9" ht="16.2" customHeight="1" x14ac:dyDescent="0.25">
      <c r="A105" s="1797"/>
      <c r="B105" s="1521"/>
      <c r="C105" s="2" t="str">
        <f>OF!C188</f>
        <v>&lt;1% of its RCA.</v>
      </c>
      <c r="D105" s="44">
        <f>OF!D188</f>
        <v>0</v>
      </c>
      <c r="E105" s="206">
        <v>3</v>
      </c>
      <c r="F105" s="197">
        <f>D105*E105</f>
        <v>0</v>
      </c>
      <c r="G105" s="792"/>
      <c r="H105" s="1582"/>
    </row>
    <row r="106" spans="1:9" ht="16.2" customHeight="1" x14ac:dyDescent="0.25">
      <c r="A106" s="1797"/>
      <c r="B106" s="1521"/>
      <c r="C106" s="95" t="str">
        <f>OF!C189</f>
        <v>1 to &lt;10% of its RCA.</v>
      </c>
      <c r="D106" s="44">
        <f>OF!D189</f>
        <v>0</v>
      </c>
      <c r="E106" s="206">
        <v>2</v>
      </c>
      <c r="F106" s="197">
        <f>D106*E106</f>
        <v>0</v>
      </c>
      <c r="G106" s="793"/>
      <c r="H106" s="1582"/>
    </row>
    <row r="107" spans="1:9" ht="16.2" customHeight="1" x14ac:dyDescent="0.25">
      <c r="A107" s="1797"/>
      <c r="B107" s="1521"/>
      <c r="C107" s="95" t="str">
        <f>OF!C190</f>
        <v>10 to 100% of its RCA.</v>
      </c>
      <c r="D107" s="44">
        <f>OF!D190</f>
        <v>0</v>
      </c>
      <c r="E107" s="206">
        <v>1</v>
      </c>
      <c r="F107" s="197">
        <f>D107*E107</f>
        <v>0</v>
      </c>
      <c r="G107" s="793"/>
      <c r="H107" s="1582"/>
    </row>
    <row r="108" spans="1:9" ht="16.2" customHeight="1" thickBot="1" x14ac:dyDescent="0.3">
      <c r="A108" s="1798"/>
      <c r="B108" s="1523"/>
      <c r="C108" s="254" t="str">
        <f>OF!C191</f>
        <v>Larger than the area of its RCA.  Enter 1 and SKIP TO OF39.</v>
      </c>
      <c r="D108" s="198">
        <f>OF!D191</f>
        <v>0</v>
      </c>
      <c r="E108" s="444">
        <v>0</v>
      </c>
      <c r="F108" s="200">
        <f>D108*E108</f>
        <v>0</v>
      </c>
      <c r="G108" s="794"/>
      <c r="H108" s="1600"/>
    </row>
    <row r="109" spans="1:9" ht="45" customHeight="1" thickBot="1" x14ac:dyDescent="0.3">
      <c r="A109" s="1791" t="str">
        <f>OF!A192</f>
        <v>OF36</v>
      </c>
      <c r="B109" s="1521" t="str">
        <f>OF!B192</f>
        <v>Unvegetated % in the RCA (ImpervRCA)</v>
      </c>
      <c r="C109" s="4" t="str">
        <f>OF!C192</f>
        <v>The proportion of the RCA comprised of buildings, roads, parking lots, exposed bedrock, and other surface that is usually unvegetated at the time of peak annual runoff is about:</v>
      </c>
      <c r="D109" s="201"/>
      <c r="E109" s="201"/>
      <c r="F109" s="86"/>
      <c r="G109" s="811">
        <f>IF((NoRCA=1),"",MAX(F110:F112)/MAX(E110:E112))</f>
        <v>0</v>
      </c>
      <c r="H109" s="1582" t="s">
        <v>339</v>
      </c>
    </row>
    <row r="110" spans="1:9" ht="24" customHeight="1" x14ac:dyDescent="0.25">
      <c r="A110" s="1791"/>
      <c r="B110" s="1521"/>
      <c r="C110" s="2" t="str">
        <f>OF!C193</f>
        <v>&lt;10%.</v>
      </c>
      <c r="D110" s="44">
        <f>OF!D193</f>
        <v>0</v>
      </c>
      <c r="E110" s="206">
        <v>0</v>
      </c>
      <c r="F110" s="197">
        <f>D110*E110</f>
        <v>0</v>
      </c>
      <c r="G110" s="792"/>
      <c r="H110" s="1582"/>
    </row>
    <row r="111" spans="1:9" ht="24" customHeight="1" x14ac:dyDescent="0.25">
      <c r="A111" s="1791"/>
      <c r="B111" s="1521"/>
      <c r="C111" s="95" t="str">
        <f>OF!C194</f>
        <v>10 to 25%.</v>
      </c>
      <c r="D111" s="44">
        <f>OF!D194</f>
        <v>0</v>
      </c>
      <c r="E111" s="206">
        <v>2</v>
      </c>
      <c r="F111" s="197">
        <f>D111*E111</f>
        <v>0</v>
      </c>
      <c r="G111" s="793"/>
      <c r="H111" s="1582"/>
    </row>
    <row r="112" spans="1:9" ht="24" customHeight="1" thickBot="1" x14ac:dyDescent="0.3">
      <c r="A112" s="1791"/>
      <c r="B112" s="1521"/>
      <c r="C112" s="95" t="str">
        <f>OF!C195</f>
        <v>&gt;25%.</v>
      </c>
      <c r="D112" s="17">
        <f>OF!D195</f>
        <v>0</v>
      </c>
      <c r="E112" s="207">
        <v>3</v>
      </c>
      <c r="F112" s="203">
        <f>D112*E112</f>
        <v>0</v>
      </c>
      <c r="G112" s="800"/>
      <c r="H112" s="1582"/>
    </row>
    <row r="113" spans="1:8" ht="60" customHeight="1" thickBot="1" x14ac:dyDescent="0.3">
      <c r="A113" s="1796" t="str">
        <f>OF!A196</f>
        <v>OF37</v>
      </c>
      <c r="B113" s="1522" t="str">
        <f>OF!B196</f>
        <v>Transport From Upslope (TransRCA)</v>
      </c>
      <c r="C113" s="114" t="str">
        <f>OF!C196</f>
        <v>A relatively large proportion of the precipitation that falls farther upslope in the RCA reaches this wetland quickly as indicated by the following: (a) RCA slopes are steep, and/or (b) upslope wetlands historically present have been filled or drained extensively, and/or (c) land cover is mostly non-forest, and/or (d) most RCA soils are shallow.  This statement is:</v>
      </c>
      <c r="D113" s="195"/>
      <c r="E113" s="195"/>
      <c r="F113" s="218"/>
      <c r="G113" s="810">
        <f>IF((NoRCA=1),"",MAX(F114:F116)/MAX(E114:E116))</f>
        <v>0</v>
      </c>
      <c r="H113" s="1522" t="s">
        <v>124</v>
      </c>
    </row>
    <row r="114" spans="1:8" ht="16.2" customHeight="1" x14ac:dyDescent="0.25">
      <c r="A114" s="1797"/>
      <c r="B114" s="1521"/>
      <c r="C114" s="11" t="str">
        <f>OF!C197</f>
        <v>Mostly true.</v>
      </c>
      <c r="D114" s="44">
        <f>OF!D197</f>
        <v>0</v>
      </c>
      <c r="E114" s="206">
        <v>3</v>
      </c>
      <c r="F114" s="197">
        <f>D114*E114</f>
        <v>0</v>
      </c>
      <c r="G114" s="793"/>
      <c r="H114" s="1521"/>
    </row>
    <row r="115" spans="1:8" ht="16.2" customHeight="1" x14ac:dyDescent="0.25">
      <c r="A115" s="1797"/>
      <c r="B115" s="1521"/>
      <c r="C115" s="286" t="str">
        <f>OF!C198</f>
        <v>Somewhat true.</v>
      </c>
      <c r="D115" s="44">
        <f>OF!D198</f>
        <v>0</v>
      </c>
      <c r="E115" s="206">
        <v>2</v>
      </c>
      <c r="F115" s="197">
        <f>D115*E115</f>
        <v>0</v>
      </c>
      <c r="G115" s="793"/>
      <c r="H115" s="1521"/>
    </row>
    <row r="116" spans="1:8" ht="16.2" customHeight="1" thickBot="1" x14ac:dyDescent="0.3">
      <c r="A116" s="1798"/>
      <c r="B116" s="1523"/>
      <c r="C116" s="443" t="str">
        <f>OF!C199</f>
        <v>Mostly untrue.</v>
      </c>
      <c r="D116" s="198">
        <f>OF!D199</f>
        <v>0</v>
      </c>
      <c r="E116" s="444">
        <v>1</v>
      </c>
      <c r="F116" s="200">
        <f>D116*E116</f>
        <v>0</v>
      </c>
      <c r="G116" s="794"/>
      <c r="H116" s="1523"/>
    </row>
    <row r="117" spans="1:8" ht="45" customHeight="1" thickBot="1" x14ac:dyDescent="0.3">
      <c r="A117" s="1791" t="str">
        <f>OF!A220</f>
        <v>OF42</v>
      </c>
      <c r="B117" s="1521" t="str">
        <f>OF!B220</f>
        <v>Zoning (Zoning)</v>
      </c>
      <c r="C117" s="4" t="str">
        <f>OF!C220</f>
        <v>According to ORWAP Map Viewer's Oregon Zoning layer, the dominant zoned land use designation for currently undeveloped parcels upslope from the AA and within 300 ft. of its upland edge is:</v>
      </c>
      <c r="D117" s="201"/>
      <c r="E117" s="201"/>
      <c r="F117" s="205"/>
      <c r="G117" s="811">
        <f>IF((D121=1),"",MAX(F118:F120)/MAX(E118:E120))</f>
        <v>0</v>
      </c>
      <c r="H117" s="1521" t="s">
        <v>621</v>
      </c>
    </row>
    <row r="118" spans="1:8" ht="27" customHeight="1" x14ac:dyDescent="0.25">
      <c r="A118" s="1791"/>
      <c r="B118" s="1521"/>
      <c r="C118" s="215" t="str">
        <f>OF!C221</f>
        <v>Development (Commercial, Industrial, Urban Residential, etc.), or no undeveloped parcels exist upslope from the AA.</v>
      </c>
      <c r="D118" s="44">
        <f>OF!D221</f>
        <v>0</v>
      </c>
      <c r="E118" s="206">
        <v>2</v>
      </c>
      <c r="F118" s="197">
        <f>D118*E118</f>
        <v>0</v>
      </c>
      <c r="G118" s="793"/>
      <c r="H118" s="1521"/>
    </row>
    <row r="119" spans="1:8" ht="16.2" customHeight="1" x14ac:dyDescent="0.25">
      <c r="A119" s="1791"/>
      <c r="B119" s="1521"/>
      <c r="C119" s="216" t="str">
        <f>OF!C222</f>
        <v>Agriculture or Rural Residential.</v>
      </c>
      <c r="D119" s="44">
        <f>OF!D222</f>
        <v>0</v>
      </c>
      <c r="E119" s="206">
        <v>1</v>
      </c>
      <c r="F119" s="197">
        <f>D119*E119</f>
        <v>0</v>
      </c>
      <c r="G119" s="793"/>
      <c r="H119" s="1521"/>
    </row>
    <row r="120" spans="1:8" ht="16.2" customHeight="1" x14ac:dyDescent="0.25">
      <c r="A120" s="1791"/>
      <c r="B120" s="1521"/>
      <c r="C120" s="216" t="str">
        <f>OF!C223</f>
        <v>Forest or Open Space, or entirely public lands.</v>
      </c>
      <c r="D120" s="44">
        <f>OF!D223</f>
        <v>0</v>
      </c>
      <c r="E120" s="206">
        <v>0</v>
      </c>
      <c r="F120" s="197">
        <f>D120*E120</f>
        <v>0</v>
      </c>
      <c r="G120" s="793"/>
      <c r="H120" s="1521"/>
    </row>
    <row r="121" spans="1:8" ht="16.2" customHeight="1" thickBot="1" x14ac:dyDescent="0.3">
      <c r="A121" s="1791"/>
      <c r="B121" s="1521"/>
      <c r="C121" s="95" t="str">
        <f>OF!C224</f>
        <v>Not zoned, or no information.</v>
      </c>
      <c r="D121" s="17">
        <f>OF!D224</f>
        <v>0</v>
      </c>
      <c r="E121" s="207"/>
      <c r="F121" s="203"/>
      <c r="G121" s="800"/>
      <c r="H121" s="1521"/>
    </row>
    <row r="122" spans="1:8" s="2" customFormat="1" ht="30" customHeight="1" thickBot="1" x14ac:dyDescent="0.3">
      <c r="A122" s="1793" t="str">
        <f>F!A274</f>
        <v>F54</v>
      </c>
      <c r="B122" s="1522" t="str">
        <f>F!B274</f>
        <v>Upland Trees as % of All Perennial Cover (UpTreePctPer)</v>
      </c>
      <c r="C122" s="4" t="str">
        <f>F!C274</f>
        <v>Within 100 f.t landward from the AA's edge (perimeter), the percentage of the upland perennial cover that is woody plants taller than 20 ft is:</v>
      </c>
      <c r="D122" s="195"/>
      <c r="E122" s="448"/>
      <c r="F122" s="209"/>
      <c r="G122" s="813">
        <f>MAX(F123:F128)/MAX(E123:E128)</f>
        <v>0</v>
      </c>
      <c r="H122" s="1522" t="s">
        <v>351</v>
      </c>
    </row>
    <row r="123" spans="1:8" s="2" customFormat="1" ht="16.2" customHeight="1" x14ac:dyDescent="0.25">
      <c r="A123" s="1794"/>
      <c r="B123" s="1521"/>
      <c r="C123" s="2" t="str">
        <f>F!C275</f>
        <v>&lt;5%, or there is no upland perennial cover along the upland edge.</v>
      </c>
      <c r="D123" s="44">
        <f>F!D275</f>
        <v>0</v>
      </c>
      <c r="E123" s="207">
        <v>6</v>
      </c>
      <c r="F123" s="197">
        <f t="shared" ref="F123:F128" si="4">D123*E123</f>
        <v>0</v>
      </c>
      <c r="G123" s="806"/>
      <c r="H123" s="1521"/>
    </row>
    <row r="124" spans="1:8" s="2" customFormat="1" ht="16.2" customHeight="1" x14ac:dyDescent="0.25">
      <c r="A124" s="1794"/>
      <c r="B124" s="1521"/>
      <c r="C124" s="95" t="str">
        <f>F!C276</f>
        <v>5 to &lt;25% of perennial cover.</v>
      </c>
      <c r="D124" s="44">
        <f>F!D276</f>
        <v>0</v>
      </c>
      <c r="E124" s="207">
        <v>5</v>
      </c>
      <c r="F124" s="197">
        <f t="shared" si="4"/>
        <v>0</v>
      </c>
      <c r="G124" s="800"/>
      <c r="H124" s="1521"/>
    </row>
    <row r="125" spans="1:8" s="2" customFormat="1" ht="16.2" customHeight="1" x14ac:dyDescent="0.25">
      <c r="A125" s="1794"/>
      <c r="B125" s="1521"/>
      <c r="C125" s="95" t="str">
        <f>F!C277</f>
        <v>25 to &lt;50% of perennial cover.</v>
      </c>
      <c r="D125" s="44">
        <f>F!D277</f>
        <v>0</v>
      </c>
      <c r="E125" s="207">
        <v>4</v>
      </c>
      <c r="F125" s="197">
        <f t="shared" si="4"/>
        <v>0</v>
      </c>
      <c r="G125" s="800"/>
      <c r="H125" s="1521"/>
    </row>
    <row r="126" spans="1:8" s="2" customFormat="1" ht="16.2" customHeight="1" x14ac:dyDescent="0.25">
      <c r="A126" s="1794"/>
      <c r="B126" s="1521"/>
      <c r="C126" s="95" t="str">
        <f>F!C278</f>
        <v>50 to &lt;75% of perennial cover.</v>
      </c>
      <c r="D126" s="44">
        <f>F!D278</f>
        <v>0</v>
      </c>
      <c r="E126" s="207">
        <v>3</v>
      </c>
      <c r="F126" s="197">
        <f t="shared" si="4"/>
        <v>0</v>
      </c>
      <c r="G126" s="800"/>
      <c r="H126" s="1521"/>
    </row>
    <row r="127" spans="1:8" s="2" customFormat="1" ht="16.2" customHeight="1" x14ac:dyDescent="0.25">
      <c r="A127" s="1794"/>
      <c r="B127" s="1521"/>
      <c r="C127" s="95" t="str">
        <f>F!C279</f>
        <v>75 to 95% of perennial cover.</v>
      </c>
      <c r="D127" s="44">
        <f>F!D279</f>
        <v>0</v>
      </c>
      <c r="E127" s="207">
        <v>2</v>
      </c>
      <c r="F127" s="197">
        <f t="shared" si="4"/>
        <v>0</v>
      </c>
      <c r="G127" s="800"/>
      <c r="H127" s="1521"/>
    </row>
    <row r="128" spans="1:8" s="2" customFormat="1" ht="16.2" customHeight="1" thickBot="1" x14ac:dyDescent="0.3">
      <c r="A128" s="1795"/>
      <c r="B128" s="1523"/>
      <c r="C128" s="212" t="str">
        <f>F!C280</f>
        <v>&gt;95% of perennial cover.</v>
      </c>
      <c r="D128" s="213">
        <f>F!D280</f>
        <v>0</v>
      </c>
      <c r="E128" s="199">
        <v>1</v>
      </c>
      <c r="F128" s="200">
        <f t="shared" si="4"/>
        <v>0</v>
      </c>
      <c r="G128" s="794"/>
      <c r="H128" s="1523"/>
    </row>
    <row r="129" spans="1:8" ht="21" customHeight="1" thickBot="1" x14ac:dyDescent="0.3">
      <c r="A129" s="11"/>
      <c r="B129" s="104"/>
      <c r="C129" s="2"/>
      <c r="D129" s="222"/>
      <c r="E129" s="223"/>
      <c r="F129" s="224"/>
      <c r="G129" s="225"/>
      <c r="H129" s="226"/>
    </row>
    <row r="130" spans="1:8" ht="21" customHeight="1" x14ac:dyDescent="0.25">
      <c r="A130" s="11"/>
      <c r="B130" s="227"/>
      <c r="C130" s="1811" t="s">
        <v>610</v>
      </c>
      <c r="D130" s="1792" t="s">
        <v>607</v>
      </c>
      <c r="E130" s="1792"/>
      <c r="F130" s="1792"/>
      <c r="G130" s="275">
        <f>AVERAGE(Groundw1,SoilTex1,WetPctRCA1,WetPctSCA1)</f>
        <v>0</v>
      </c>
      <c r="H130" s="263" t="s">
        <v>2124</v>
      </c>
    </row>
    <row r="131" spans="1:8" ht="21" customHeight="1" x14ac:dyDescent="0.25">
      <c r="A131" s="11"/>
      <c r="B131" s="227"/>
      <c r="C131" s="1812"/>
      <c r="D131" s="1816" t="s">
        <v>59</v>
      </c>
      <c r="E131" s="1816"/>
      <c r="F131" s="1816"/>
      <c r="G131" s="276">
        <f>(2*AVERAGE(Hydropd1,OWareaWet1) + AVERAGE(Hydropd1,PermWpct1,Fluctu1))/3</f>
        <v>0</v>
      </c>
      <c r="H131" s="264" t="s">
        <v>1252</v>
      </c>
    </row>
    <row r="132" spans="1:8" ht="21.6" customHeight="1" thickBot="1" x14ac:dyDescent="0.3">
      <c r="A132" s="11"/>
      <c r="B132" s="227"/>
      <c r="C132" s="1813"/>
      <c r="D132" s="1817" t="s">
        <v>60</v>
      </c>
      <c r="E132" s="1817"/>
      <c r="F132" s="1817"/>
      <c r="G132" s="277">
        <f>AVERAGE((Gcover1,Girreg1,Constric1,ThruFlo1,PondWpctWet1),Gradient1)</f>
        <v>0</v>
      </c>
      <c r="H132" s="545" t="s">
        <v>1558</v>
      </c>
    </row>
    <row r="133" spans="1:8" ht="45" customHeight="1" thickBot="1" x14ac:dyDescent="0.3">
      <c r="A133" s="11"/>
      <c r="B133" s="11"/>
      <c r="C133" s="1807" t="s">
        <v>121</v>
      </c>
      <c r="D133" s="1808"/>
      <c r="E133" s="1809"/>
      <c r="F133" s="228" t="s">
        <v>6</v>
      </c>
      <c r="G133" s="778">
        <f>10*(IF((Tidal=1),0,IF((NoOutlet=1),1,IF((NeverWater=1),(2*Gradient1+AVERAGE(Groundw1,SoilTex1,Gcover1,Girreg1))/3,(3*AVERAGE(OutDura1,LiveStore)+AVERAGE(Friction,Subsurf))/4))))</f>
        <v>0</v>
      </c>
      <c r="H133" s="251" t="s">
        <v>1269</v>
      </c>
    </row>
    <row r="134" spans="1:8" ht="21" customHeight="1" thickBot="1" x14ac:dyDescent="0.3">
      <c r="A134" s="11"/>
      <c r="B134" s="11"/>
      <c r="C134" s="105"/>
      <c r="D134" s="229"/>
      <c r="E134" s="230"/>
      <c r="F134" s="231"/>
      <c r="G134" s="232"/>
      <c r="H134" s="544"/>
    </row>
    <row r="135" spans="1:8" s="107" customFormat="1" ht="21" customHeight="1" x14ac:dyDescent="0.25">
      <c r="A135" s="480"/>
      <c r="B135" s="480"/>
      <c r="C135" s="1814" t="s">
        <v>1281</v>
      </c>
      <c r="D135" s="1819" t="s">
        <v>631</v>
      </c>
      <c r="E135" s="1819"/>
      <c r="F135" s="1819"/>
      <c r="G135" s="278">
        <f>AVERAGE(RiverProx1v,DamageType1v,FloodProp1v)</f>
        <v>0</v>
      </c>
      <c r="H135" s="263" t="s">
        <v>2010</v>
      </c>
    </row>
    <row r="136" spans="1:8" s="107" customFormat="1" ht="21" customHeight="1" thickBot="1" x14ac:dyDescent="0.3">
      <c r="A136" s="480"/>
      <c r="B136" s="480"/>
      <c r="C136" s="1815"/>
      <c r="D136" s="1810" t="s">
        <v>630</v>
      </c>
      <c r="E136" s="1810"/>
      <c r="F136" s="1810"/>
      <c r="G136" s="279">
        <f>(3*Elev1v + 2*AVERAGE(WetPctRCA1v, ImpervRCA1v,TransRCA1v) + UpTreePctPer1v)/6</f>
        <v>0</v>
      </c>
      <c r="H136" s="264" t="s">
        <v>2011</v>
      </c>
    </row>
    <row r="137" spans="1:8" ht="30" customHeight="1" thickBot="1" x14ac:dyDescent="0.3">
      <c r="A137" s="11"/>
      <c r="B137" s="11"/>
      <c r="C137" s="1807" t="s">
        <v>28</v>
      </c>
      <c r="D137" s="1808"/>
      <c r="E137" s="1809"/>
      <c r="F137" s="228" t="s">
        <v>7</v>
      </c>
      <c r="G137" s="779">
        <f>10*(IF((DamageType1v&gt;0), FDam1,AVERAGE(FDam1,AVERAGE(Yield1,Zoning1v,GISscoreWSv))))</f>
        <v>0</v>
      </c>
      <c r="H137" s="546" t="s">
        <v>2125</v>
      </c>
    </row>
    <row r="138" spans="1:8" ht="21" customHeight="1" thickBot="1" x14ac:dyDescent="0.3">
      <c r="C138" s="105"/>
      <c r="D138" s="229"/>
      <c r="E138" s="105"/>
      <c r="F138" s="106"/>
      <c r="G138" s="5"/>
      <c r="H138" s="2"/>
    </row>
    <row r="139" spans="1:8" ht="21" customHeight="1" thickBot="1" x14ac:dyDescent="0.3">
      <c r="H139" s="234" t="s">
        <v>859</v>
      </c>
    </row>
    <row r="140" spans="1:8" ht="27" customHeight="1" x14ac:dyDescent="0.25">
      <c r="F140" s="191"/>
      <c r="H140" s="724" t="s">
        <v>898</v>
      </c>
    </row>
    <row r="141" spans="1:8" ht="42" customHeight="1" x14ac:dyDescent="0.25">
      <c r="H141" s="716" t="s">
        <v>1260</v>
      </c>
    </row>
    <row r="142" spans="1:8" ht="42" customHeight="1" x14ac:dyDescent="0.25">
      <c r="H142" s="725" t="s">
        <v>899</v>
      </c>
    </row>
    <row r="143" spans="1:8" ht="27" customHeight="1" x14ac:dyDescent="0.25">
      <c r="H143" s="716" t="s">
        <v>1261</v>
      </c>
    </row>
    <row r="144" spans="1:8" ht="42" customHeight="1" x14ac:dyDescent="0.25">
      <c r="H144" s="716" t="s">
        <v>1262</v>
      </c>
    </row>
    <row r="145" spans="8:8" ht="27" customHeight="1" x14ac:dyDescent="0.25">
      <c r="H145" s="725" t="s">
        <v>1263</v>
      </c>
    </row>
    <row r="146" spans="8:8" ht="42" customHeight="1" x14ac:dyDescent="0.25">
      <c r="H146" s="725" t="s">
        <v>900</v>
      </c>
    </row>
    <row r="147" spans="8:8" ht="42" customHeight="1" x14ac:dyDescent="0.25">
      <c r="H147" s="725" t="s">
        <v>901</v>
      </c>
    </row>
    <row r="148" spans="8:8" ht="27" customHeight="1" x14ac:dyDescent="0.25">
      <c r="H148" s="725" t="s">
        <v>1264</v>
      </c>
    </row>
    <row r="149" spans="8:8" ht="27" customHeight="1" x14ac:dyDescent="0.25">
      <c r="H149" s="725" t="s">
        <v>902</v>
      </c>
    </row>
    <row r="150" spans="8:8" ht="27" customHeight="1" x14ac:dyDescent="0.25">
      <c r="H150" s="716" t="s">
        <v>1265</v>
      </c>
    </row>
    <row r="151" spans="8:8" ht="27" customHeight="1" x14ac:dyDescent="0.25">
      <c r="H151" s="712" t="s">
        <v>1266</v>
      </c>
    </row>
    <row r="152" spans="8:8" ht="27" customHeight="1" x14ac:dyDescent="0.25">
      <c r="H152" s="716" t="s">
        <v>1267</v>
      </c>
    </row>
    <row r="153" spans="8:8" ht="27" customHeight="1" x14ac:dyDescent="0.25">
      <c r="H153" s="725" t="s">
        <v>903</v>
      </c>
    </row>
    <row r="154" spans="8:8" ht="27" customHeight="1" x14ac:dyDescent="0.25">
      <c r="H154" s="725" t="s">
        <v>904</v>
      </c>
    </row>
    <row r="155" spans="8:8" ht="27" customHeight="1" x14ac:dyDescent="0.25">
      <c r="H155" s="725" t="s">
        <v>905</v>
      </c>
    </row>
    <row r="156" spans="8:8" ht="57" customHeight="1" thickBot="1" x14ac:dyDescent="0.3">
      <c r="H156" s="727" t="s">
        <v>1268</v>
      </c>
    </row>
    <row r="157" spans="8:8" x14ac:dyDescent="0.25">
      <c r="H157" s="2"/>
    </row>
    <row r="158" spans="8:8" x14ac:dyDescent="0.25">
      <c r="H158" s="2"/>
    </row>
    <row r="159" spans="8:8" x14ac:dyDescent="0.25">
      <c r="H159" s="2"/>
    </row>
    <row r="160" spans="8:8" x14ac:dyDescent="0.25">
      <c r="H160" s="2"/>
    </row>
    <row r="161" spans="8:8" x14ac:dyDescent="0.25">
      <c r="H161" s="2"/>
    </row>
    <row r="162" spans="8:8" x14ac:dyDescent="0.25">
      <c r="H162" s="2"/>
    </row>
    <row r="163" spans="8:8" x14ac:dyDescent="0.25">
      <c r="H163" s="2"/>
    </row>
    <row r="164" spans="8:8" x14ac:dyDescent="0.25">
      <c r="H164" s="2"/>
    </row>
    <row r="165" spans="8:8" x14ac:dyDescent="0.25">
      <c r="H165" s="2"/>
    </row>
    <row r="166" spans="8:8" x14ac:dyDescent="0.25">
      <c r="H166" s="2"/>
    </row>
    <row r="167" spans="8:8" x14ac:dyDescent="0.25">
      <c r="H167" s="2"/>
    </row>
    <row r="168" spans="8:8" x14ac:dyDescent="0.25">
      <c r="H168" s="2"/>
    </row>
    <row r="169" spans="8:8" x14ac:dyDescent="0.25">
      <c r="H169" s="2"/>
    </row>
    <row r="170" spans="8:8" x14ac:dyDescent="0.25">
      <c r="H170" s="2"/>
    </row>
    <row r="171" spans="8:8" x14ac:dyDescent="0.25">
      <c r="H171" s="2"/>
    </row>
    <row r="172" spans="8:8" x14ac:dyDescent="0.25">
      <c r="H172" s="2"/>
    </row>
    <row r="173" spans="8:8" x14ac:dyDescent="0.25">
      <c r="H173" s="2"/>
    </row>
    <row r="174" spans="8:8" x14ac:dyDescent="0.25">
      <c r="H174" s="2"/>
    </row>
    <row r="175" spans="8:8" x14ac:dyDescent="0.25">
      <c r="H175" s="2"/>
    </row>
    <row r="176" spans="8:8" x14ac:dyDescent="0.25">
      <c r="H176" s="2"/>
    </row>
  </sheetData>
  <sheetProtection password="C74A" sheet="1" objects="1" scenarios="1" formatCells="0" formatColumns="0" formatRows="0"/>
  <customSheetViews>
    <customSheetView guid="{B8E02330-2419-4DE6-AD01-7ACC7A5D18DD}" scale="75" topLeftCell="A108">
      <selection activeCell="F120" sqref="F120"/>
      <pageMargins left="0.75" right="0.75" top="1" bottom="1" header="0.5" footer="0.5"/>
      <pageSetup orientation="portrait" horizontalDpi="4294967294" verticalDpi="300" r:id="rId1"/>
      <headerFooter alignWithMargins="0"/>
    </customSheetView>
  </customSheetViews>
  <mergeCells count="83">
    <mergeCell ref="E1:H1"/>
    <mergeCell ref="A63:A67"/>
    <mergeCell ref="B63:B67"/>
    <mergeCell ref="H63:H67"/>
    <mergeCell ref="A57:A62"/>
    <mergeCell ref="B57:B62"/>
    <mergeCell ref="H57:H62"/>
    <mergeCell ref="H8:H13"/>
    <mergeCell ref="H32:H41"/>
    <mergeCell ref="A1:B1"/>
    <mergeCell ref="H3:H7"/>
    <mergeCell ref="H20:H24"/>
    <mergeCell ref="H25:H31"/>
    <mergeCell ref="B3:B7"/>
    <mergeCell ref="B8:B13"/>
    <mergeCell ref="H14:H19"/>
    <mergeCell ref="A73:A78"/>
    <mergeCell ref="A79:A82"/>
    <mergeCell ref="B20:B24"/>
    <mergeCell ref="B83:B87"/>
    <mergeCell ref="A68:A72"/>
    <mergeCell ref="B73:B78"/>
    <mergeCell ref="A20:A24"/>
    <mergeCell ref="A53:A56"/>
    <mergeCell ref="B32:B41"/>
    <mergeCell ref="A83:A87"/>
    <mergeCell ref="A48:A52"/>
    <mergeCell ref="H68:H72"/>
    <mergeCell ref="H42:H47"/>
    <mergeCell ref="B53:B56"/>
    <mergeCell ref="B68:B72"/>
    <mergeCell ref="H53:H56"/>
    <mergeCell ref="H48:H52"/>
    <mergeCell ref="B48:B52"/>
    <mergeCell ref="H79:H82"/>
    <mergeCell ref="H97:H99"/>
    <mergeCell ref="H100:H103"/>
    <mergeCell ref="H83:H87"/>
    <mergeCell ref="D135:F135"/>
    <mergeCell ref="H122:H128"/>
    <mergeCell ref="H117:H121"/>
    <mergeCell ref="H113:H116"/>
    <mergeCell ref="H92:H96"/>
    <mergeCell ref="H109:H112"/>
    <mergeCell ref="H104:H108"/>
    <mergeCell ref="H89:H90"/>
    <mergeCell ref="C137:E137"/>
    <mergeCell ref="D136:F136"/>
    <mergeCell ref="C130:C132"/>
    <mergeCell ref="C135:C136"/>
    <mergeCell ref="B79:B82"/>
    <mergeCell ref="C133:E133"/>
    <mergeCell ref="B100:B103"/>
    <mergeCell ref="B122:B128"/>
    <mergeCell ref="B104:B108"/>
    <mergeCell ref="B109:B112"/>
    <mergeCell ref="D131:F131"/>
    <mergeCell ref="D132:F132"/>
    <mergeCell ref="B92:B96"/>
    <mergeCell ref="A3:A7"/>
    <mergeCell ref="A42:A47"/>
    <mergeCell ref="B14:B19"/>
    <mergeCell ref="B25:B31"/>
    <mergeCell ref="A14:A19"/>
    <mergeCell ref="A25:A31"/>
    <mergeCell ref="A32:A41"/>
    <mergeCell ref="B42:B47"/>
    <mergeCell ref="H73:H78"/>
    <mergeCell ref="A8:A13"/>
    <mergeCell ref="A92:A96"/>
    <mergeCell ref="D130:F130"/>
    <mergeCell ref="A122:A128"/>
    <mergeCell ref="B117:B121"/>
    <mergeCell ref="A117:A121"/>
    <mergeCell ref="A97:A99"/>
    <mergeCell ref="A100:A103"/>
    <mergeCell ref="A104:A108"/>
    <mergeCell ref="A109:A112"/>
    <mergeCell ref="B113:B116"/>
    <mergeCell ref="A113:A116"/>
    <mergeCell ref="A89:A90"/>
    <mergeCell ref="B89:B90"/>
    <mergeCell ref="B97:B99"/>
  </mergeCells>
  <phoneticPr fontId="3" type="noConversion"/>
  <pageMargins left="0.75" right="0.75" top="1" bottom="1" header="0.5" footer="0.5"/>
  <pageSetup orientation="portrait" horizontalDpi="4294967294" verticalDpi="300" r:id="rId2"/>
  <headerFooter alignWithMargins="0"/>
  <ignoredErrors>
    <ignoredError sqref="G53 G9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I249"/>
  <sheetViews>
    <sheetView zoomScaleNormal="100" workbookViewId="0">
      <selection activeCell="C7" sqref="C7"/>
    </sheetView>
  </sheetViews>
  <sheetFormatPr defaultColWidth="9.33203125" defaultRowHeight="13.8" x14ac:dyDescent="0.25"/>
  <cols>
    <col min="1" max="1" width="5.77734375" style="40" customWidth="1"/>
    <col min="2" max="2" width="18.77734375" style="40" customWidth="1"/>
    <col min="3" max="3" width="75.77734375" style="40" customWidth="1"/>
    <col min="4" max="4" width="6.77734375" style="53" customWidth="1"/>
    <col min="5" max="5" width="8.109375" style="53" customWidth="1"/>
    <col min="6" max="6" width="6.77734375" style="53" customWidth="1"/>
    <col min="7" max="7" width="12.77734375" style="43" customWidth="1"/>
    <col min="8" max="8" width="75.77734375" style="11" customWidth="1"/>
    <col min="9" max="9" width="16" style="40" customWidth="1"/>
    <col min="10" max="10" width="55.44140625" style="40" customWidth="1"/>
    <col min="11" max="16384" width="9.33203125" style="40"/>
  </cols>
  <sheetData>
    <row r="1" spans="1:9" ht="69" customHeight="1" thickBot="1" x14ac:dyDescent="0.3">
      <c r="A1" s="1826" t="s">
        <v>574</v>
      </c>
      <c r="B1" s="1827"/>
      <c r="C1" s="151" t="s">
        <v>575</v>
      </c>
      <c r="D1" s="240" t="s">
        <v>1173</v>
      </c>
      <c r="E1" s="1874"/>
      <c r="F1" s="1874"/>
      <c r="G1" s="1874"/>
      <c r="H1" s="1874"/>
    </row>
    <row r="2" spans="1:9" s="361" customFormat="1" ht="47.25" customHeight="1" thickBot="1" x14ac:dyDescent="0.3">
      <c r="A2" s="786" t="s">
        <v>126</v>
      </c>
      <c r="B2" s="787" t="s">
        <v>1458</v>
      </c>
      <c r="C2" s="788" t="s">
        <v>1271</v>
      </c>
      <c r="D2" s="787" t="s">
        <v>115</v>
      </c>
      <c r="E2" s="789" t="s">
        <v>771</v>
      </c>
      <c r="F2" s="787" t="s">
        <v>1462</v>
      </c>
      <c r="G2" s="790" t="s">
        <v>1273</v>
      </c>
      <c r="H2" s="787" t="s">
        <v>772</v>
      </c>
    </row>
    <row r="3" spans="1:9" ht="60" customHeight="1" thickBot="1" x14ac:dyDescent="0.3">
      <c r="A3" s="1788" t="str">
        <f>OF!A187</f>
        <v>OF35</v>
      </c>
      <c r="B3" s="1522" t="str">
        <f>OF!B187</f>
        <v>Runoff Contributing Area (RCA) - Wetland as % of (WetPctRCA)</v>
      </c>
      <c r="C3" s="75" t="str">
        <f>OF!C187</f>
        <v>Delimit the wetland's Runoff Contributing Area (RCA) using a topographic base map.  The area of the AA's wetland is:</v>
      </c>
      <c r="D3" s="549"/>
      <c r="E3" s="210"/>
      <c r="F3" s="241"/>
      <c r="G3" s="791">
        <f>MAX(F4:F7)/MAX(E4:E7)</f>
        <v>0</v>
      </c>
      <c r="H3" s="1599" t="s">
        <v>676</v>
      </c>
      <c r="I3" s="2"/>
    </row>
    <row r="4" spans="1:9" ht="16.2" customHeight="1" x14ac:dyDescent="0.25">
      <c r="A4" s="1789"/>
      <c r="B4" s="1521"/>
      <c r="C4" s="2" t="str">
        <f>OF!C188</f>
        <v>&lt;1% of its RCA.</v>
      </c>
      <c r="D4" s="44">
        <f>OF!D188</f>
        <v>0</v>
      </c>
      <c r="E4" s="49">
        <v>0</v>
      </c>
      <c r="F4" s="45">
        <f>D4*E4</f>
        <v>0</v>
      </c>
      <c r="G4" s="792"/>
      <c r="H4" s="1582"/>
    </row>
    <row r="5" spans="1:9" ht="16.2" customHeight="1" x14ac:dyDescent="0.25">
      <c r="A5" s="1789"/>
      <c r="B5" s="1521"/>
      <c r="C5" s="95" t="str">
        <f>OF!C189</f>
        <v>1 to &lt;10% of its RCA.</v>
      </c>
      <c r="D5" s="44">
        <f>OF!D189</f>
        <v>0</v>
      </c>
      <c r="E5" s="49">
        <v>1</v>
      </c>
      <c r="F5" s="45">
        <f>D5*E5</f>
        <v>0</v>
      </c>
      <c r="G5" s="793"/>
      <c r="H5" s="1582"/>
    </row>
    <row r="6" spans="1:9" ht="16.2" customHeight="1" x14ac:dyDescent="0.25">
      <c r="A6" s="1789"/>
      <c r="B6" s="1521"/>
      <c r="C6" s="95" t="str">
        <f>OF!C190</f>
        <v>10 to 100% of its RCA.</v>
      </c>
      <c r="D6" s="44">
        <f>OF!D190</f>
        <v>0</v>
      </c>
      <c r="E6" s="49">
        <v>2</v>
      </c>
      <c r="F6" s="45">
        <f>D6*E6</f>
        <v>0</v>
      </c>
      <c r="G6" s="793"/>
      <c r="H6" s="1582"/>
    </row>
    <row r="7" spans="1:9" ht="16.2" customHeight="1" thickBot="1" x14ac:dyDescent="0.3">
      <c r="A7" s="1790"/>
      <c r="B7" s="1523"/>
      <c r="C7" s="254" t="str">
        <f>OF!C191</f>
        <v>Larger than the area of its RCA.  Enter 1 and SKIP TO OF39.</v>
      </c>
      <c r="D7" s="198">
        <f>OF!D191</f>
        <v>0</v>
      </c>
      <c r="E7" s="245">
        <v>3</v>
      </c>
      <c r="F7" s="193">
        <f>D7*E7</f>
        <v>0</v>
      </c>
      <c r="G7" s="794"/>
      <c r="H7" s="1600"/>
    </row>
    <row r="8" spans="1:9" ht="60" customHeight="1" thickBot="1" x14ac:dyDescent="0.3">
      <c r="A8" s="1789" t="str">
        <f>OF!A206</f>
        <v>OF39</v>
      </c>
      <c r="B8" s="1521" t="str">
        <f>OF!B206</f>
        <v>Streamflow Contributing Area (SCA) - Wetland as % of (WetPctSCA)</v>
      </c>
      <c r="C8" s="438" t="str">
        <f>OF!C206</f>
        <v>Delimit (or visualize, for large river basins) the wetland's Streamflow Contributing Area (SCA) using a topographic base map. The area of the AA's wetland is:</v>
      </c>
      <c r="D8" s="549"/>
      <c r="E8" s="65"/>
      <c r="F8" s="46"/>
      <c r="G8" s="814">
        <f>IF((NoSCA=1),"",MAX(F9:F12)/MAX(E9:E12))</f>
        <v>0</v>
      </c>
      <c r="H8" s="1521" t="s">
        <v>1601</v>
      </c>
    </row>
    <row r="9" spans="1:9" ht="16.2" customHeight="1" x14ac:dyDescent="0.25">
      <c r="A9" s="1789"/>
      <c r="B9" s="1521"/>
      <c r="C9" s="449" t="str">
        <f>OF!C207</f>
        <v>&lt;1% of its SCA, or wetland is in the floodplain of a major river.</v>
      </c>
      <c r="D9" s="44">
        <f>OF!D207</f>
        <v>0</v>
      </c>
      <c r="E9" s="49">
        <v>0</v>
      </c>
      <c r="F9" s="45">
        <f>D9*E9</f>
        <v>0</v>
      </c>
      <c r="G9" s="793"/>
      <c r="H9" s="1521"/>
    </row>
    <row r="10" spans="1:9" ht="16.2" customHeight="1" x14ac:dyDescent="0.25">
      <c r="A10" s="1789"/>
      <c r="B10" s="1521"/>
      <c r="C10" s="450" t="str">
        <f>OF!C208</f>
        <v>1 to &lt;10% of its SCA.</v>
      </c>
      <c r="D10" s="44">
        <f>OF!D208</f>
        <v>0</v>
      </c>
      <c r="E10" s="49">
        <v>1</v>
      </c>
      <c r="F10" s="45">
        <f>D10*E10</f>
        <v>0</v>
      </c>
      <c r="G10" s="793"/>
      <c r="H10" s="1521"/>
    </row>
    <row r="11" spans="1:9" ht="16.2" customHeight="1" x14ac:dyDescent="0.25">
      <c r="A11" s="1789"/>
      <c r="B11" s="1521"/>
      <c r="C11" s="450" t="str">
        <f>OF!C209</f>
        <v>10 to 100% of its SCA.</v>
      </c>
      <c r="D11" s="44">
        <f>OF!D209</f>
        <v>0</v>
      </c>
      <c r="E11" s="49">
        <v>2</v>
      </c>
      <c r="F11" s="45">
        <f>D11*E11</f>
        <v>0</v>
      </c>
      <c r="G11" s="793"/>
      <c r="H11" s="1521"/>
    </row>
    <row r="12" spans="1:9" ht="16.2" customHeight="1" thickBot="1" x14ac:dyDescent="0.3">
      <c r="A12" s="1789"/>
      <c r="B12" s="1521"/>
      <c r="C12" s="286" t="str">
        <f>OF!C210</f>
        <v>Larger than the area of its SCA.  Enter 1 and SKIP TO OF41.</v>
      </c>
      <c r="D12" s="17">
        <f>OF!D210</f>
        <v>0</v>
      </c>
      <c r="E12" s="67">
        <v>3</v>
      </c>
      <c r="F12" s="54">
        <f>D12*E12</f>
        <v>0</v>
      </c>
      <c r="G12" s="800"/>
      <c r="H12" s="1521"/>
    </row>
    <row r="13" spans="1:9" ht="30" customHeight="1" thickBot="1" x14ac:dyDescent="0.3">
      <c r="A13" s="1864" t="str">
        <f>F!A18</f>
        <v>F5</v>
      </c>
      <c r="B13" s="1599" t="str">
        <f>F!B18</f>
        <v>Depth Class (Predominant)  (DepthDom)</v>
      </c>
      <c r="C13" s="75" t="str">
        <f>F!C18</f>
        <v>When water is present in the AA, the depth most of the time in most of inundated area is: 
[Note: NOT necessarily the maximum spatial or annual depth]</v>
      </c>
      <c r="D13" s="549"/>
      <c r="E13" s="210"/>
      <c r="F13" s="241"/>
      <c r="G13" s="815">
        <f>IF((NeverWater+TempWet&gt;0),"",MAX(F14:F18)/MAX(E14:E18))</f>
        <v>0</v>
      </c>
      <c r="H13" s="1522" t="s">
        <v>1605</v>
      </c>
      <c r="I13" s="2"/>
    </row>
    <row r="14" spans="1:9" ht="16.2" customHeight="1" x14ac:dyDescent="0.25">
      <c r="A14" s="1865"/>
      <c r="B14" s="1582"/>
      <c r="C14" s="215" t="str">
        <f>F!C19</f>
        <v>&gt;0 to &lt;0.5 ft.</v>
      </c>
      <c r="D14" s="44">
        <f>F!D19</f>
        <v>0</v>
      </c>
      <c r="E14" s="49">
        <v>1</v>
      </c>
      <c r="F14" s="45">
        <f>D14*E14</f>
        <v>0</v>
      </c>
      <c r="G14" s="792"/>
      <c r="H14" s="1521"/>
    </row>
    <row r="15" spans="1:9" ht="16.2" customHeight="1" x14ac:dyDescent="0.25">
      <c r="A15" s="1865"/>
      <c r="B15" s="1582"/>
      <c r="C15" s="216" t="str">
        <f>F!C20</f>
        <v>0.5 to &lt; 1 ft deep.</v>
      </c>
      <c r="D15" s="44">
        <f>F!D20</f>
        <v>0</v>
      </c>
      <c r="E15" s="49">
        <v>2</v>
      </c>
      <c r="F15" s="45">
        <f>D15*E15</f>
        <v>0</v>
      </c>
      <c r="G15" s="793"/>
      <c r="H15" s="1521"/>
    </row>
    <row r="16" spans="1:9" ht="16.2" customHeight="1" x14ac:dyDescent="0.25">
      <c r="A16" s="1865"/>
      <c r="B16" s="1582"/>
      <c r="C16" s="216" t="str">
        <f>F!C21</f>
        <v>1 to &lt;3 ft deep.</v>
      </c>
      <c r="D16" s="44">
        <f>F!D21</f>
        <v>0</v>
      </c>
      <c r="E16" s="49">
        <v>3</v>
      </c>
      <c r="F16" s="45">
        <f>D16*E16</f>
        <v>0</v>
      </c>
      <c r="G16" s="793"/>
      <c r="H16" s="1521"/>
    </row>
    <row r="17" spans="1:9" ht="16.2" customHeight="1" x14ac:dyDescent="0.25">
      <c r="A17" s="1865"/>
      <c r="B17" s="1582"/>
      <c r="C17" s="216" t="str">
        <f>F!C22</f>
        <v>3 to 6 ft deep.</v>
      </c>
      <c r="D17" s="44">
        <f>F!D22</f>
        <v>0</v>
      </c>
      <c r="E17" s="49">
        <v>4</v>
      </c>
      <c r="F17" s="45">
        <f>D17*E17</f>
        <v>0</v>
      </c>
      <c r="G17" s="793"/>
      <c r="H17" s="1521"/>
    </row>
    <row r="18" spans="1:9" ht="16.2" customHeight="1" thickBot="1" x14ac:dyDescent="0.3">
      <c r="A18" s="1866"/>
      <c r="B18" s="1600"/>
      <c r="C18" s="254" t="str">
        <f>F!C23</f>
        <v>&gt;6 ft deep.</v>
      </c>
      <c r="D18" s="17">
        <f>F!D23</f>
        <v>0</v>
      </c>
      <c r="E18" s="245">
        <v>5</v>
      </c>
      <c r="F18" s="193">
        <f>D18*E18</f>
        <v>0</v>
      </c>
      <c r="G18" s="794"/>
      <c r="H18" s="1523"/>
    </row>
    <row r="19" spans="1:9" ht="45" customHeight="1" thickBot="1" x14ac:dyDescent="0.3">
      <c r="A19" s="1867" t="str">
        <f>F!A28</f>
        <v>F7</v>
      </c>
      <c r="B19" s="1669" t="str">
        <f>F!B28</f>
        <v>Emergent Plants -- Area (EmArea)</v>
      </c>
      <c r="C19" s="441" t="str">
        <f>F!C28</f>
        <v>Consider just the area that has surface water for &gt;1 week during the growing season.  Herbaceous plants (not moss, not woody) whose foliage extends above a water surface in this area (i.e., emergents) cumulatively occupy an annual maximum of:</v>
      </c>
      <c r="D19" s="549"/>
      <c r="E19" s="210"/>
      <c r="F19" s="241"/>
      <c r="G19" s="801">
        <f>IF((NeverWater+TempWet&gt;0),"",MAX(F20:F25)/MAX(E20:E25))</f>
        <v>0</v>
      </c>
      <c r="H19" s="1547" t="s">
        <v>1224</v>
      </c>
      <c r="I19" s="2"/>
    </row>
    <row r="20" spans="1:9" ht="30.75" customHeight="1" x14ac:dyDescent="0.25">
      <c r="A20" s="1868"/>
      <c r="B20" s="1691"/>
      <c r="C20" s="439" t="str">
        <f>F!C29</f>
        <v>&lt;0.01 acre (&lt; 400 sq.ft).  Enter 1 and SKIP TO F10, unless only part of a wetland is being assessed.</v>
      </c>
      <c r="D20" s="47">
        <f>F!D29</f>
        <v>0</v>
      </c>
      <c r="E20" s="49">
        <v>0</v>
      </c>
      <c r="F20" s="59">
        <f t="shared" ref="F20:F25" si="0">D20*E20</f>
        <v>0</v>
      </c>
      <c r="G20" s="792"/>
      <c r="H20" s="1548"/>
    </row>
    <row r="21" spans="1:9" ht="16.2" customHeight="1" x14ac:dyDescent="0.25">
      <c r="A21" s="1868"/>
      <c r="B21" s="1691"/>
      <c r="C21" s="440" t="str">
        <f>F!C30</f>
        <v>0.01 to&lt; 0.10 acres (3,920 sq. ft).</v>
      </c>
      <c r="D21" s="47">
        <f>F!D30</f>
        <v>0</v>
      </c>
      <c r="E21" s="49">
        <v>1</v>
      </c>
      <c r="F21" s="59">
        <f t="shared" si="0"/>
        <v>0</v>
      </c>
      <c r="G21" s="793"/>
      <c r="H21" s="1548"/>
    </row>
    <row r="22" spans="1:9" ht="16.2" customHeight="1" x14ac:dyDescent="0.25">
      <c r="A22" s="1868"/>
      <c r="B22" s="1691"/>
      <c r="C22" s="440" t="str">
        <f>F!C31</f>
        <v>0.10 to &lt;0.50 acres (21,340 sq. ft).</v>
      </c>
      <c r="D22" s="47">
        <f>F!D31</f>
        <v>0</v>
      </c>
      <c r="E22" s="49">
        <v>2</v>
      </c>
      <c r="F22" s="59">
        <f t="shared" si="0"/>
        <v>0</v>
      </c>
      <c r="G22" s="793"/>
      <c r="H22" s="1548"/>
    </row>
    <row r="23" spans="1:9" ht="16.2" customHeight="1" x14ac:dyDescent="0.25">
      <c r="A23" s="1868"/>
      <c r="B23" s="1691"/>
      <c r="C23" s="440" t="str">
        <f>F!C32</f>
        <v>0.50 to &lt;5 acres.</v>
      </c>
      <c r="D23" s="47">
        <f>F!D32</f>
        <v>0</v>
      </c>
      <c r="E23" s="49">
        <v>3</v>
      </c>
      <c r="F23" s="59">
        <f t="shared" si="0"/>
        <v>0</v>
      </c>
      <c r="G23" s="793"/>
      <c r="H23" s="1548"/>
    </row>
    <row r="24" spans="1:9" ht="16.2" customHeight="1" x14ac:dyDescent="0.25">
      <c r="A24" s="1868"/>
      <c r="B24" s="1691"/>
      <c r="C24" s="440" t="str">
        <f>F!C33</f>
        <v>5 to 50 acres.</v>
      </c>
      <c r="D24" s="47">
        <f>F!D33</f>
        <v>0</v>
      </c>
      <c r="E24" s="49">
        <v>4</v>
      </c>
      <c r="F24" s="59">
        <f t="shared" si="0"/>
        <v>0</v>
      </c>
      <c r="G24" s="793"/>
      <c r="H24" s="1548"/>
    </row>
    <row r="25" spans="1:9" ht="16.2" customHeight="1" thickBot="1" x14ac:dyDescent="0.3">
      <c r="A25" s="1869"/>
      <c r="B25" s="1692"/>
      <c r="C25" s="451" t="str">
        <f>F!C34</f>
        <v>&gt;50 acres.</v>
      </c>
      <c r="D25" s="242">
        <f>F!D34</f>
        <v>0</v>
      </c>
      <c r="E25" s="245">
        <v>5</v>
      </c>
      <c r="F25" s="243">
        <f t="shared" si="0"/>
        <v>0</v>
      </c>
      <c r="G25" s="794"/>
      <c r="H25" s="1549"/>
    </row>
    <row r="26" spans="1:9" ht="21" customHeight="1" thickBot="1" x14ac:dyDescent="0.3">
      <c r="A26" s="1837" t="str">
        <f>F!A35</f>
        <v>F8</v>
      </c>
      <c r="B26" s="1691" t="str">
        <f>F!B35</f>
        <v>% Emergent Plants (EmPct)</v>
      </c>
      <c r="C26" s="452" t="str">
        <f>F!C35</f>
        <v>Emergent plants occupy an annual maximum of:</v>
      </c>
      <c r="D26" s="549"/>
      <c r="E26" s="65"/>
      <c r="F26" s="60"/>
      <c r="G26" s="799">
        <f>IF((NeverWater+TempWet&gt;0),"",IF((NoEm=1),"",MAX(F27:F31)/MAX(E27:E31)))</f>
        <v>0</v>
      </c>
      <c r="H26" s="1521" t="s">
        <v>1750</v>
      </c>
      <c r="I26" s="2"/>
    </row>
    <row r="27" spans="1:9" ht="16.2" customHeight="1" x14ac:dyDescent="0.25">
      <c r="A27" s="1838"/>
      <c r="B27" s="1691"/>
      <c r="C27" s="439" t="str">
        <f>F!C36</f>
        <v>&lt;5% of the parts of the AA that are inundated for &gt;7 days at some time of the year.</v>
      </c>
      <c r="D27" s="47">
        <f>F!D36</f>
        <v>0</v>
      </c>
      <c r="E27" s="49">
        <v>0</v>
      </c>
      <c r="F27" s="54">
        <f>D27*E27</f>
        <v>0</v>
      </c>
      <c r="G27" s="792"/>
      <c r="H27" s="1521"/>
      <c r="I27" s="2"/>
    </row>
    <row r="28" spans="1:9" ht="16.2" customHeight="1" x14ac:dyDescent="0.25">
      <c r="A28" s="1838"/>
      <c r="B28" s="1691"/>
      <c r="C28" s="440" t="str">
        <f>F!C37</f>
        <v>5 to &lt;30% of the parts of the AA that are inundated for &gt;7 days at some time of the year.</v>
      </c>
      <c r="D28" s="47">
        <f>F!D37</f>
        <v>0</v>
      </c>
      <c r="E28" s="49">
        <v>1</v>
      </c>
      <c r="F28" s="54">
        <f>D28*E28</f>
        <v>0</v>
      </c>
      <c r="G28" s="793"/>
      <c r="H28" s="1521"/>
      <c r="I28" s="2"/>
    </row>
    <row r="29" spans="1:9" ht="16.2" customHeight="1" x14ac:dyDescent="0.25">
      <c r="A29" s="1838"/>
      <c r="B29" s="1691"/>
      <c r="C29" s="440" t="str">
        <f>F!C38</f>
        <v>30 to &lt;60% of the parts of the AA that are inundated for &gt;7 days at some time of the year.</v>
      </c>
      <c r="D29" s="47">
        <f>F!D38</f>
        <v>0</v>
      </c>
      <c r="E29" s="49">
        <v>2</v>
      </c>
      <c r="F29" s="54">
        <f>D29*E29</f>
        <v>0</v>
      </c>
      <c r="G29" s="793"/>
      <c r="H29" s="1521"/>
      <c r="I29" s="2"/>
    </row>
    <row r="30" spans="1:9" ht="16.2" customHeight="1" x14ac:dyDescent="0.25">
      <c r="A30" s="1838"/>
      <c r="B30" s="1691"/>
      <c r="C30" s="440" t="str">
        <f>F!C39</f>
        <v>60 to 95% of the parts of the AA that are inundated for &gt;7 days at some time of the year.</v>
      </c>
      <c r="D30" s="47">
        <f>F!D39</f>
        <v>0</v>
      </c>
      <c r="E30" s="49">
        <v>3</v>
      </c>
      <c r="F30" s="54">
        <f>D30*E30</f>
        <v>0</v>
      </c>
      <c r="G30" s="793"/>
      <c r="H30" s="1521"/>
      <c r="I30" s="2"/>
    </row>
    <row r="31" spans="1:9" ht="16.2" customHeight="1" thickBot="1" x14ac:dyDescent="0.3">
      <c r="A31" s="1839"/>
      <c r="B31" s="1691"/>
      <c r="C31" s="453" t="str">
        <f>F!C40</f>
        <v>&gt;95% of the parts of the AA that are inundated for &gt;7 days at some time of the year.</v>
      </c>
      <c r="D31" s="242">
        <f>F!D40</f>
        <v>0</v>
      </c>
      <c r="E31" s="67">
        <v>4</v>
      </c>
      <c r="F31" s="54">
        <f>D31*E31</f>
        <v>0</v>
      </c>
      <c r="G31" s="800"/>
      <c r="H31" s="1521"/>
      <c r="I31" s="2"/>
    </row>
    <row r="32" spans="1:9" ht="57" customHeight="1" thickBot="1" x14ac:dyDescent="0.3">
      <c r="A32" s="1803" t="str">
        <f>F!A76</f>
        <v>F15</v>
      </c>
      <c r="B32" s="1522" t="str">
        <f>F!B76</f>
        <v>Width of Vegetated Zone - Wettest  (WidthWet)</v>
      </c>
      <c r="C32" s="75" t="str">
        <f>F!C76</f>
        <v>When water levels are highest, during a normal year, the width of the vegetated wetland  that separates the largest patch of open water within or bordering the AA from the closest adjacent uplands, is predominantly: 
[Note: This is not asking for the maximum width.]</v>
      </c>
      <c r="D32" s="549"/>
      <c r="E32" s="210"/>
      <c r="F32" s="241"/>
      <c r="G32" s="804">
        <f>IF((NeverWater+TempWet&gt;0),"", IF((NoPond=1),"",(MAX(F33:F38))/MAX(E33:E38)))</f>
        <v>0</v>
      </c>
      <c r="H32" s="1522" t="s">
        <v>1690</v>
      </c>
      <c r="I32" s="2"/>
    </row>
    <row r="33" spans="1:9" ht="16.2" customHeight="1" x14ac:dyDescent="0.25">
      <c r="A33" s="1803"/>
      <c r="B33" s="1521"/>
      <c r="C33" s="2" t="str">
        <f>F!C77</f>
        <v>&lt;5 ft, or no vegetation between upland and open water.</v>
      </c>
      <c r="D33" s="44">
        <f>F!D77</f>
        <v>0</v>
      </c>
      <c r="E33" s="49">
        <v>0</v>
      </c>
      <c r="F33" s="45">
        <f t="shared" ref="F33:F38" si="1">D33*E33</f>
        <v>0</v>
      </c>
      <c r="G33" s="792"/>
      <c r="H33" s="1521"/>
    </row>
    <row r="34" spans="1:9" ht="16.2" customHeight="1" x14ac:dyDescent="0.25">
      <c r="A34" s="1803"/>
      <c r="B34" s="1521"/>
      <c r="C34" s="95" t="str">
        <f>F!C78</f>
        <v>5 to &lt;30 ft.</v>
      </c>
      <c r="D34" s="44">
        <f>F!D78</f>
        <v>0</v>
      </c>
      <c r="E34" s="49">
        <v>2</v>
      </c>
      <c r="F34" s="45">
        <f t="shared" si="1"/>
        <v>0</v>
      </c>
      <c r="G34" s="793"/>
      <c r="H34" s="1521"/>
    </row>
    <row r="35" spans="1:9" ht="16.2" customHeight="1" x14ac:dyDescent="0.25">
      <c r="A35" s="1803"/>
      <c r="B35" s="1521"/>
      <c r="C35" s="95" t="str">
        <f>F!C79</f>
        <v>30 to &lt;50 ft.</v>
      </c>
      <c r="D35" s="44">
        <f>F!D79</f>
        <v>0</v>
      </c>
      <c r="E35" s="49">
        <v>3</v>
      </c>
      <c r="F35" s="45">
        <f t="shared" si="1"/>
        <v>0</v>
      </c>
      <c r="G35" s="793"/>
      <c r="H35" s="1521"/>
    </row>
    <row r="36" spans="1:9" ht="16.2" customHeight="1" x14ac:dyDescent="0.25">
      <c r="A36" s="1803"/>
      <c r="B36" s="1521"/>
      <c r="C36" s="95" t="str">
        <f>F!C80</f>
        <v>50 to &lt;100 ft.</v>
      </c>
      <c r="D36" s="44">
        <f>F!D80</f>
        <v>0</v>
      </c>
      <c r="E36" s="49">
        <v>4</v>
      </c>
      <c r="F36" s="45">
        <f t="shared" si="1"/>
        <v>0</v>
      </c>
      <c r="G36" s="793"/>
      <c r="H36" s="1521"/>
    </row>
    <row r="37" spans="1:9" ht="16.2" customHeight="1" x14ac:dyDescent="0.25">
      <c r="A37" s="1803"/>
      <c r="B37" s="1521"/>
      <c r="C37" s="95" t="str">
        <f>F!C81</f>
        <v>100 to 300 ft.</v>
      </c>
      <c r="D37" s="44">
        <f>F!D81</f>
        <v>0</v>
      </c>
      <c r="E37" s="49">
        <v>5</v>
      </c>
      <c r="F37" s="45">
        <f t="shared" si="1"/>
        <v>0</v>
      </c>
      <c r="G37" s="793"/>
      <c r="H37" s="1521"/>
    </row>
    <row r="38" spans="1:9" ht="16.2" customHeight="1" thickBot="1" x14ac:dyDescent="0.3">
      <c r="A38" s="1803"/>
      <c r="B38" s="1523"/>
      <c r="C38" s="254" t="str">
        <f>F!C82</f>
        <v>&gt; 300 ft.</v>
      </c>
      <c r="D38" s="17">
        <f>F!D82</f>
        <v>0</v>
      </c>
      <c r="E38" s="245">
        <v>6</v>
      </c>
      <c r="F38" s="193">
        <f t="shared" si="1"/>
        <v>0</v>
      </c>
      <c r="G38" s="794"/>
      <c r="H38" s="1523"/>
    </row>
    <row r="39" spans="1:9" ht="21" customHeight="1" thickBot="1" x14ac:dyDescent="0.3">
      <c r="A39" s="1859" t="str">
        <f>F!A128</f>
        <v>F25</v>
      </c>
      <c r="B39" s="1669" t="str">
        <f>F!B128</f>
        <v>Water Fluctuation Range - Maximum  (Fluctu)</v>
      </c>
      <c r="C39" s="441" t="str">
        <f>F!C128</f>
        <v>The maximum vertical fluctuation in surface water within the AA, during a normal year is:</v>
      </c>
      <c r="D39" s="549"/>
      <c r="E39" s="210"/>
      <c r="F39" s="192"/>
      <c r="G39" s="804">
        <f>MAX(F40:F44)/MAX(E40:E44)</f>
        <v>0</v>
      </c>
      <c r="H39" s="1522" t="s">
        <v>133</v>
      </c>
      <c r="I39" s="2"/>
    </row>
    <row r="40" spans="1:9" ht="16.2" customHeight="1" x14ac:dyDescent="0.25">
      <c r="A40" s="1860"/>
      <c r="B40" s="1691"/>
      <c r="C40" s="439" t="str">
        <f>F!C129</f>
        <v>&lt;0.5 ft or stable.</v>
      </c>
      <c r="D40" s="47">
        <f>F!D129</f>
        <v>0</v>
      </c>
      <c r="E40" s="49">
        <v>1</v>
      </c>
      <c r="F40" s="45">
        <f>D40*E40</f>
        <v>0</v>
      </c>
      <c r="G40" s="793"/>
      <c r="H40" s="1521"/>
    </row>
    <row r="41" spans="1:9" ht="16.2" customHeight="1" x14ac:dyDescent="0.25">
      <c r="A41" s="1860"/>
      <c r="B41" s="1691"/>
      <c r="C41" s="440" t="str">
        <f>F!C130</f>
        <v>0.5 to &lt; 1 ft.</v>
      </c>
      <c r="D41" s="47">
        <f>F!D130</f>
        <v>0</v>
      </c>
      <c r="E41" s="49">
        <v>2</v>
      </c>
      <c r="F41" s="45">
        <f>D41*E41</f>
        <v>0</v>
      </c>
      <c r="G41" s="793"/>
      <c r="H41" s="1521"/>
    </row>
    <row r="42" spans="1:9" ht="16.2" customHeight="1" x14ac:dyDescent="0.25">
      <c r="A42" s="1860"/>
      <c r="B42" s="1691"/>
      <c r="C42" s="440" t="str">
        <f>F!C131</f>
        <v>1 to &lt;3 ft.</v>
      </c>
      <c r="D42" s="47">
        <f>F!D131</f>
        <v>0</v>
      </c>
      <c r="E42" s="49">
        <v>3</v>
      </c>
      <c r="F42" s="45">
        <f>D42*E42</f>
        <v>0</v>
      </c>
      <c r="G42" s="793"/>
      <c r="H42" s="1521"/>
    </row>
    <row r="43" spans="1:9" ht="16.2" customHeight="1" x14ac:dyDescent="0.25">
      <c r="A43" s="1860"/>
      <c r="B43" s="1691"/>
      <c r="C43" s="440" t="str">
        <f>F!C132</f>
        <v>3 to 6 ft.</v>
      </c>
      <c r="D43" s="47">
        <f>F!D132</f>
        <v>0</v>
      </c>
      <c r="E43" s="49">
        <v>4</v>
      </c>
      <c r="F43" s="45">
        <f>D43*E43</f>
        <v>0</v>
      </c>
      <c r="G43" s="793"/>
      <c r="H43" s="1521"/>
    </row>
    <row r="44" spans="1:9" ht="16.2" customHeight="1" thickBot="1" x14ac:dyDescent="0.3">
      <c r="A44" s="1861"/>
      <c r="B44" s="1692"/>
      <c r="C44" s="451" t="str">
        <f>F!C133</f>
        <v>&gt;6 ft.</v>
      </c>
      <c r="D44" s="80">
        <f>F!D133</f>
        <v>0</v>
      </c>
      <c r="E44" s="245">
        <v>5</v>
      </c>
      <c r="F44" s="193">
        <f>D44*E44</f>
        <v>0</v>
      </c>
      <c r="G44" s="798"/>
      <c r="H44" s="1523"/>
    </row>
    <row r="45" spans="1:9" ht="45" customHeight="1" thickBot="1" x14ac:dyDescent="0.3">
      <c r="A45" s="1802" t="str">
        <f>F!A134</f>
        <v>F26</v>
      </c>
      <c r="B45" s="1521" t="str">
        <f>F!B134</f>
        <v>% Only Saturated or Seasonally Flooded (SeasPct)</v>
      </c>
      <c r="C45" s="244" t="str">
        <f>F!C134</f>
        <v xml:space="preserve">Identify the parts (if any) of the AA that never contain surface water (only saturated soil) or where the water (either ponded or flowing) usually remains on the land surface for less than the entire growing season. The percentage of the AA containing such areas is: </v>
      </c>
      <c r="D45" s="549"/>
      <c r="E45" s="65"/>
      <c r="F45" s="60"/>
      <c r="G45" s="799">
        <f>MAX(F46:F50)/MAX(E46:E50)</f>
        <v>0</v>
      </c>
      <c r="H45" s="1521" t="s">
        <v>134</v>
      </c>
      <c r="I45" s="2"/>
    </row>
    <row r="46" spans="1:9" ht="16.2" customHeight="1" x14ac:dyDescent="0.25">
      <c r="A46" s="1802"/>
      <c r="B46" s="1521"/>
      <c r="C46" s="215" t="str">
        <f>F!C135</f>
        <v>&lt;5% of the AA, or none (i.e., all water persists for &gt;4 months).</v>
      </c>
      <c r="D46" s="44">
        <f>F!D135</f>
        <v>0</v>
      </c>
      <c r="E46" s="49">
        <v>0</v>
      </c>
      <c r="F46" s="45">
        <f>D46*E46</f>
        <v>0</v>
      </c>
      <c r="G46" s="792"/>
      <c r="H46" s="1521"/>
    </row>
    <row r="47" spans="1:9" ht="16.2" customHeight="1" x14ac:dyDescent="0.25">
      <c r="A47" s="1802"/>
      <c r="B47" s="1521"/>
      <c r="C47" s="216" t="str">
        <f>F!C136</f>
        <v>5 to &lt;25% of the AA.</v>
      </c>
      <c r="D47" s="44">
        <f>F!D136</f>
        <v>0</v>
      </c>
      <c r="E47" s="49">
        <v>1</v>
      </c>
      <c r="F47" s="45">
        <f>D47*E47</f>
        <v>0</v>
      </c>
      <c r="G47" s="793"/>
      <c r="H47" s="1521"/>
    </row>
    <row r="48" spans="1:9" ht="16.2" customHeight="1" x14ac:dyDescent="0.25">
      <c r="A48" s="1802"/>
      <c r="B48" s="1521"/>
      <c r="C48" s="216" t="str">
        <f>F!C137</f>
        <v>25 to &lt;50% of the AA.</v>
      </c>
      <c r="D48" s="44">
        <f>F!D137</f>
        <v>0</v>
      </c>
      <c r="E48" s="49">
        <v>2</v>
      </c>
      <c r="F48" s="45">
        <f>D48*E48</f>
        <v>0</v>
      </c>
      <c r="G48" s="793"/>
      <c r="H48" s="1521"/>
    </row>
    <row r="49" spans="1:9" ht="16.2" customHeight="1" x14ac:dyDescent="0.25">
      <c r="A49" s="1802"/>
      <c r="B49" s="1521"/>
      <c r="C49" s="216" t="str">
        <f>F!C138</f>
        <v>50 to 75% of the AA.</v>
      </c>
      <c r="D49" s="44">
        <f>F!D138</f>
        <v>0</v>
      </c>
      <c r="E49" s="49">
        <v>3</v>
      </c>
      <c r="F49" s="45">
        <f>D49*E49</f>
        <v>0</v>
      </c>
      <c r="G49" s="793"/>
      <c r="H49" s="1521"/>
    </row>
    <row r="50" spans="1:9" ht="16.2" customHeight="1" thickBot="1" x14ac:dyDescent="0.3">
      <c r="A50" s="1802"/>
      <c r="B50" s="1521"/>
      <c r="C50" s="95" t="str">
        <f>F!C139</f>
        <v>&gt;75% of the AA.</v>
      </c>
      <c r="D50" s="198">
        <f>F!D139</f>
        <v>0</v>
      </c>
      <c r="E50" s="67">
        <v>4</v>
      </c>
      <c r="F50" s="54">
        <f>D50*E50</f>
        <v>0</v>
      </c>
      <c r="G50" s="800"/>
      <c r="H50" s="1521"/>
    </row>
    <row r="51" spans="1:9" ht="81" customHeight="1" thickBot="1" x14ac:dyDescent="0.3">
      <c r="A51" s="1862" t="str">
        <f>F!A162</f>
        <v>F31</v>
      </c>
      <c r="B51" s="1599" t="str">
        <f>F!B162</f>
        <v>Outflow Duration (OutDura)</v>
      </c>
      <c r="C51" s="226"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51" s="549"/>
      <c r="E51" s="210"/>
      <c r="F51" s="241"/>
      <c r="G51" s="804">
        <f>MAX(F52:F55)/MAX(E52:E55)</f>
        <v>0</v>
      </c>
      <c r="H51" s="1522" t="s">
        <v>149</v>
      </c>
      <c r="I51" s="2"/>
    </row>
    <row r="52" spans="1:9" ht="16.2" customHeight="1" x14ac:dyDescent="0.25">
      <c r="A52" s="1863"/>
      <c r="B52" s="1582"/>
      <c r="C52" s="215" t="str">
        <f>F!C163</f>
        <v>Persistent (&gt;9 months/year).</v>
      </c>
      <c r="D52" s="44">
        <f>F!D163</f>
        <v>0</v>
      </c>
      <c r="E52" s="49">
        <v>1</v>
      </c>
      <c r="F52" s="45">
        <f>D52*E52</f>
        <v>0</v>
      </c>
      <c r="G52" s="792"/>
      <c r="H52" s="1521"/>
    </row>
    <row r="53" spans="1:9" ht="16.2" customHeight="1" x14ac:dyDescent="0.25">
      <c r="A53" s="1863"/>
      <c r="B53" s="1582"/>
      <c r="C53" s="216" t="str">
        <f>F!C164</f>
        <v>Seasonal (14 days to 9 months/year, not necessarily consecutive).</v>
      </c>
      <c r="D53" s="44">
        <f>F!D164</f>
        <v>0</v>
      </c>
      <c r="E53" s="49">
        <v>2</v>
      </c>
      <c r="F53" s="45">
        <f>D53*E53</f>
        <v>0</v>
      </c>
      <c r="G53" s="793"/>
      <c r="H53" s="1521"/>
    </row>
    <row r="54" spans="1:9" ht="16.2" customHeight="1" x14ac:dyDescent="0.25">
      <c r="A54" s="1863"/>
      <c r="B54" s="1582"/>
      <c r="C54" s="216" t="str">
        <f>F!C165</f>
        <v>Temporary (&lt;14 days, not necessarily consecutive).</v>
      </c>
      <c r="D54" s="44">
        <f>F!D165</f>
        <v>0</v>
      </c>
      <c r="E54" s="49">
        <v>4</v>
      </c>
      <c r="F54" s="45">
        <f>D54*E54</f>
        <v>0</v>
      </c>
      <c r="G54" s="793"/>
      <c r="H54" s="1521"/>
    </row>
    <row r="55" spans="1:9" ht="42" customHeight="1" thickBot="1" x14ac:dyDescent="0.3">
      <c r="A55" s="1863"/>
      <c r="B55" s="1600"/>
      <c r="C55" s="254" t="str">
        <f>F!C166</f>
        <v xml:space="preserve">None -- no surface water flows out of the wetland except possibly during extreme events (&lt;once per 10 years). Or, water flows only into a wetland, ditch, or lake that lacks an outlet. Enter 1  and SKIP TO F33. </v>
      </c>
      <c r="D55" s="17">
        <f>F!D166</f>
        <v>0</v>
      </c>
      <c r="E55" s="245">
        <v>8</v>
      </c>
      <c r="F55" s="193">
        <f>D55*E55</f>
        <v>0</v>
      </c>
      <c r="G55" s="794"/>
      <c r="H55" s="1523"/>
    </row>
    <row r="56" spans="1:9" ht="21" customHeight="1" thickBot="1" x14ac:dyDescent="0.3">
      <c r="A56" s="1840" t="str">
        <f>F!A167</f>
        <v>F32</v>
      </c>
      <c r="B56" s="1522" t="str">
        <f>F!B167</f>
        <v>Outflow Confinement (Constric)</v>
      </c>
      <c r="C56" s="244" t="str">
        <f>F!C167</f>
        <v>During major runoff events, in the places described above where surface water exits the AA, it:</v>
      </c>
      <c r="D56" s="549"/>
      <c r="E56" s="65"/>
      <c r="F56" s="60"/>
      <c r="G56" s="799">
        <f>IF((NeverWater+TempWet&gt;0),"",IF((NoOutlet=1),"",MAX(F57:F59)/MAX(E57:E59)))</f>
        <v>0</v>
      </c>
      <c r="H56" s="1582" t="s">
        <v>1723</v>
      </c>
      <c r="I56" s="2"/>
    </row>
    <row r="57" spans="1:9" ht="27" customHeight="1" x14ac:dyDescent="0.25">
      <c r="A57" s="1802"/>
      <c r="B57" s="1521"/>
      <c r="C57" s="215" t="str">
        <f>F!C168</f>
        <v>Is impeded as it mostly passes through a pipe, culvert, tidegate, narrowly breached dike, berm, beaver dam, or other partial obstruction (other than natural topography).</v>
      </c>
      <c r="D57" s="44">
        <f>F!D168</f>
        <v>0</v>
      </c>
      <c r="E57" s="49">
        <v>2</v>
      </c>
      <c r="F57" s="45">
        <f>D57*E57</f>
        <v>0</v>
      </c>
      <c r="G57" s="792"/>
      <c r="H57" s="1582"/>
    </row>
    <row r="58" spans="1:9" ht="27" customHeight="1" x14ac:dyDescent="0.25">
      <c r="A58" s="1802"/>
      <c r="B58" s="1521"/>
      <c r="C58" s="216" t="str">
        <f>F!C169</f>
        <v>Leaves mainly through natural surface exits, not largely through artificial or temporary features which impede or accelerate outflow.</v>
      </c>
      <c r="D58" s="44">
        <f>F!D169</f>
        <v>0</v>
      </c>
      <c r="E58" s="49">
        <v>1</v>
      </c>
      <c r="F58" s="45">
        <f>D58*E58</f>
        <v>0</v>
      </c>
      <c r="G58" s="806"/>
      <c r="H58" s="1582"/>
    </row>
    <row r="59" spans="1:9" ht="40.5" customHeight="1" thickBot="1" x14ac:dyDescent="0.3">
      <c r="A59" s="1802"/>
      <c r="B59" s="1523"/>
      <c r="C59" s="95" t="str">
        <f>F!C170</f>
        <v>Is exported more quickly than usual as it mostly passes through ditches or pipes intended to accelerate drainage.  They may be within the AA or connected to its outlet or within 30 ft of the AA's edge.</v>
      </c>
      <c r="D59" s="17">
        <f>F!D170</f>
        <v>0</v>
      </c>
      <c r="E59" s="67">
        <v>0</v>
      </c>
      <c r="F59" s="54">
        <f>D59*E59</f>
        <v>0</v>
      </c>
      <c r="G59" s="800"/>
      <c r="H59" s="1582"/>
    </row>
    <row r="60" spans="1:9" ht="45" customHeight="1" thickBot="1" x14ac:dyDescent="0.3">
      <c r="A60" s="1821" t="str">
        <f>F!A177</f>
        <v>F35</v>
      </c>
      <c r="B60" s="1522" t="str">
        <f>F!B177</f>
        <v>Throughflow Complexity (ThruFlo)</v>
      </c>
      <c r="C60" s="75" t="str">
        <f>F!C177</f>
        <v>[Skip this question if the AA lacks both an inlet and outlet.]  During peak annual flow, water entering the AA in channels encounters which of the following conditions as it travels through the AA: Select the ONE encountered most.</v>
      </c>
      <c r="D60" s="549"/>
      <c r="E60" s="239"/>
      <c r="F60" s="258"/>
      <c r="G60" s="816">
        <f>IF(AND(Inflow=0,NoOutlet=1),"",MAX(F61:F65)/MAX(E61:E65))</f>
        <v>0</v>
      </c>
      <c r="H60" s="1522" t="s">
        <v>1715</v>
      </c>
      <c r="I60" s="2"/>
    </row>
    <row r="61" spans="1:9" ht="45" customHeight="1" x14ac:dyDescent="0.25">
      <c r="A61" s="1822"/>
      <c r="B61" s="1521"/>
      <c r="C61" s="439"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61" s="47">
        <f>F!D178</f>
        <v>0</v>
      </c>
      <c r="E61" s="206">
        <v>0</v>
      </c>
      <c r="F61" s="197">
        <f>D61*E61</f>
        <v>0</v>
      </c>
      <c r="G61" s="792"/>
      <c r="H61" s="1521"/>
    </row>
    <row r="62" spans="1:9" ht="16.2" customHeight="1" x14ac:dyDescent="0.25">
      <c r="A62" s="1822"/>
      <c r="B62" s="1521"/>
      <c r="C62" s="439" t="str">
        <f>F!C179</f>
        <v>Bumps into herbaceous vegetation but mostly remains in fairly straight channels.</v>
      </c>
      <c r="D62" s="47">
        <f>F!D179</f>
        <v>0</v>
      </c>
      <c r="E62" s="206">
        <v>3</v>
      </c>
      <c r="F62" s="203">
        <f>D62*E62</f>
        <v>0</v>
      </c>
      <c r="G62" s="792"/>
      <c r="H62" s="1521"/>
    </row>
    <row r="63" spans="1:9" ht="27" customHeight="1" x14ac:dyDescent="0.25">
      <c r="A63" s="1822"/>
      <c r="B63" s="1521"/>
      <c r="C63" s="440" t="str">
        <f>F!C180</f>
        <v>Bumps into herbaceous vegetation and mostly spreads throughout, or follows a fairly indirect path (in widely meandering, multi-branched, or braided channels).</v>
      </c>
      <c r="D63" s="47">
        <f>F!D180</f>
        <v>0</v>
      </c>
      <c r="E63" s="206">
        <v>6</v>
      </c>
      <c r="F63" s="203">
        <f>D63*E63</f>
        <v>0</v>
      </c>
      <c r="G63" s="793"/>
      <c r="H63" s="1521"/>
    </row>
    <row r="64" spans="1:9" ht="16.2" customHeight="1" x14ac:dyDescent="0.25">
      <c r="A64" s="1822"/>
      <c r="B64" s="1521"/>
      <c r="C64" s="440" t="str">
        <f>F!C181</f>
        <v>Bumps into tree trunks and/or shrub stems but mostly remains in fairly straight channels.</v>
      </c>
      <c r="D64" s="47">
        <f>F!D181</f>
        <v>0</v>
      </c>
      <c r="E64" s="206">
        <v>4</v>
      </c>
      <c r="F64" s="203">
        <f>D64*E64</f>
        <v>0</v>
      </c>
      <c r="G64" s="793"/>
      <c r="H64" s="1521"/>
    </row>
    <row r="65" spans="1:9" ht="27" customHeight="1" thickBot="1" x14ac:dyDescent="0.3">
      <c r="A65" s="1825"/>
      <c r="B65" s="1523"/>
      <c r="C65" s="451" t="str">
        <f>F!C182</f>
        <v>Bumps into tree trunks and/or shrub stems and follows a fairly indirect path  (meandering, multi-branched, or braided) from entrance to exit.</v>
      </c>
      <c r="D65" s="242">
        <f>F!D182</f>
        <v>0</v>
      </c>
      <c r="E65" s="444">
        <v>8</v>
      </c>
      <c r="F65" s="200">
        <f>D65*E65</f>
        <v>0</v>
      </c>
      <c r="G65" s="794"/>
      <c r="H65" s="1523"/>
    </row>
    <row r="66" spans="1:9" ht="21" customHeight="1" thickBot="1" x14ac:dyDescent="0.3">
      <c r="A66" s="1821" t="str">
        <f>F!A183</f>
        <v>F36</v>
      </c>
      <c r="B66" s="1522" t="str">
        <f>F!B183</f>
        <v>Internal Gradient (Gradient)</v>
      </c>
      <c r="C66" s="4" t="str">
        <f>F!C183</f>
        <v>The gradient from the lowest to highest point of land within the AA (or from outlet to inlet) is:</v>
      </c>
      <c r="D66" s="65"/>
      <c r="E66" s="210"/>
      <c r="F66" s="241"/>
      <c r="G66" s="804">
        <f>MAX(F67:F70)/MAX(E67:E70)</f>
        <v>0</v>
      </c>
      <c r="H66" s="1522" t="s">
        <v>359</v>
      </c>
      <c r="I66" s="2"/>
    </row>
    <row r="67" spans="1:9" ht="16.2" customHeight="1" x14ac:dyDescent="0.25">
      <c r="A67" s="1822"/>
      <c r="B67" s="1521"/>
      <c r="C67" s="215" t="str">
        <f>F!C184</f>
        <v>&lt;2% (internal flow is absent or barely detectable; basically flat).</v>
      </c>
      <c r="D67" s="44">
        <f>F!D184</f>
        <v>0</v>
      </c>
      <c r="E67" s="49">
        <v>4</v>
      </c>
      <c r="F67" s="45">
        <f>D67*E67</f>
        <v>0</v>
      </c>
      <c r="G67" s="792"/>
      <c r="H67" s="1521"/>
    </row>
    <row r="68" spans="1:9" ht="16.2" customHeight="1" x14ac:dyDescent="0.25">
      <c r="A68" s="1822"/>
      <c r="B68" s="1521"/>
      <c r="C68" s="216" t="str">
        <f>F!C185</f>
        <v>2 to &lt;6%.</v>
      </c>
      <c r="D68" s="44">
        <f>F!D185</f>
        <v>0</v>
      </c>
      <c r="E68" s="49">
        <v>2</v>
      </c>
      <c r="F68" s="45">
        <f>D68*E68</f>
        <v>0</v>
      </c>
      <c r="G68" s="793"/>
      <c r="H68" s="1521"/>
    </row>
    <row r="69" spans="1:9" ht="16.2" customHeight="1" x14ac:dyDescent="0.25">
      <c r="A69" s="1822"/>
      <c r="B69" s="1521"/>
      <c r="C69" s="216" t="str">
        <f>F!C186</f>
        <v>6 to 10%.</v>
      </c>
      <c r="D69" s="44">
        <f>F!D186</f>
        <v>0</v>
      </c>
      <c r="E69" s="49">
        <v>1</v>
      </c>
      <c r="F69" s="45">
        <f>D69*E69</f>
        <v>0</v>
      </c>
      <c r="G69" s="793"/>
      <c r="H69" s="1521"/>
    </row>
    <row r="70" spans="1:9" ht="16.2" customHeight="1" thickBot="1" x14ac:dyDescent="0.3">
      <c r="A70" s="1825"/>
      <c r="B70" s="1523"/>
      <c r="C70" s="95" t="str">
        <f>F!C187</f>
        <v>&gt;10%.</v>
      </c>
      <c r="D70" s="17">
        <f>F!D187</f>
        <v>0</v>
      </c>
      <c r="E70" s="67">
        <v>0</v>
      </c>
      <c r="F70" s="54">
        <f>D70*E70</f>
        <v>0</v>
      </c>
      <c r="G70" s="800"/>
      <c r="H70" s="1523"/>
    </row>
    <row r="71" spans="1:9" ht="58.5" customHeight="1" thickBot="1" x14ac:dyDescent="0.3">
      <c r="A71" s="1840" t="str">
        <f>F!A213</f>
        <v>F42</v>
      </c>
      <c r="B71" s="1522" t="str">
        <f>F!B213</f>
        <v>Mowing, Grazing, Fire (VegCut)</v>
      </c>
      <c r="C71" s="75" t="str">
        <f>F!C213</f>
        <v>There is evidence that grazing by domestic or wild animals -- or mowing (multiple times per year), plowing, herbicides, harvesting, or fire -- has repeatedly reduced the AA's vegetation cover (plants that normally grows taller than 4") to less than 4 inches, or has created an obvious browse line, over the following extent:</v>
      </c>
      <c r="D71" s="549"/>
      <c r="E71" s="210"/>
      <c r="F71" s="241"/>
      <c r="G71" s="804">
        <f>MAX(F72:F76)/MAX(E72:E76)</f>
        <v>0</v>
      </c>
      <c r="H71" s="1522" t="s">
        <v>780</v>
      </c>
      <c r="I71" s="2"/>
    </row>
    <row r="72" spans="1:9" ht="16.2" customHeight="1" x14ac:dyDescent="0.25">
      <c r="A72" s="1802"/>
      <c r="B72" s="1521"/>
      <c r="C72" s="215" t="str">
        <f>F!C214</f>
        <v>0% (No evidence of such activities).</v>
      </c>
      <c r="D72" s="44">
        <f>F!D214</f>
        <v>0</v>
      </c>
      <c r="E72" s="49">
        <v>5</v>
      </c>
      <c r="F72" s="45">
        <f>D72*E72</f>
        <v>0</v>
      </c>
      <c r="G72" s="792"/>
      <c r="H72" s="1521"/>
    </row>
    <row r="73" spans="1:9" ht="27" customHeight="1" x14ac:dyDescent="0.25">
      <c r="A73" s="1802"/>
      <c r="B73" s="1521"/>
      <c r="C73" s="216" t="str">
        <f>F!C215</f>
        <v>Trace to 5% of the normally vegetated AA (grazing, mowing, or fire have occurred but vegetation height effects are mostly unnoticeable).</v>
      </c>
      <c r="D73" s="44">
        <f>F!D215</f>
        <v>0</v>
      </c>
      <c r="E73" s="49">
        <v>3</v>
      </c>
      <c r="F73" s="45">
        <f>D73*E73</f>
        <v>0</v>
      </c>
      <c r="G73" s="793"/>
      <c r="H73" s="1521"/>
    </row>
    <row r="74" spans="1:9" ht="16.2" customHeight="1" x14ac:dyDescent="0.25">
      <c r="A74" s="1802"/>
      <c r="B74" s="1521"/>
      <c r="C74" s="216" t="str">
        <f>F!C216</f>
        <v>5 to &lt;50% of the normally vegetated AA.</v>
      </c>
      <c r="D74" s="44">
        <f>F!D216</f>
        <v>0</v>
      </c>
      <c r="E74" s="49">
        <v>2</v>
      </c>
      <c r="F74" s="45">
        <f>D74*E74</f>
        <v>0</v>
      </c>
      <c r="G74" s="793"/>
      <c r="H74" s="1521"/>
    </row>
    <row r="75" spans="1:9" ht="16.2" customHeight="1" x14ac:dyDescent="0.25">
      <c r="A75" s="1802"/>
      <c r="B75" s="1521"/>
      <c r="C75" s="216" t="str">
        <f>F!C217</f>
        <v>50 to 95% of the normally vegetated AA.</v>
      </c>
      <c r="D75" s="44">
        <f>F!D217</f>
        <v>0</v>
      </c>
      <c r="E75" s="67">
        <v>1</v>
      </c>
      <c r="F75" s="54">
        <f>D75*E75</f>
        <v>0</v>
      </c>
      <c r="G75" s="800"/>
      <c r="H75" s="1521"/>
    </row>
    <row r="76" spans="1:9" ht="16.2" customHeight="1" thickBot="1" x14ac:dyDescent="0.3">
      <c r="A76" s="1802"/>
      <c r="B76" s="1523"/>
      <c r="C76" s="254" t="str">
        <f>F!C218</f>
        <v>&gt;95% of the normally vegetated AA.</v>
      </c>
      <c r="D76" s="198">
        <f>F!D218</f>
        <v>0</v>
      </c>
      <c r="E76" s="470">
        <v>0</v>
      </c>
      <c r="F76" s="193">
        <f>D76*E76</f>
        <v>0</v>
      </c>
      <c r="G76" s="794"/>
      <c r="H76" s="1523"/>
    </row>
    <row r="77" spans="1:9" ht="43.5" customHeight="1" thickBot="1" x14ac:dyDescent="0.3">
      <c r="A77" s="1862" t="str">
        <f>F!A288</f>
        <v>F56</v>
      </c>
      <c r="B77" s="1582" t="str">
        <f>F!B288</f>
        <v>Bare Ground &amp; Accumulated Plant Litter (Gcover)</v>
      </c>
      <c r="C77" s="4" t="str">
        <f>F!C288</f>
        <v>Consider the parts of the AA that go dry during a normal year. Viewed from 6 inches above the soil surface, the condition in most of that area just before the year's longest inundation period begins is:</v>
      </c>
      <c r="D77" s="65"/>
      <c r="E77" s="65"/>
      <c r="F77" s="60"/>
      <c r="G77" s="799">
        <f>IF((D82=1),"",MAX(F78:F81)/MAX(E78:E81))</f>
        <v>0</v>
      </c>
      <c r="H77" s="1521" t="s">
        <v>360</v>
      </c>
      <c r="I77" s="2"/>
    </row>
    <row r="78" spans="1:9" ht="56.25" customHeight="1" x14ac:dyDescent="0.25">
      <c r="A78" s="1863"/>
      <c r="B78" s="1582"/>
      <c r="C78" s="215"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78" s="44">
        <f>F!D289</f>
        <v>0</v>
      </c>
      <c r="E78" s="49">
        <v>8</v>
      </c>
      <c r="F78" s="45">
        <f>D78*E78</f>
        <v>0</v>
      </c>
      <c r="G78" s="792"/>
      <c r="H78" s="1521"/>
    </row>
    <row r="79" spans="1:9" ht="27" customHeight="1" x14ac:dyDescent="0.25">
      <c r="A79" s="1863"/>
      <c r="B79" s="1582"/>
      <c r="C79" s="216" t="str">
        <f>F!C290</f>
        <v>Some (5-20%) bare ground or remaining thatch is visible.  Herbaceous plants have moderate stem densities and do not closely hug the ground.</v>
      </c>
      <c r="D79" s="44">
        <f>F!D290</f>
        <v>0</v>
      </c>
      <c r="E79" s="49">
        <v>6</v>
      </c>
      <c r="F79" s="45">
        <f>D79*E79</f>
        <v>0</v>
      </c>
      <c r="G79" s="793"/>
      <c r="H79" s="1521"/>
    </row>
    <row r="80" spans="1:9" ht="27" customHeight="1" x14ac:dyDescent="0.25">
      <c r="A80" s="1863"/>
      <c r="B80" s="1582"/>
      <c r="C80" s="216" t="str">
        <f>F!C291</f>
        <v>Much (20-50%) bare ground or thatch is visible.  Low stem density and/or tall plants with little living ground cover during early growing season.</v>
      </c>
      <c r="D80" s="44">
        <f>F!D291</f>
        <v>0</v>
      </c>
      <c r="E80" s="49">
        <v>3</v>
      </c>
      <c r="F80" s="45">
        <f>D80*E80</f>
        <v>0</v>
      </c>
      <c r="G80" s="793"/>
      <c r="H80" s="1521"/>
    </row>
    <row r="81" spans="1:9" ht="16.2" customHeight="1" x14ac:dyDescent="0.25">
      <c r="A81" s="1863"/>
      <c r="B81" s="1582"/>
      <c r="C81" s="216" t="str">
        <f>F!C292</f>
        <v>Mostly (&gt;50%) bare ground or thatch.</v>
      </c>
      <c r="D81" s="44">
        <f>F!D292</f>
        <v>0</v>
      </c>
      <c r="E81" s="49">
        <v>1</v>
      </c>
      <c r="F81" s="45">
        <f>D81*E81</f>
        <v>0</v>
      </c>
      <c r="G81" s="800"/>
      <c r="H81" s="1521"/>
    </row>
    <row r="82" spans="1:9" ht="16.2" customHeight="1" thickBot="1" x14ac:dyDescent="0.3">
      <c r="A82" s="1863"/>
      <c r="B82" s="1582"/>
      <c r="C82" s="95" t="str">
        <f>F!C293</f>
        <v>Not applicable.  All of the AA is inundated throughout most years.</v>
      </c>
      <c r="D82" s="17">
        <f>F!D293</f>
        <v>0</v>
      </c>
      <c r="E82" s="67"/>
      <c r="F82" s="54"/>
      <c r="G82" s="800"/>
      <c r="H82" s="1521"/>
    </row>
    <row r="83" spans="1:9" ht="42.75" customHeight="1" thickBot="1" x14ac:dyDescent="0.3">
      <c r="A83" s="1840" t="str">
        <f>F!A294</f>
        <v>F57</v>
      </c>
      <c r="B83" s="1522" t="str">
        <f>F!B294</f>
        <v>Ground Irregularity (Girreg)</v>
      </c>
      <c r="C83" s="75" t="str">
        <f>F!C294</f>
        <v xml:space="preserve"> In parts of the AA that lack persistent water, the number of small pits, raised mounds, hummocks, boulders, upturned trees, animal burrows, islands, natural levees, wide soil cracks, and microdepressions is:</v>
      </c>
      <c r="D83" s="549"/>
      <c r="E83" s="210"/>
      <c r="F83" s="241"/>
      <c r="G83" s="804">
        <f>MAX(F84:F86)/MAX(E84:E86)</f>
        <v>0</v>
      </c>
      <c r="H83" s="1599" t="s">
        <v>100</v>
      </c>
      <c r="I83" s="2"/>
    </row>
    <row r="84" spans="1:9" ht="27" customHeight="1" x14ac:dyDescent="0.25">
      <c r="A84" s="1802"/>
      <c r="B84" s="1521"/>
      <c r="C84" s="215" t="str">
        <f>F!C295</f>
        <v>Few or none, or the entire AA is always water-covered.  Minimal microtopography; &lt;1% of the AA, e.g., many flat sites having a single hydroperiod.</v>
      </c>
      <c r="D84" s="44">
        <f>F!D295</f>
        <v>0</v>
      </c>
      <c r="E84" s="49">
        <v>0</v>
      </c>
      <c r="F84" s="45">
        <f>D84*E84</f>
        <v>0</v>
      </c>
      <c r="G84" s="792"/>
      <c r="H84" s="1582"/>
    </row>
    <row r="85" spans="1:9" ht="16.2" customHeight="1" x14ac:dyDescent="0.25">
      <c r="A85" s="1802"/>
      <c r="B85" s="1521"/>
      <c r="C85" s="216" t="str">
        <f>F!C296</f>
        <v>Intermediate.</v>
      </c>
      <c r="D85" s="44">
        <f>F!D296</f>
        <v>0</v>
      </c>
      <c r="E85" s="49">
        <v>1</v>
      </c>
      <c r="F85" s="45">
        <f>D85*E85</f>
        <v>0</v>
      </c>
      <c r="G85" s="793"/>
      <c r="H85" s="1582"/>
    </row>
    <row r="86" spans="1:9" ht="16.2" customHeight="1" thickBot="1" x14ac:dyDescent="0.3">
      <c r="A86" s="1841"/>
      <c r="B86" s="1523"/>
      <c r="C86" s="254" t="str">
        <f>F!C297</f>
        <v>Several (extensive micro-topography).</v>
      </c>
      <c r="D86" s="198">
        <f>F!D297</f>
        <v>0</v>
      </c>
      <c r="E86" s="245">
        <v>2</v>
      </c>
      <c r="F86" s="193">
        <f>D86*E86</f>
        <v>0</v>
      </c>
      <c r="G86" s="794"/>
      <c r="H86" s="1600"/>
    </row>
    <row r="87" spans="1:9" ht="60" customHeight="1" thickBot="1" x14ac:dyDescent="0.3">
      <c r="A87" s="285" t="str">
        <f>S!A69</f>
        <v>S5</v>
      </c>
      <c r="B87" s="286" t="str">
        <f>S!B69</f>
        <v>Soil or Sediment Alteration Within the Assessment Area (SoilDisturb).</v>
      </c>
      <c r="C87" s="287"/>
      <c r="D87" s="261">
        <f>S!F86</f>
        <v>0</v>
      </c>
      <c r="E87" s="67"/>
      <c r="F87" s="54"/>
      <c r="G87" s="817">
        <f>1-D87</f>
        <v>1</v>
      </c>
      <c r="H87" s="730" t="s">
        <v>1590</v>
      </c>
    </row>
    <row r="88" spans="1:9" s="361" customFormat="1" ht="49.5" customHeight="1" thickBot="1" x14ac:dyDescent="0.3">
      <c r="A88" s="374" t="s">
        <v>126</v>
      </c>
      <c r="B88" s="374" t="s">
        <v>1466</v>
      </c>
      <c r="C88" s="454" t="s">
        <v>1271</v>
      </c>
      <c r="D88" s="550" t="s">
        <v>115</v>
      </c>
      <c r="E88" s="471" t="s">
        <v>771</v>
      </c>
      <c r="F88" s="375" t="s">
        <v>1467</v>
      </c>
      <c r="G88" s="818" t="s">
        <v>770</v>
      </c>
      <c r="H88" s="374" t="s">
        <v>772</v>
      </c>
    </row>
    <row r="89" spans="1:9" ht="21" customHeight="1" thickBot="1" x14ac:dyDescent="0.3">
      <c r="A89" s="1851" t="str">
        <f>T!A9</f>
        <v>T2</v>
      </c>
      <c r="B89" s="1522" t="str">
        <f>T!B9</f>
        <v>Salinity (SalinT)</v>
      </c>
      <c r="C89" s="552" t="str">
        <f>T!C9</f>
        <v>At high tide during most of the year, the daily salinity in most of the inundated part of the AA is:</v>
      </c>
      <c r="D89" s="551"/>
      <c r="E89" s="472"/>
      <c r="F89" s="281"/>
      <c r="G89" s="819">
        <f>MAX(F90:F93)/MAX(E90:E93)</f>
        <v>0</v>
      </c>
      <c r="H89" s="1522" t="s">
        <v>1140</v>
      </c>
    </row>
    <row r="90" spans="1:9" ht="16.2" customHeight="1" x14ac:dyDescent="0.25">
      <c r="A90" s="1852"/>
      <c r="B90" s="1855"/>
      <c r="C90" s="456" t="str">
        <f>T!C10</f>
        <v xml:space="preserve">Saline (&gt;25 ppt salinity, undiluted seawater).  </v>
      </c>
      <c r="D90" s="51">
        <f>T!D10</f>
        <v>0</v>
      </c>
      <c r="E90" s="473">
        <v>0</v>
      </c>
      <c r="F90" s="50">
        <f>D90*E90</f>
        <v>0</v>
      </c>
      <c r="G90" s="820"/>
      <c r="H90" s="1521"/>
    </row>
    <row r="91" spans="1:9" ht="16.2" customHeight="1" x14ac:dyDescent="0.25">
      <c r="A91" s="1852"/>
      <c r="B91" s="1855"/>
      <c r="C91" s="457" t="str">
        <f>T!C11</f>
        <v>Moderately saline (5 to 25 ppt salinity).</v>
      </c>
      <c r="D91" s="51">
        <f>T!D11</f>
        <v>0</v>
      </c>
      <c r="E91" s="473">
        <v>1</v>
      </c>
      <c r="F91" s="50">
        <f>D91*E91</f>
        <v>0</v>
      </c>
      <c r="G91" s="821"/>
      <c r="H91" s="1521"/>
    </row>
    <row r="92" spans="1:9" ht="16.2" customHeight="1" x14ac:dyDescent="0.25">
      <c r="A92" s="1852"/>
      <c r="B92" s="1855"/>
      <c r="C92" s="457" t="str">
        <f>T!C12</f>
        <v>Brackish (0.5 to &lt;5 ppt salinity, "oligohaline").</v>
      </c>
      <c r="D92" s="51">
        <f>T!D12</f>
        <v>0</v>
      </c>
      <c r="E92" s="474">
        <v>2</v>
      </c>
      <c r="F92" s="50">
        <f>D92*E92</f>
        <v>0</v>
      </c>
      <c r="G92" s="821"/>
      <c r="H92" s="1521"/>
    </row>
    <row r="93" spans="1:9" ht="16.2" customHeight="1" x14ac:dyDescent="0.25">
      <c r="A93" s="1852"/>
      <c r="B93" s="1855"/>
      <c r="C93" s="457" t="str">
        <f>T!C13</f>
        <v>Fresh (&lt;0.5 ppt salinity).</v>
      </c>
      <c r="D93" s="51">
        <f>T!D13</f>
        <v>0</v>
      </c>
      <c r="E93" s="474">
        <v>1</v>
      </c>
      <c r="F93" s="50">
        <f>D93*E93</f>
        <v>0</v>
      </c>
      <c r="G93" s="821"/>
      <c r="H93" s="1521"/>
    </row>
    <row r="94" spans="1:9" ht="16.2" customHeight="1" thickBot="1" x14ac:dyDescent="0.3">
      <c r="A94" s="1853"/>
      <c r="B94" s="1856"/>
      <c r="C94" s="458" t="str">
        <f>T!C14</f>
        <v>Unknown.</v>
      </c>
      <c r="D94" s="553">
        <f>T!D14</f>
        <v>0</v>
      </c>
      <c r="E94" s="475"/>
      <c r="F94" s="283"/>
      <c r="G94" s="822"/>
      <c r="H94" s="1523"/>
    </row>
    <row r="95" spans="1:9" ht="30" customHeight="1" thickBot="1" x14ac:dyDescent="0.3">
      <c r="A95" s="1854" t="str">
        <f>T!A15</f>
        <v>T3</v>
      </c>
      <c r="B95" s="1521" t="str">
        <f>T!B15</f>
        <v>Low Marsh (LowMarshT)</v>
      </c>
      <c r="C95" s="459" t="str">
        <f>T!C15</f>
        <v>The percent of the vegetated part of the AA that is "low marsh" (covered by tidal water for part of almost every day) is:</v>
      </c>
      <c r="D95" s="554"/>
      <c r="E95" s="476"/>
      <c r="F95" s="73"/>
      <c r="G95" s="823">
        <f>MAX(F96:F102)/MAX(E96:E102)</f>
        <v>0</v>
      </c>
      <c r="H95" s="1521" t="s">
        <v>367</v>
      </c>
    </row>
    <row r="96" spans="1:9" ht="16.2" customHeight="1" x14ac:dyDescent="0.25">
      <c r="A96" s="1852"/>
      <c r="B96" s="1855"/>
      <c r="C96" s="456" t="str">
        <f>T!C16</f>
        <v>None, or &lt;1%.</v>
      </c>
      <c r="D96" s="51">
        <f>T!D16</f>
        <v>0</v>
      </c>
      <c r="E96" s="474">
        <v>0</v>
      </c>
      <c r="F96" s="50">
        <f t="shared" ref="F96:F102" si="2">D96*E96</f>
        <v>0</v>
      </c>
      <c r="G96" s="821"/>
      <c r="H96" s="1521"/>
    </row>
    <row r="97" spans="1:8" ht="16.2" customHeight="1" x14ac:dyDescent="0.25">
      <c r="A97" s="1852"/>
      <c r="B97" s="1855"/>
      <c r="C97" s="457" t="str">
        <f>T!C17</f>
        <v>1 to &lt;10%.</v>
      </c>
      <c r="D97" s="51">
        <f>T!D17</f>
        <v>0</v>
      </c>
      <c r="E97" s="474">
        <v>1</v>
      </c>
      <c r="F97" s="50">
        <f t="shared" si="2"/>
        <v>0</v>
      </c>
      <c r="G97" s="821"/>
      <c r="H97" s="1521"/>
    </row>
    <row r="98" spans="1:8" ht="16.2" customHeight="1" x14ac:dyDescent="0.25">
      <c r="A98" s="1852"/>
      <c r="B98" s="1855"/>
      <c r="C98" s="457" t="str">
        <f>T!C18</f>
        <v>10 to &lt;25%.</v>
      </c>
      <c r="D98" s="51">
        <f>T!D18</f>
        <v>0</v>
      </c>
      <c r="E98" s="474">
        <v>2</v>
      </c>
      <c r="F98" s="50">
        <f t="shared" si="2"/>
        <v>0</v>
      </c>
      <c r="G98" s="821"/>
      <c r="H98" s="1521"/>
    </row>
    <row r="99" spans="1:8" ht="16.2" customHeight="1" x14ac:dyDescent="0.25">
      <c r="A99" s="1852"/>
      <c r="B99" s="1855"/>
      <c r="C99" s="457" t="str">
        <f>T!C19</f>
        <v>25 &lt;50%.</v>
      </c>
      <c r="D99" s="51">
        <f>T!D19</f>
        <v>0</v>
      </c>
      <c r="E99" s="474">
        <v>3</v>
      </c>
      <c r="F99" s="50">
        <f t="shared" si="2"/>
        <v>0</v>
      </c>
      <c r="G99" s="821"/>
      <c r="H99" s="1521"/>
    </row>
    <row r="100" spans="1:8" ht="16.2" customHeight="1" x14ac:dyDescent="0.25">
      <c r="A100" s="1852"/>
      <c r="B100" s="1855"/>
      <c r="C100" s="457" t="str">
        <f>T!C20</f>
        <v>50 to &lt;75%.</v>
      </c>
      <c r="D100" s="51">
        <f>T!D20</f>
        <v>0</v>
      </c>
      <c r="E100" s="474">
        <v>4</v>
      </c>
      <c r="F100" s="50">
        <f t="shared" si="2"/>
        <v>0</v>
      </c>
      <c r="G100" s="821"/>
      <c r="H100" s="1521"/>
    </row>
    <row r="101" spans="1:8" ht="16.2" customHeight="1" x14ac:dyDescent="0.25">
      <c r="A101" s="1852"/>
      <c r="B101" s="1855"/>
      <c r="C101" s="457" t="str">
        <f>T!C21</f>
        <v>75 to 90%.</v>
      </c>
      <c r="D101" s="51">
        <f>T!D21</f>
        <v>0</v>
      </c>
      <c r="E101" s="474">
        <v>5</v>
      </c>
      <c r="F101" s="50">
        <f t="shared" si="2"/>
        <v>0</v>
      </c>
      <c r="G101" s="821"/>
      <c r="H101" s="1521"/>
    </row>
    <row r="102" spans="1:8" ht="16.2" customHeight="1" thickBot="1" x14ac:dyDescent="0.3">
      <c r="A102" s="1853"/>
      <c r="B102" s="1855"/>
      <c r="C102" s="460" t="str">
        <f>T!C22</f>
        <v>&gt;90%.</v>
      </c>
      <c r="D102" s="555">
        <f>T!D22</f>
        <v>0</v>
      </c>
      <c r="E102" s="474">
        <v>6</v>
      </c>
      <c r="F102" s="57">
        <f t="shared" si="2"/>
        <v>0</v>
      </c>
      <c r="G102" s="821"/>
      <c r="H102" s="1521"/>
    </row>
    <row r="103" spans="1:8" ht="30" customHeight="1" thickBot="1" x14ac:dyDescent="0.3">
      <c r="A103" s="1854" t="str">
        <f>T!A23</f>
        <v>T4</v>
      </c>
      <c r="B103" s="1522" t="str">
        <f>T!B23</f>
        <v>Width of Vegetated Zone at Daily High Tide (WidthHiT)</v>
      </c>
      <c r="C103" s="552" t="str">
        <f>T!C23</f>
        <v>At average daily HIGH tide condition, the width of the vegetated wetland that separates adjoining uplands (if any) from subtidal water within or adjoining the AA, is predominantly:</v>
      </c>
      <c r="D103" s="551"/>
      <c r="E103" s="477"/>
      <c r="F103" s="280"/>
      <c r="G103" s="819">
        <f>MAX(F104:F109)/MAX(E104:E109)</f>
        <v>0</v>
      </c>
      <c r="H103" s="1522" t="s">
        <v>1138</v>
      </c>
    </row>
    <row r="104" spans="1:8" ht="16.2" customHeight="1" x14ac:dyDescent="0.25">
      <c r="A104" s="1852"/>
      <c r="B104" s="1855"/>
      <c r="C104" s="456" t="str">
        <f>T!C24</f>
        <v>&lt;5 ft, or no vegetation between upland and subtidal water.</v>
      </c>
      <c r="D104" s="51">
        <f>T!D24</f>
        <v>0</v>
      </c>
      <c r="E104" s="473">
        <v>0</v>
      </c>
      <c r="F104" s="50">
        <f t="shared" ref="F104:F109" si="3">D104*E104</f>
        <v>0</v>
      </c>
      <c r="G104" s="821"/>
      <c r="H104" s="1521"/>
    </row>
    <row r="105" spans="1:8" ht="16.2" customHeight="1" x14ac:dyDescent="0.25">
      <c r="A105" s="1852"/>
      <c r="B105" s="1855"/>
      <c r="C105" s="457" t="str">
        <f>T!C25</f>
        <v>5 to &lt;30 ft.</v>
      </c>
      <c r="D105" s="51">
        <f>T!D25</f>
        <v>0</v>
      </c>
      <c r="E105" s="473">
        <v>2</v>
      </c>
      <c r="F105" s="50">
        <f t="shared" si="3"/>
        <v>0</v>
      </c>
      <c r="G105" s="821"/>
      <c r="H105" s="1521"/>
    </row>
    <row r="106" spans="1:8" ht="16.2" customHeight="1" x14ac:dyDescent="0.25">
      <c r="A106" s="1852"/>
      <c r="B106" s="1855"/>
      <c r="C106" s="457" t="str">
        <f>T!C26</f>
        <v>30 to &lt;50 ft.</v>
      </c>
      <c r="D106" s="51">
        <f>T!D26</f>
        <v>0</v>
      </c>
      <c r="E106" s="473">
        <v>3</v>
      </c>
      <c r="F106" s="50">
        <f t="shared" si="3"/>
        <v>0</v>
      </c>
      <c r="G106" s="821"/>
      <c r="H106" s="1521"/>
    </row>
    <row r="107" spans="1:8" ht="16.2" customHeight="1" x14ac:dyDescent="0.25">
      <c r="A107" s="1852"/>
      <c r="B107" s="1855"/>
      <c r="C107" s="457" t="str">
        <f>T!C27</f>
        <v>50 to &lt;100 ft.</v>
      </c>
      <c r="D107" s="51">
        <f>T!D27</f>
        <v>0</v>
      </c>
      <c r="E107" s="473">
        <v>4</v>
      </c>
      <c r="F107" s="50">
        <f t="shared" si="3"/>
        <v>0</v>
      </c>
      <c r="G107" s="821"/>
      <c r="H107" s="1521"/>
    </row>
    <row r="108" spans="1:8" ht="16.2" customHeight="1" x14ac:dyDescent="0.25">
      <c r="A108" s="1852"/>
      <c r="B108" s="1855"/>
      <c r="C108" s="457" t="str">
        <f>T!C28</f>
        <v>100 to 300 ft.</v>
      </c>
      <c r="D108" s="51">
        <f>T!D28</f>
        <v>0</v>
      </c>
      <c r="E108" s="473">
        <v>5</v>
      </c>
      <c r="F108" s="50">
        <f t="shared" si="3"/>
        <v>0</v>
      </c>
      <c r="G108" s="821"/>
      <c r="H108" s="1521"/>
    </row>
    <row r="109" spans="1:8" ht="16.2" customHeight="1" thickBot="1" x14ac:dyDescent="0.3">
      <c r="A109" s="1853"/>
      <c r="B109" s="1856"/>
      <c r="C109" s="458" t="str">
        <f>T!C29</f>
        <v>&gt; 300 ft.</v>
      </c>
      <c r="D109" s="555">
        <f>T!D29</f>
        <v>0</v>
      </c>
      <c r="E109" s="475">
        <v>6</v>
      </c>
      <c r="F109" s="282">
        <f t="shared" si="3"/>
        <v>0</v>
      </c>
      <c r="G109" s="822"/>
      <c r="H109" s="1523"/>
    </row>
    <row r="110" spans="1:8" ht="30.6" customHeight="1" thickBot="1" x14ac:dyDescent="0.3">
      <c r="A110" s="1854" t="str">
        <f>T!A30</f>
        <v>T5</v>
      </c>
      <c r="B110" s="1522" t="str">
        <f>T!B30</f>
        <v>Width of Vegetated Zone at Daily Low Tide (WidthLoT)</v>
      </c>
      <c r="C110" s="455" t="str">
        <f>T!C30</f>
        <v>At average daily LOW tide condition, the width of the vegetated wetland that separates adjoining uplands (if any) from subtidal water within or adjoining the AA, is predominantly:</v>
      </c>
      <c r="D110" s="554"/>
      <c r="E110" s="477"/>
      <c r="F110" s="280"/>
      <c r="G110" s="819">
        <f>MAX(F111:F116)/MAX(E111:E116)</f>
        <v>0</v>
      </c>
      <c r="H110" s="1522" t="s">
        <v>124</v>
      </c>
    </row>
    <row r="111" spans="1:8" ht="16.2" customHeight="1" x14ac:dyDescent="0.25">
      <c r="A111" s="1852"/>
      <c r="B111" s="1855"/>
      <c r="C111" s="456" t="str">
        <f>T!C31</f>
        <v>&lt;5 ft, or no vegetation between upland and subtidal water.</v>
      </c>
      <c r="D111" s="51">
        <f>T!D31</f>
        <v>0</v>
      </c>
      <c r="E111" s="473">
        <v>0</v>
      </c>
      <c r="F111" s="50">
        <f t="shared" ref="F111:F116" si="4">D111*E111</f>
        <v>0</v>
      </c>
      <c r="G111" s="821"/>
      <c r="H111" s="1521"/>
    </row>
    <row r="112" spans="1:8" ht="16.2" customHeight="1" x14ac:dyDescent="0.25">
      <c r="A112" s="1852"/>
      <c r="B112" s="1855"/>
      <c r="C112" s="457" t="str">
        <f>T!C32</f>
        <v>5 to &lt;30 ft.</v>
      </c>
      <c r="D112" s="51">
        <f>T!D32</f>
        <v>0</v>
      </c>
      <c r="E112" s="473">
        <v>2</v>
      </c>
      <c r="F112" s="50">
        <f t="shared" si="4"/>
        <v>0</v>
      </c>
      <c r="G112" s="821"/>
      <c r="H112" s="1521"/>
    </row>
    <row r="113" spans="1:8" ht="16.2" customHeight="1" x14ac:dyDescent="0.25">
      <c r="A113" s="1852"/>
      <c r="B113" s="1855"/>
      <c r="C113" s="457" t="str">
        <f>T!C33</f>
        <v>30 to &lt;50 ft.</v>
      </c>
      <c r="D113" s="51">
        <f>T!D33</f>
        <v>0</v>
      </c>
      <c r="E113" s="473">
        <v>3</v>
      </c>
      <c r="F113" s="50">
        <f t="shared" si="4"/>
        <v>0</v>
      </c>
      <c r="G113" s="821"/>
      <c r="H113" s="1521"/>
    </row>
    <row r="114" spans="1:8" ht="16.2" customHeight="1" x14ac:dyDescent="0.25">
      <c r="A114" s="1852"/>
      <c r="B114" s="1855"/>
      <c r="C114" s="457" t="str">
        <f>T!C34</f>
        <v>50 to &lt;100 ft.</v>
      </c>
      <c r="D114" s="51">
        <f>T!D34</f>
        <v>0</v>
      </c>
      <c r="E114" s="473">
        <v>4</v>
      </c>
      <c r="F114" s="50">
        <f t="shared" si="4"/>
        <v>0</v>
      </c>
      <c r="G114" s="821"/>
      <c r="H114" s="1521"/>
    </row>
    <row r="115" spans="1:8" ht="16.2" customHeight="1" x14ac:dyDescent="0.25">
      <c r="A115" s="1852"/>
      <c r="B115" s="1855"/>
      <c r="C115" s="457" t="str">
        <f>T!C35</f>
        <v>100 to 300 ft.</v>
      </c>
      <c r="D115" s="51">
        <f>T!D35</f>
        <v>0</v>
      </c>
      <c r="E115" s="473">
        <v>5</v>
      </c>
      <c r="F115" s="50">
        <f t="shared" si="4"/>
        <v>0</v>
      </c>
      <c r="G115" s="821"/>
      <c r="H115" s="1521"/>
    </row>
    <row r="116" spans="1:8" ht="16.2" customHeight="1" thickBot="1" x14ac:dyDescent="0.3">
      <c r="A116" s="1853"/>
      <c r="B116" s="1856"/>
      <c r="C116" s="458" t="str">
        <f>T!C36</f>
        <v>&gt; 300 ft.</v>
      </c>
      <c r="D116" s="555">
        <f>T!D36</f>
        <v>0</v>
      </c>
      <c r="E116" s="475">
        <v>6</v>
      </c>
      <c r="F116" s="282">
        <f t="shared" si="4"/>
        <v>0</v>
      </c>
      <c r="G116" s="822"/>
      <c r="H116" s="1523"/>
    </row>
    <row r="117" spans="1:8" ht="21" customHeight="1" thickBot="1" x14ac:dyDescent="0.3">
      <c r="A117" s="1854" t="str">
        <f>T!A69</f>
        <v>T12</v>
      </c>
      <c r="B117" s="1521" t="str">
        <f>T!B69</f>
        <v>Waves (WavesT)</v>
      </c>
      <c r="C117" s="459" t="str">
        <f>T!C69</f>
        <v>Which of the following is MOST true:</v>
      </c>
      <c r="D117" s="554"/>
      <c r="E117" s="476"/>
      <c r="F117" s="73"/>
      <c r="G117" s="823">
        <f>MAX(F118:F120)/MAX(E118:E120)</f>
        <v>0</v>
      </c>
      <c r="H117" s="1521" t="s">
        <v>1136</v>
      </c>
    </row>
    <row r="118" spans="1:8" ht="27" customHeight="1" x14ac:dyDescent="0.25">
      <c r="A118" s="1852"/>
      <c r="B118" s="1855"/>
      <c r="C118" s="456" t="str">
        <f>T!C70</f>
        <v>Wind or boats frequently generate waves of &gt;1 ft. near the AA, those waves are intercepted by the wetland, and structures behind the AA are protected from wave erosion.</v>
      </c>
      <c r="D118" s="51">
        <f>T!D70</f>
        <v>0</v>
      </c>
      <c r="E118" s="474">
        <v>0</v>
      </c>
      <c r="F118" s="50">
        <f>D118*E118</f>
        <v>0</v>
      </c>
      <c r="G118" s="821"/>
      <c r="H118" s="1521"/>
    </row>
    <row r="119" spans="1:8" ht="27" customHeight="1" x14ac:dyDescent="0.25">
      <c r="A119" s="1852"/>
      <c r="B119" s="1855"/>
      <c r="C119" s="457" t="str">
        <f>T!C71</f>
        <v>Wind or boats frequently generate waves of &gt;1 ft. near the AA, those waves are intercepted by the wetland, but there are no structures behind the wetland.</v>
      </c>
      <c r="D119" s="51">
        <f>T!D71</f>
        <v>0</v>
      </c>
      <c r="E119" s="474">
        <v>0</v>
      </c>
      <c r="F119" s="50">
        <f>D119*E119</f>
        <v>0</v>
      </c>
      <c r="G119" s="821"/>
      <c r="H119" s="1521"/>
    </row>
    <row r="120" spans="1:8" ht="16.2" customHeight="1" thickBot="1" x14ac:dyDescent="0.3">
      <c r="A120" s="1852"/>
      <c r="B120" s="1855"/>
      <c r="C120" s="460" t="str">
        <f>T!C72</f>
        <v>Neither wind nor boats frequently generate waves of &gt;1 f.t near the AA.</v>
      </c>
      <c r="D120" s="555">
        <f>T!D72</f>
        <v>0</v>
      </c>
      <c r="E120" s="474">
        <v>1</v>
      </c>
      <c r="F120" s="57">
        <f>D120*E120</f>
        <v>0</v>
      </c>
      <c r="G120" s="821"/>
      <c r="H120" s="1521"/>
    </row>
    <row r="121" spans="1:8" ht="21" customHeight="1" thickBot="1" x14ac:dyDescent="0.3">
      <c r="A121" s="1877" t="str">
        <f>T!A180</f>
        <v>T32</v>
      </c>
      <c r="B121" s="1669" t="str">
        <f>T!B180</f>
        <v>Bare Ground &amp; Accumulated Plant Litter (GcoverT)</v>
      </c>
      <c r="C121" s="461" t="str">
        <f>T!C180</f>
        <v>Viewed from 6 inches above the soil surface, the condition in most of the tidal wetland is:</v>
      </c>
      <c r="D121" s="554"/>
      <c r="E121" s="477"/>
      <c r="F121" s="280"/>
      <c r="G121" s="819">
        <f>IF((D126=1),"",MAX(F122:F126)/MAX(E122:E126))</f>
        <v>0</v>
      </c>
      <c r="H121" s="1522" t="s">
        <v>852</v>
      </c>
    </row>
    <row r="122" spans="1:8" ht="54" customHeight="1" x14ac:dyDescent="0.25">
      <c r="A122" s="1878"/>
      <c r="B122" s="1857"/>
      <c r="C122" s="462"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122" s="68">
        <f>T!D181</f>
        <v>0</v>
      </c>
      <c r="E122" s="474">
        <v>4</v>
      </c>
      <c r="F122" s="50">
        <f>D122*E122</f>
        <v>0</v>
      </c>
      <c r="G122" s="821"/>
      <c r="H122" s="1521"/>
    </row>
    <row r="123" spans="1:8" ht="27" customHeight="1" x14ac:dyDescent="0.25">
      <c r="A123" s="1878"/>
      <c r="B123" s="1857"/>
      <c r="C123" s="463" t="str">
        <f>T!C182</f>
        <v>Some (5-20%) bare ground or remaining thatch is visible.  Herbaceous plants have moderate stem densities and do not closely hug the ground.</v>
      </c>
      <c r="D123" s="68">
        <f>T!D182</f>
        <v>0</v>
      </c>
      <c r="E123" s="474">
        <v>3</v>
      </c>
      <c r="F123" s="50">
        <f>D123*E123</f>
        <v>0</v>
      </c>
      <c r="G123" s="821"/>
      <c r="H123" s="1521"/>
    </row>
    <row r="124" spans="1:8" ht="27" customHeight="1" x14ac:dyDescent="0.25">
      <c r="A124" s="1878"/>
      <c r="B124" s="1857"/>
      <c r="C124" s="463" t="str">
        <f>T!C183</f>
        <v>Much (20-50%) bare ground or thatch is visible.  Low stem density and/or tall plants with little living ground cover during early growing season.</v>
      </c>
      <c r="D124" s="68">
        <f>T!D183</f>
        <v>0</v>
      </c>
      <c r="E124" s="474">
        <v>2</v>
      </c>
      <c r="F124" s="50">
        <f>D124*E124</f>
        <v>0</v>
      </c>
      <c r="G124" s="821"/>
      <c r="H124" s="1521"/>
    </row>
    <row r="125" spans="1:8" ht="16.2" customHeight="1" x14ac:dyDescent="0.25">
      <c r="A125" s="1878"/>
      <c r="B125" s="1857"/>
      <c r="C125" s="463" t="str">
        <f>T!C184</f>
        <v>Mostly (&gt;50%) bare ground or thatch.</v>
      </c>
      <c r="D125" s="68">
        <f>T!D184</f>
        <v>0</v>
      </c>
      <c r="E125" s="474">
        <v>1</v>
      </c>
      <c r="F125" s="50">
        <f>D125*E125</f>
        <v>0</v>
      </c>
      <c r="G125" s="821"/>
      <c r="H125" s="1521"/>
    </row>
    <row r="126" spans="1:8" ht="16.2" customHeight="1" thickBot="1" x14ac:dyDescent="0.3">
      <c r="A126" s="1879"/>
      <c r="B126" s="1858"/>
      <c r="C126" s="464" t="str">
        <f>T!C185</f>
        <v>Not applicable.  Nearly all of the AA remains inundated even at daily low tide.</v>
      </c>
      <c r="D126" s="556">
        <f>T!D185</f>
        <v>0</v>
      </c>
      <c r="E126" s="475"/>
      <c r="F126" s="282"/>
      <c r="G126" s="822"/>
      <c r="H126" s="1523"/>
    </row>
    <row r="127" spans="1:8" s="361" customFormat="1" ht="45" customHeight="1" thickBot="1" x14ac:dyDescent="0.3">
      <c r="A127" s="362" t="s">
        <v>126</v>
      </c>
      <c r="B127" s="363" t="s">
        <v>1463</v>
      </c>
      <c r="C127" s="442" t="s">
        <v>1271</v>
      </c>
      <c r="D127" s="557" t="s">
        <v>115</v>
      </c>
      <c r="E127" s="364" t="s">
        <v>771</v>
      </c>
      <c r="F127" s="365" t="s">
        <v>1461</v>
      </c>
      <c r="G127" s="824" t="s">
        <v>1273</v>
      </c>
      <c r="H127" s="363" t="s">
        <v>772</v>
      </c>
    </row>
    <row r="128" spans="1:8" s="2" customFormat="1" ht="45" customHeight="1" thickBot="1" x14ac:dyDescent="0.3">
      <c r="A128" s="1791" t="str">
        <f>OF!A87</f>
        <v>OF15</v>
      </c>
      <c r="B128" s="1521" t="str">
        <f>OF!B87</f>
        <v>Landscape Functional Deficit (GISscore)</v>
      </c>
      <c r="C128" s="226" t="str">
        <f>OF!C87</f>
        <v xml:space="preserve">In the ORWAP Report, find the AA's 12-digit HUC code.  Then, find that HUC code in the FuncDeficit worksheet in the accompanying Supp_Info file. Select All functions below that have a notation for that HUC code. </v>
      </c>
      <c r="D128" s="549"/>
      <c r="E128" s="65"/>
      <c r="F128" s="46"/>
      <c r="G128" s="825"/>
      <c r="H128" s="1521" t="s">
        <v>674</v>
      </c>
    </row>
    <row r="129" spans="1:8" s="2" customFormat="1" ht="16.2" customHeight="1" thickBot="1" x14ac:dyDescent="0.3">
      <c r="A129" s="1791"/>
      <c r="B129" s="1521"/>
      <c r="C129" s="2" t="str">
        <f>OF!C89</f>
        <v>Sediment retention (SR)</v>
      </c>
      <c r="D129" s="559">
        <f>OF!D89</f>
        <v>0</v>
      </c>
      <c r="E129" s="67"/>
      <c r="F129" s="58"/>
      <c r="G129" s="809">
        <f>IF((OF!D98=1),"",IF((D129=1),1,0))</f>
        <v>0</v>
      </c>
      <c r="H129" s="1521"/>
    </row>
    <row r="130" spans="1:8" ht="75" customHeight="1" thickBot="1" x14ac:dyDescent="0.3">
      <c r="A130" s="1845" t="str">
        <f>OF!A152</f>
        <v>OF28</v>
      </c>
      <c r="B130" s="1522" t="str">
        <f>OF!B152</f>
        <v>Input Water - Recognized Quality Issues (WQin)</v>
      </c>
      <c r="C130" s="4"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130" s="210"/>
      <c r="E130" s="210"/>
      <c r="F130" s="241"/>
      <c r="G130" s="809">
        <f>IF((OF!D159=1),"",IF((D131+D132&gt;0),1,0))</f>
        <v>0</v>
      </c>
      <c r="H130" s="1522" t="s">
        <v>362</v>
      </c>
    </row>
    <row r="131" spans="1:8" ht="16.2" customHeight="1" x14ac:dyDescent="0.25">
      <c r="A131" s="1791"/>
      <c r="B131" s="1521"/>
      <c r="C131" s="215" t="str">
        <f>OF!C153</f>
        <v>Total suspended solids (TSS), sedimentation, or turbidity.</v>
      </c>
      <c r="D131" s="44">
        <f>OF!D153</f>
        <v>0</v>
      </c>
      <c r="E131" s="49"/>
      <c r="F131" s="54"/>
      <c r="G131" s="792"/>
      <c r="H131" s="1521"/>
    </row>
    <row r="132" spans="1:8" ht="16.2" customHeight="1" thickBot="1" x14ac:dyDescent="0.3">
      <c r="A132" s="1791"/>
      <c r="B132" s="1523"/>
      <c r="C132" s="465" t="str">
        <f>OF!C156</f>
        <v>Petrochemicals, heavy metals (iron, manganese, lead, zinc, etc.), other toxins.</v>
      </c>
      <c r="D132" s="17">
        <f>OF!D156</f>
        <v>0</v>
      </c>
      <c r="E132" s="245"/>
      <c r="F132" s="193"/>
      <c r="G132" s="794"/>
      <c r="H132" s="1523"/>
    </row>
    <row r="133" spans="1:8" ht="21" customHeight="1" thickBot="1" x14ac:dyDescent="0.3">
      <c r="A133" s="1845" t="str">
        <f>OF!A159</f>
        <v>OF29</v>
      </c>
      <c r="B133" s="1521" t="str">
        <f>OF!B159</f>
        <v>Duration of Connection Beween Problem Area &amp; the AA (ConnecUp)</v>
      </c>
      <c r="C133" s="465" t="str">
        <f>OF!C159</f>
        <v>The upstream problem area mentioned above (OF28) has a surface water connection to the AA:</v>
      </c>
      <c r="D133" s="549"/>
      <c r="E133" s="65"/>
      <c r="F133" s="60"/>
      <c r="G133" s="809" t="str">
        <f>IF((D131+D132&gt;0),MAX(F134:F136)/MAX(E134:E136),"")</f>
        <v/>
      </c>
      <c r="H133" s="1521" t="s">
        <v>680</v>
      </c>
    </row>
    <row r="134" spans="1:8" ht="16.2" customHeight="1" x14ac:dyDescent="0.25">
      <c r="A134" s="1791"/>
      <c r="B134" s="1521"/>
      <c r="C134" s="215" t="str">
        <f>OF!C160</f>
        <v>For 9 or more continuous months annually.</v>
      </c>
      <c r="D134" s="44">
        <f>OF!D160</f>
        <v>0</v>
      </c>
      <c r="E134" s="49">
        <v>3</v>
      </c>
      <c r="F134" s="54">
        <f>D134*E134</f>
        <v>0</v>
      </c>
      <c r="G134" s="792"/>
      <c r="H134" s="1521"/>
    </row>
    <row r="135" spans="1:8" ht="16.2" customHeight="1" x14ac:dyDescent="0.25">
      <c r="A135" s="1791"/>
      <c r="B135" s="1521"/>
      <c r="C135" s="215" t="str">
        <f>OF!C161</f>
        <v>Intermittently (at least once annually, but for less than 9 months continually).</v>
      </c>
      <c r="D135" s="44">
        <f>OF!D161</f>
        <v>0</v>
      </c>
      <c r="E135" s="49">
        <v>2</v>
      </c>
      <c r="F135" s="54">
        <f>D135*E135</f>
        <v>0</v>
      </c>
      <c r="G135" s="793"/>
      <c r="H135" s="1521"/>
    </row>
    <row r="136" spans="1:8" ht="16.2" customHeight="1" thickBot="1" x14ac:dyDescent="0.3">
      <c r="A136" s="1791"/>
      <c r="B136" s="1521"/>
      <c r="C136" s="2" t="str">
        <f>OF!C162</f>
        <v>Never (or less than annually).</v>
      </c>
      <c r="D136" s="17">
        <f>OF!D162</f>
        <v>0</v>
      </c>
      <c r="E136" s="67">
        <v>0</v>
      </c>
      <c r="F136" s="54">
        <f>D136*E136</f>
        <v>0</v>
      </c>
      <c r="G136" s="800"/>
      <c r="H136" s="1521"/>
    </row>
    <row r="137" spans="1:8" ht="75" customHeight="1" thickBot="1" x14ac:dyDescent="0.3">
      <c r="A137" s="1845" t="str">
        <f>OF!A163</f>
        <v>OF30</v>
      </c>
      <c r="B137" s="1522" t="str">
        <f>OF!B163</f>
        <v>Downslope Water Quality Issues (ContamDown)</v>
      </c>
      <c r="C137" s="4" t="str">
        <f>OF!C163</f>
        <v xml:space="preserve">According to ORWAP Map Viewer's  Water Quality Streams layer and Water Quality Lake map layer, ALL of the following are true: (a) within 1 mile downhill or downstream from the AA's edge, a water body is labeled as being 303d, Water Quality Limited (categories 3B-5); Potential Concern; or TMDL Approved AND  (b) the problem concerns one or more of the parameters listed below.  Select All that apply. </v>
      </c>
      <c r="D137" s="210"/>
      <c r="E137" s="210"/>
      <c r="F137" s="241"/>
      <c r="G137" s="809">
        <f>IF((OF!D170=1),"",IF((D138+D139&gt;0),1,0))</f>
        <v>0</v>
      </c>
      <c r="H137" s="1522" t="s">
        <v>361</v>
      </c>
    </row>
    <row r="138" spans="1:8" ht="16.2" customHeight="1" x14ac:dyDescent="0.25">
      <c r="A138" s="1791"/>
      <c r="B138" s="1521"/>
      <c r="C138" s="215" t="str">
        <f>OF!C164</f>
        <v>Total suspended solids (TSS), sedimentation, or turbidity.</v>
      </c>
      <c r="D138" s="44">
        <f>OF!D164</f>
        <v>0</v>
      </c>
      <c r="E138" s="49"/>
      <c r="F138" s="54"/>
      <c r="G138" s="792"/>
      <c r="H138" s="1521"/>
    </row>
    <row r="139" spans="1:8" ht="16.2" customHeight="1" thickBot="1" x14ac:dyDescent="0.3">
      <c r="A139" s="1791"/>
      <c r="B139" s="1523"/>
      <c r="C139" s="465" t="str">
        <f>OF!C167</f>
        <v>Petrochemicals, heavy metals (iron, manganese, lead, zinc, etc.), other toxins.</v>
      </c>
      <c r="D139" s="198">
        <f>OF!D167</f>
        <v>0</v>
      </c>
      <c r="E139" s="245"/>
      <c r="F139" s="193"/>
      <c r="G139" s="794"/>
      <c r="H139" s="1523"/>
    </row>
    <row r="140" spans="1:8" ht="21" customHeight="1" thickBot="1" x14ac:dyDescent="0.3">
      <c r="A140" s="1845" t="str">
        <f>OF!A170</f>
        <v>OF31</v>
      </c>
      <c r="B140" s="1522" t="str">
        <f>OF!B170</f>
        <v>Duration of Connection Beween AA &amp; Water Quality Problem Area (ConnDown)</v>
      </c>
      <c r="C140" s="226" t="str">
        <f>OF!C170</f>
        <v xml:space="preserve">The connection between the downstream problem area mentioned above (OF30) and the AA: </v>
      </c>
      <c r="D140" s="549"/>
      <c r="E140" s="210"/>
      <c r="F140" s="258"/>
      <c r="G140" s="809" t="str">
        <f>IF((D138+D139&gt;0),MAX(F141:F144)/MAX(E141:E144),"")</f>
        <v/>
      </c>
      <c r="H140" s="1522" t="s">
        <v>677</v>
      </c>
    </row>
    <row r="141" spans="1:8" ht="16.2" customHeight="1" x14ac:dyDescent="0.25">
      <c r="A141" s="1791"/>
      <c r="B141" s="1521"/>
      <c r="C141" s="215" t="str">
        <f>OF!C171</f>
        <v>Is a stream or water body that connects these areas for 9 or more continuous months annually.</v>
      </c>
      <c r="D141" s="44">
        <f>OF!D171</f>
        <v>0</v>
      </c>
      <c r="E141" s="67">
        <v>5</v>
      </c>
      <c r="F141" s="54">
        <f>D141*E141</f>
        <v>0</v>
      </c>
      <c r="G141" s="792"/>
      <c r="H141" s="1521"/>
    </row>
    <row r="142" spans="1:8" ht="27" customHeight="1" x14ac:dyDescent="0.25">
      <c r="A142" s="1791"/>
      <c r="B142" s="1521"/>
      <c r="C142" s="215" t="str">
        <f>OF!C172</f>
        <v>Is a stream or water body that connects these areas intermittently (at least once annually, but for less than 9 months continually).</v>
      </c>
      <c r="D142" s="44">
        <f>OF!D172</f>
        <v>0</v>
      </c>
      <c r="E142" s="67">
        <v>4</v>
      </c>
      <c r="F142" s="54">
        <f>D142*E142</f>
        <v>0</v>
      </c>
      <c r="G142" s="793"/>
      <c r="H142" s="1521"/>
    </row>
    <row r="143" spans="1:8" ht="26.25" customHeight="1" x14ac:dyDescent="0.25">
      <c r="A143" s="1791"/>
      <c r="B143" s="1521"/>
      <c r="C143" s="215" t="str">
        <f>OF!C173</f>
        <v>Is a probable groundwater connection, or connection via direct runoff only (no channel connection).</v>
      </c>
      <c r="D143" s="44">
        <f>OF!D173</f>
        <v>0</v>
      </c>
      <c r="E143" s="67">
        <v>2</v>
      </c>
      <c r="F143" s="54">
        <f>D143*E143</f>
        <v>0</v>
      </c>
      <c r="G143" s="793"/>
      <c r="H143" s="1521"/>
    </row>
    <row r="144" spans="1:8" ht="27" customHeight="1" thickBot="1" x14ac:dyDescent="0.3">
      <c r="A144" s="1791"/>
      <c r="B144" s="1523"/>
      <c r="C144" s="465" t="str">
        <f>OF!C174</f>
        <v>Never exists (a topographic ridge probably prevents all the AA's runoff and groundwater from reaching the problem area).</v>
      </c>
      <c r="D144" s="198">
        <f>OF!D174</f>
        <v>0</v>
      </c>
      <c r="E144" s="245">
        <v>0</v>
      </c>
      <c r="F144" s="193">
        <f>D144*E144</f>
        <v>0</v>
      </c>
      <c r="G144" s="794"/>
      <c r="H144" s="1523"/>
    </row>
    <row r="145" spans="1:9" ht="30" customHeight="1" thickBot="1" x14ac:dyDescent="0.3">
      <c r="A145" s="1845" t="str">
        <f>OF!A183</f>
        <v>OF34</v>
      </c>
      <c r="B145" s="1521" t="str">
        <f>OF!B183</f>
        <v>Relative Elevation in Watershed (Elev)</v>
      </c>
      <c r="C145" s="4" t="str">
        <f>OF!C183</f>
        <v>In the ORWAP Map Viewer, based on the Hydrologic Boundaries 4th Level (HUC 8) layer (under Watersheds), determine if the AA is:          (See Column E)</v>
      </c>
      <c r="D145" s="65"/>
      <c r="E145" s="65"/>
      <c r="F145" s="60"/>
      <c r="G145" s="809">
        <f>MAX(F146:F148)/MAX(E146:E148)</f>
        <v>0</v>
      </c>
      <c r="H145" s="1582" t="s">
        <v>341</v>
      </c>
      <c r="I145" s="2"/>
    </row>
    <row r="146" spans="1:9" ht="16.2" customHeight="1" x14ac:dyDescent="0.25">
      <c r="A146" s="1791"/>
      <c r="B146" s="1521"/>
      <c r="C146" s="2" t="str">
        <f>OF!C184</f>
        <v>In the upper one-third of its watershed.</v>
      </c>
      <c r="D146" s="44">
        <f>OF!D184</f>
        <v>0</v>
      </c>
      <c r="E146" s="49">
        <v>0</v>
      </c>
      <c r="F146" s="45">
        <f>D146*E146</f>
        <v>0</v>
      </c>
      <c r="G146" s="792"/>
      <c r="H146" s="1582"/>
    </row>
    <row r="147" spans="1:9" ht="16.2" customHeight="1" x14ac:dyDescent="0.25">
      <c r="A147" s="1791"/>
      <c r="B147" s="1521"/>
      <c r="C147" s="95" t="str">
        <f>OF!C185</f>
        <v>In the middle one-third of its watershed.</v>
      </c>
      <c r="D147" s="44">
        <f>OF!D185</f>
        <v>0</v>
      </c>
      <c r="E147" s="49">
        <v>1</v>
      </c>
      <c r="F147" s="45">
        <f>D147*E147</f>
        <v>0</v>
      </c>
      <c r="G147" s="793"/>
      <c r="H147" s="1582"/>
    </row>
    <row r="148" spans="1:9" ht="16.2" customHeight="1" thickBot="1" x14ac:dyDescent="0.3">
      <c r="A148" s="1791"/>
      <c r="B148" s="1521"/>
      <c r="C148" s="95" t="str">
        <f>OF!C186</f>
        <v>In the lower one-third of its watershed.</v>
      </c>
      <c r="D148" s="198">
        <f>OF!D186</f>
        <v>0</v>
      </c>
      <c r="E148" s="67">
        <v>2</v>
      </c>
      <c r="F148" s="54">
        <f>D148*E148</f>
        <v>0</v>
      </c>
      <c r="G148" s="800"/>
      <c r="H148" s="1582"/>
    </row>
    <row r="149" spans="1:9" ht="42.75" customHeight="1" thickBot="1" x14ac:dyDescent="0.3">
      <c r="A149" s="1845" t="str">
        <f>OF!A187</f>
        <v>OF35</v>
      </c>
      <c r="B149" s="1522" t="str">
        <f>OF!B187</f>
        <v>Runoff Contributing Area (RCA) - Wetland as % of (WetPctRCA)</v>
      </c>
      <c r="C149" s="114" t="str">
        <f>OF!C187</f>
        <v>Delimit the wetland's Runoff Contributing Area (RCA) using a topographic base map.  The area of the AA's wetland is:</v>
      </c>
      <c r="D149" s="65"/>
      <c r="E149" s="210"/>
      <c r="F149" s="241"/>
      <c r="G149" s="809">
        <f>MAX(F150:F153)/MAX(E150:E153)</f>
        <v>0</v>
      </c>
      <c r="H149" s="1599" t="s">
        <v>639</v>
      </c>
      <c r="I149" s="2"/>
    </row>
    <row r="150" spans="1:9" ht="16.2" customHeight="1" x14ac:dyDescent="0.25">
      <c r="A150" s="1791"/>
      <c r="B150" s="1521"/>
      <c r="C150" s="11" t="str">
        <f>OF!C188</f>
        <v>&lt;1% of its RCA.</v>
      </c>
      <c r="D150" s="44">
        <f>OF!D188</f>
        <v>0</v>
      </c>
      <c r="E150" s="49">
        <v>3</v>
      </c>
      <c r="F150" s="45">
        <f>D150*E150</f>
        <v>0</v>
      </c>
      <c r="G150" s="792"/>
      <c r="H150" s="1582"/>
    </row>
    <row r="151" spans="1:9" ht="16.2" customHeight="1" x14ac:dyDescent="0.25">
      <c r="A151" s="1791"/>
      <c r="B151" s="1521"/>
      <c r="C151" s="286" t="str">
        <f>OF!C189</f>
        <v>1 to &lt;10% of its RCA.</v>
      </c>
      <c r="D151" s="44">
        <f>OF!D189</f>
        <v>0</v>
      </c>
      <c r="E151" s="49">
        <v>2</v>
      </c>
      <c r="F151" s="45">
        <f>D151*E151</f>
        <v>0</v>
      </c>
      <c r="G151" s="793"/>
      <c r="H151" s="1582"/>
    </row>
    <row r="152" spans="1:9" ht="16.2" customHeight="1" x14ac:dyDescent="0.25">
      <c r="A152" s="1791"/>
      <c r="B152" s="1521"/>
      <c r="C152" s="286" t="str">
        <f>OF!C190</f>
        <v>10 to 100% of its RCA.</v>
      </c>
      <c r="D152" s="44">
        <f>OF!D190</f>
        <v>0</v>
      </c>
      <c r="E152" s="49">
        <v>1</v>
      </c>
      <c r="F152" s="45">
        <f>D152*E152</f>
        <v>0</v>
      </c>
      <c r="G152" s="793"/>
      <c r="H152" s="1582"/>
    </row>
    <row r="153" spans="1:9" ht="16.2" customHeight="1" thickBot="1" x14ac:dyDescent="0.3">
      <c r="A153" s="1791"/>
      <c r="B153" s="1523"/>
      <c r="C153" s="443" t="str">
        <f>OF!C191</f>
        <v>Larger than the area of its RCA.  Enter 1 and SKIP TO OF39.</v>
      </c>
      <c r="D153" s="198">
        <f>OF!D191</f>
        <v>0</v>
      </c>
      <c r="E153" s="245">
        <v>0</v>
      </c>
      <c r="F153" s="193">
        <f>D153*E153</f>
        <v>0</v>
      </c>
      <c r="G153" s="794"/>
      <c r="H153" s="1600"/>
    </row>
    <row r="154" spans="1:9" ht="30" customHeight="1" thickBot="1" x14ac:dyDescent="0.3">
      <c r="A154" s="1796" t="str">
        <f>OF!A192</f>
        <v>OF36</v>
      </c>
      <c r="B154" s="1522" t="str">
        <f>OF!B192</f>
        <v>Unvegetated % in the RCA (ImpervRCA)</v>
      </c>
      <c r="C154" s="4" t="str">
        <f>OF!C192</f>
        <v>The proportion of the RCA comprised of buildings, roads, parking lots, exposed bedrock, and other surface that is usually unvegetated at the time of peak annual runoff is about:</v>
      </c>
      <c r="D154" s="65"/>
      <c r="E154" s="210"/>
      <c r="F154" s="241"/>
      <c r="G154" s="809">
        <f>IF((NoRCA=1),"",MAX(F155:F157)/MAX(E155:E157))</f>
        <v>0</v>
      </c>
      <c r="H154" s="1599" t="s">
        <v>342</v>
      </c>
    </row>
    <row r="155" spans="1:9" ht="16.2" customHeight="1" x14ac:dyDescent="0.25">
      <c r="A155" s="1797"/>
      <c r="B155" s="1521"/>
      <c r="C155" s="2" t="str">
        <f>OF!C193</f>
        <v>&lt;10%.</v>
      </c>
      <c r="D155" s="44">
        <f>OF!D193</f>
        <v>0</v>
      </c>
      <c r="E155" s="49">
        <v>0</v>
      </c>
      <c r="F155" s="45">
        <f>D155*E155</f>
        <v>0</v>
      </c>
      <c r="G155" s="792"/>
      <c r="H155" s="1582"/>
    </row>
    <row r="156" spans="1:9" ht="16.2" customHeight="1" x14ac:dyDescent="0.25">
      <c r="A156" s="1797"/>
      <c r="B156" s="1521"/>
      <c r="C156" s="95" t="str">
        <f>OF!C194</f>
        <v>10 to 25%.</v>
      </c>
      <c r="D156" s="44">
        <f>OF!D194</f>
        <v>0</v>
      </c>
      <c r="E156" s="49">
        <v>2</v>
      </c>
      <c r="F156" s="45">
        <f>D156*E156</f>
        <v>0</v>
      </c>
      <c r="G156" s="793"/>
      <c r="H156" s="1582"/>
    </row>
    <row r="157" spans="1:9" ht="16.2" customHeight="1" thickBot="1" x14ac:dyDescent="0.3">
      <c r="A157" s="1798"/>
      <c r="B157" s="1523"/>
      <c r="C157" s="254" t="str">
        <f>OF!C195</f>
        <v>&gt;25%.</v>
      </c>
      <c r="D157" s="17">
        <f>OF!D195</f>
        <v>0</v>
      </c>
      <c r="E157" s="245">
        <v>3</v>
      </c>
      <c r="F157" s="193">
        <f>D157*E157</f>
        <v>0</v>
      </c>
      <c r="G157" s="794"/>
      <c r="H157" s="1600"/>
    </row>
    <row r="158" spans="1:9" ht="60" customHeight="1" thickBot="1" x14ac:dyDescent="0.3">
      <c r="A158" s="1791" t="str">
        <f>OF!A196</f>
        <v>OF37</v>
      </c>
      <c r="B158" s="1521" t="str">
        <f>OF!B196</f>
        <v>Transport From Upslope (TransRCA)</v>
      </c>
      <c r="C158" s="465" t="str">
        <f>OF!C196</f>
        <v>A relatively large proportion of the precipitation that falls farther upslope in the RCA reaches this wetland quickly as indicated by the following: (a) RCA slopes are steep, and/or (b) upslope wetlands historically present have been filled or drained extensively, and/or (c) land cover is mostly non-forest, and/or (d) most RCA soils are shallow.  This statement is:</v>
      </c>
      <c r="D158" s="549"/>
      <c r="E158" s="65"/>
      <c r="F158" s="60"/>
      <c r="G158" s="809">
        <f>IF((NoRCA=1),"",MAX(F159:F161)/MAX(E159:E161))</f>
        <v>0</v>
      </c>
      <c r="H158" s="1521" t="s">
        <v>364</v>
      </c>
    </row>
    <row r="159" spans="1:9" ht="16.2" customHeight="1" x14ac:dyDescent="0.25">
      <c r="A159" s="1791"/>
      <c r="B159" s="1521"/>
      <c r="C159" s="2" t="str">
        <f>OF!C197</f>
        <v>Mostly true.</v>
      </c>
      <c r="D159" s="44">
        <f>OF!D197</f>
        <v>0</v>
      </c>
      <c r="E159" s="49">
        <v>3</v>
      </c>
      <c r="F159" s="54">
        <f>D159*E159</f>
        <v>0</v>
      </c>
      <c r="G159" s="792"/>
      <c r="H159" s="1521"/>
    </row>
    <row r="160" spans="1:9" ht="16.2" customHeight="1" x14ac:dyDescent="0.25">
      <c r="A160" s="1791"/>
      <c r="B160" s="1521"/>
      <c r="C160" s="95" t="str">
        <f>OF!C198</f>
        <v>Somewhat true.</v>
      </c>
      <c r="D160" s="44">
        <f>OF!D198</f>
        <v>0</v>
      </c>
      <c r="E160" s="49">
        <v>2</v>
      </c>
      <c r="F160" s="54">
        <f>D160*E160</f>
        <v>0</v>
      </c>
      <c r="G160" s="793"/>
      <c r="H160" s="1521"/>
    </row>
    <row r="161" spans="1:9" ht="16.2" customHeight="1" thickBot="1" x14ac:dyDescent="0.3">
      <c r="A161" s="1791"/>
      <c r="B161" s="1521"/>
      <c r="C161" s="95" t="str">
        <f>OF!C199</f>
        <v>Mostly untrue.</v>
      </c>
      <c r="D161" s="17">
        <f>OF!D199</f>
        <v>0</v>
      </c>
      <c r="E161" s="67">
        <v>1</v>
      </c>
      <c r="F161" s="54">
        <f>D161*E161</f>
        <v>0</v>
      </c>
      <c r="G161" s="800"/>
      <c r="H161" s="1521"/>
    </row>
    <row r="162" spans="1:9" ht="30" customHeight="1" thickBot="1" x14ac:dyDescent="0.3">
      <c r="A162" s="1845" t="str">
        <f>OF!A200</f>
        <v>OF38</v>
      </c>
      <c r="B162" s="1522" t="str">
        <f>OF!B200</f>
        <v>Upslope Soil Erodibility Risk (ErodeUp)</v>
      </c>
      <c r="C162" s="226" t="str">
        <f>OF!C200</f>
        <v>According to ORWAP Map Viewer's Oregon Soils layer, the erosion hazard rating of the soil within 200 ft away and upslope of the AA is:</v>
      </c>
      <c r="D162" s="549"/>
      <c r="E162" s="210"/>
      <c r="F162" s="241"/>
      <c r="G162" s="809">
        <f>IF((D167=1),"",IF((NoRCA=1),"",MAX(F163:F166)/MAX(E163:E166)))</f>
        <v>0</v>
      </c>
      <c r="H162" s="1522" t="s">
        <v>363</v>
      </c>
      <c r="I162" s="2"/>
    </row>
    <row r="163" spans="1:9" ht="16.2" customHeight="1" x14ac:dyDescent="0.25">
      <c r="A163" s="1791"/>
      <c r="B163" s="1521"/>
      <c r="C163" s="2" t="str">
        <f>OF!C201</f>
        <v>Slight.</v>
      </c>
      <c r="D163" s="44">
        <f>OF!D201</f>
        <v>0</v>
      </c>
      <c r="E163" s="49">
        <v>1</v>
      </c>
      <c r="F163" s="54">
        <f>D163*E163</f>
        <v>0</v>
      </c>
      <c r="G163" s="792"/>
      <c r="H163" s="1521"/>
    </row>
    <row r="164" spans="1:9" ht="16.2" customHeight="1" x14ac:dyDescent="0.25">
      <c r="A164" s="1791"/>
      <c r="B164" s="1521"/>
      <c r="C164" s="95" t="str">
        <f>OF!C202</f>
        <v>Moderate.</v>
      </c>
      <c r="D164" s="44">
        <f>OF!D202</f>
        <v>0</v>
      </c>
      <c r="E164" s="49">
        <v>2</v>
      </c>
      <c r="F164" s="54">
        <f>D164*E164</f>
        <v>0</v>
      </c>
      <c r="G164" s="793"/>
      <c r="H164" s="1521"/>
    </row>
    <row r="165" spans="1:9" ht="16.2" customHeight="1" x14ac:dyDescent="0.25">
      <c r="A165" s="1791"/>
      <c r="B165" s="1521"/>
      <c r="C165" s="95" t="str">
        <f>OF!C203</f>
        <v>Severe.</v>
      </c>
      <c r="D165" s="44">
        <f>OF!D203</f>
        <v>0</v>
      </c>
      <c r="E165" s="49">
        <v>3</v>
      </c>
      <c r="F165" s="54">
        <f>D165*E165</f>
        <v>0</v>
      </c>
      <c r="G165" s="793"/>
      <c r="H165" s="1521"/>
    </row>
    <row r="166" spans="1:9" ht="16.2" customHeight="1" x14ac:dyDescent="0.25">
      <c r="A166" s="1791"/>
      <c r="B166" s="1521"/>
      <c r="C166" s="95" t="str">
        <f>OF!C204</f>
        <v>Very severe.</v>
      </c>
      <c r="D166" s="44">
        <f>OF!D204</f>
        <v>0</v>
      </c>
      <c r="E166" s="49">
        <v>4</v>
      </c>
      <c r="F166" s="54">
        <f>D166*E166</f>
        <v>0</v>
      </c>
      <c r="G166" s="793"/>
      <c r="H166" s="1521"/>
    </row>
    <row r="167" spans="1:9" ht="16.2" customHeight="1" thickBot="1" x14ac:dyDescent="0.3">
      <c r="A167" s="1791"/>
      <c r="B167" s="1523"/>
      <c r="C167" s="254" t="str">
        <f>OF!C205</f>
        <v>Could not determine.</v>
      </c>
      <c r="D167" s="198">
        <f>OF!D205</f>
        <v>0</v>
      </c>
      <c r="E167" s="245"/>
      <c r="F167" s="193"/>
      <c r="G167" s="794"/>
      <c r="H167" s="1523"/>
    </row>
    <row r="168" spans="1:9" ht="60" customHeight="1" thickBot="1" x14ac:dyDescent="0.3">
      <c r="A168" s="1845" t="str">
        <f>OF!A206</f>
        <v>OF39</v>
      </c>
      <c r="B168" s="1522" t="str">
        <f>OF!B206</f>
        <v>Streamflow Contributing Area (SCA) - Wetland as % of (WetPctSCA)</v>
      </c>
      <c r="C168" s="4" t="str">
        <f>OF!C206</f>
        <v>Delimit (or visualize, for large river basins) the wetland's Streamflow Contributing Area (SCA) using a topographic base map. The area of the AA's wetland is:</v>
      </c>
      <c r="D168" s="65"/>
      <c r="E168" s="210"/>
      <c r="F168" s="241"/>
      <c r="G168" s="809">
        <f>IF((D173=1),0,MAX(F169:F173)/MAX(E169:E173))</f>
        <v>0</v>
      </c>
      <c r="H168" s="1522" t="s">
        <v>356</v>
      </c>
    </row>
    <row r="169" spans="1:9" ht="16.2" customHeight="1" x14ac:dyDescent="0.25">
      <c r="A169" s="1791"/>
      <c r="B169" s="1521"/>
      <c r="C169" s="2" t="str">
        <f>OF!C207</f>
        <v>&lt;1% of its SCA, or wetland is in the floodplain of a major river.</v>
      </c>
      <c r="D169" s="44">
        <f>OF!D207</f>
        <v>0</v>
      </c>
      <c r="E169" s="49">
        <v>4</v>
      </c>
      <c r="F169" s="54">
        <f>D169*E169</f>
        <v>0</v>
      </c>
      <c r="G169" s="826"/>
      <c r="H169" s="1521"/>
      <c r="I169" s="2"/>
    </row>
    <row r="170" spans="1:9" ht="16.2" customHeight="1" x14ac:dyDescent="0.25">
      <c r="A170" s="1791"/>
      <c r="B170" s="1521"/>
      <c r="C170" s="95" t="str">
        <f>OF!C208</f>
        <v>1 to &lt;10% of its SCA.</v>
      </c>
      <c r="D170" s="44">
        <f>OF!D208</f>
        <v>0</v>
      </c>
      <c r="E170" s="49">
        <v>3</v>
      </c>
      <c r="F170" s="45">
        <f>D170*E170</f>
        <v>0</v>
      </c>
      <c r="G170" s="793"/>
      <c r="H170" s="1521"/>
    </row>
    <row r="171" spans="1:9" ht="16.2" customHeight="1" x14ac:dyDescent="0.25">
      <c r="A171" s="1791"/>
      <c r="B171" s="1521"/>
      <c r="C171" s="95" t="str">
        <f>OF!C209</f>
        <v>10 to 100% of its SCA.</v>
      </c>
      <c r="D171" s="44">
        <f>OF!D209</f>
        <v>0</v>
      </c>
      <c r="E171" s="49">
        <v>2</v>
      </c>
      <c r="F171" s="45">
        <f>D171*E171</f>
        <v>0</v>
      </c>
      <c r="G171" s="793"/>
      <c r="H171" s="1521"/>
    </row>
    <row r="172" spans="1:9" ht="16.2" customHeight="1" x14ac:dyDescent="0.25">
      <c r="A172" s="1791"/>
      <c r="B172" s="1521"/>
      <c r="C172" s="95" t="str">
        <f>OF!C210</f>
        <v>Larger than the area of its SCA.  Enter 1 and SKIP TO OF41.</v>
      </c>
      <c r="D172" s="44">
        <f>OF!D210</f>
        <v>0</v>
      </c>
      <c r="E172" s="49">
        <v>1</v>
      </c>
      <c r="F172" s="45">
        <f>D172*E172</f>
        <v>0</v>
      </c>
      <c r="G172" s="793"/>
      <c r="H172" s="1521"/>
    </row>
    <row r="173" spans="1:9" ht="16.2" customHeight="1" thickBot="1" x14ac:dyDescent="0.3">
      <c r="A173" s="1791"/>
      <c r="B173" s="1523"/>
      <c r="C173" s="254" t="str">
        <f>OF!C211</f>
        <v>Wetland lacks tributaries and receives no overbank water.  Enter 1 and SKIP to OF41.</v>
      </c>
      <c r="D173" s="17">
        <f>OF!D211</f>
        <v>0</v>
      </c>
      <c r="E173" s="245">
        <v>0</v>
      </c>
      <c r="F173" s="193">
        <f>D173*E173</f>
        <v>0</v>
      </c>
      <c r="G173" s="794"/>
      <c r="H173" s="1523"/>
    </row>
    <row r="174" spans="1:9" ht="30" customHeight="1" thickBot="1" x14ac:dyDescent="0.3">
      <c r="A174" s="1845" t="str">
        <f>OF!A212</f>
        <v>OF40</v>
      </c>
      <c r="B174" s="1521" t="str">
        <f>OF!B212</f>
        <v>Unvegetated % in the SCA (ImpervSCA)</v>
      </c>
      <c r="C174" s="4" t="str">
        <f>OF!C212</f>
        <v>The proportion of the SCA comprised of buildings, roads, parking lots, exposed bedrock, and other surface that is usually unvegetated at the time of peak annual runoff is about :</v>
      </c>
      <c r="D174" s="210"/>
      <c r="E174" s="65"/>
      <c r="F174" s="60"/>
      <c r="G174" s="809">
        <f>IF((NoSCA=1),"",IF((NoSCA1=1),"",MAX(F175:F177)/MAX(E175:E177)))</f>
        <v>0</v>
      </c>
      <c r="H174" s="1521" t="s">
        <v>1229</v>
      </c>
    </row>
    <row r="175" spans="1:9" ht="16.2" customHeight="1" x14ac:dyDescent="0.25">
      <c r="A175" s="1791"/>
      <c r="B175" s="1521"/>
      <c r="C175" s="2" t="str">
        <f>OF!C213</f>
        <v>&lt;10%.</v>
      </c>
      <c r="D175" s="44">
        <f>OF!D213</f>
        <v>0</v>
      </c>
      <c r="E175" s="49">
        <v>0</v>
      </c>
      <c r="F175" s="54">
        <f t="shared" ref="F175:F181" si="5">D175*E175</f>
        <v>0</v>
      </c>
      <c r="G175" s="792"/>
      <c r="H175" s="1521"/>
    </row>
    <row r="176" spans="1:9" ht="16.2" customHeight="1" x14ac:dyDescent="0.25">
      <c r="A176" s="1791"/>
      <c r="B176" s="1521"/>
      <c r="C176" s="95" t="str">
        <f>OF!C214</f>
        <v>10 to 25%.</v>
      </c>
      <c r="D176" s="44">
        <f>OF!D214</f>
        <v>0</v>
      </c>
      <c r="E176" s="49">
        <v>2</v>
      </c>
      <c r="F176" s="54">
        <f t="shared" si="5"/>
        <v>0</v>
      </c>
      <c r="G176" s="793"/>
      <c r="H176" s="1521"/>
    </row>
    <row r="177" spans="1:9" ht="16.2" customHeight="1" thickBot="1" x14ac:dyDescent="0.3">
      <c r="A177" s="1870"/>
      <c r="B177" s="1521"/>
      <c r="C177" s="95" t="str">
        <f>OF!C215</f>
        <v>&gt;25%.</v>
      </c>
      <c r="D177" s="17">
        <f>OF!D215</f>
        <v>0</v>
      </c>
      <c r="E177" s="67">
        <v>3</v>
      </c>
      <c r="F177" s="54">
        <f t="shared" si="5"/>
        <v>0</v>
      </c>
      <c r="G177" s="800"/>
      <c r="H177" s="1521"/>
    </row>
    <row r="178" spans="1:9" ht="45" customHeight="1" thickBot="1" x14ac:dyDescent="0.3">
      <c r="A178" s="1791" t="str">
        <f>OF!A220</f>
        <v>OF42</v>
      </c>
      <c r="B178" s="1522" t="str">
        <f>OF!B220</f>
        <v>Zoning (Zoning)</v>
      </c>
      <c r="C178" s="4" t="str">
        <f>OF!C220</f>
        <v>According to ORWAP Map Viewer's Oregon Zoning layer, the dominant zoned land use designation for currently undeveloped parcels upslope from the AA and within 300 ft. of its upland edge is:</v>
      </c>
      <c r="D178" s="210"/>
      <c r="E178" s="210"/>
      <c r="F178" s="241"/>
      <c r="G178" s="809">
        <f>IF((D182=1),"",MAX(F179:F181)/MAX(E179:E181))</f>
        <v>0</v>
      </c>
      <c r="H178" s="1522" t="s">
        <v>365</v>
      </c>
    </row>
    <row r="179" spans="1:9" ht="27" customHeight="1" x14ac:dyDescent="0.25">
      <c r="A179" s="1791"/>
      <c r="B179" s="1521"/>
      <c r="C179" s="2" t="str">
        <f>OF!C221</f>
        <v>Development (Commercial, Industrial, Urban Residential, etc.), or no undeveloped parcels exist upslope from the AA.</v>
      </c>
      <c r="D179" s="44">
        <f>OF!D221</f>
        <v>0</v>
      </c>
      <c r="E179" s="49">
        <v>3</v>
      </c>
      <c r="F179" s="54">
        <f t="shared" si="5"/>
        <v>0</v>
      </c>
      <c r="G179" s="792"/>
      <c r="H179" s="1521"/>
    </row>
    <row r="180" spans="1:9" ht="16.2" customHeight="1" x14ac:dyDescent="0.25">
      <c r="A180" s="1791"/>
      <c r="B180" s="1521"/>
      <c r="C180" s="95" t="str">
        <f>OF!C222</f>
        <v>Agriculture or Rural Residential.</v>
      </c>
      <c r="D180" s="44">
        <f>OF!D222</f>
        <v>0</v>
      </c>
      <c r="E180" s="49">
        <v>2</v>
      </c>
      <c r="F180" s="54">
        <f t="shared" si="5"/>
        <v>0</v>
      </c>
      <c r="G180" s="793"/>
      <c r="H180" s="1521"/>
    </row>
    <row r="181" spans="1:9" ht="16.2" customHeight="1" x14ac:dyDescent="0.25">
      <c r="A181" s="1791"/>
      <c r="B181" s="1521"/>
      <c r="C181" s="95" t="str">
        <f>OF!C223</f>
        <v>Forest or Open Space, or entirely public lands.</v>
      </c>
      <c r="D181" s="44">
        <f>OF!D223</f>
        <v>0</v>
      </c>
      <c r="E181" s="49">
        <v>1</v>
      </c>
      <c r="F181" s="54">
        <f t="shared" si="5"/>
        <v>0</v>
      </c>
      <c r="G181" s="793"/>
      <c r="H181" s="1521"/>
    </row>
    <row r="182" spans="1:9" ht="16.2" customHeight="1" thickBot="1" x14ac:dyDescent="0.3">
      <c r="A182" s="1791"/>
      <c r="B182" s="1521"/>
      <c r="C182" s="95" t="str">
        <f>OF!C224</f>
        <v>Not zoned, or no information.</v>
      </c>
      <c r="D182" s="198">
        <f>OF!D224</f>
        <v>0</v>
      </c>
      <c r="E182" s="67"/>
      <c r="F182" s="54"/>
      <c r="G182" s="800"/>
      <c r="H182" s="1521"/>
    </row>
    <row r="183" spans="1:9" ht="60" customHeight="1" thickBot="1" x14ac:dyDescent="0.3">
      <c r="A183" s="288" t="str">
        <f>F!A171</f>
        <v>F33</v>
      </c>
      <c r="B183" s="255" t="str">
        <f>F!B171</f>
        <v>Tributary or Overbank Inflow (Inflow)</v>
      </c>
      <c r="C183" s="467" t="str">
        <f>F!C171</f>
        <v>At least once annually, surface water from upstream or another water body moves into the AA. It may enter directly, or as unconfined overflow from a contiguous river or lake.  If it enters only via a pipe, that pipe must be fed by a mapped stream or lake further upslope.  Enter 1, if true.  If false, SKIP to F36.</v>
      </c>
      <c r="D183" s="558">
        <f>F!D171</f>
        <v>0</v>
      </c>
      <c r="E183" s="478"/>
      <c r="F183" s="252"/>
      <c r="G183" s="827">
        <f>D183</f>
        <v>0</v>
      </c>
      <c r="H183" s="4" t="s">
        <v>357</v>
      </c>
      <c r="I183" s="2"/>
    </row>
    <row r="184" spans="1:9" ht="30" customHeight="1" thickBot="1" x14ac:dyDescent="0.3">
      <c r="A184" s="1875" t="str">
        <f>F!A172</f>
        <v>F34</v>
      </c>
      <c r="B184" s="1521" t="str">
        <f>F!B172</f>
        <v>Input Channel Gradient (SlopeInChan)</v>
      </c>
      <c r="C184" s="468" t="str">
        <f>F!C172</f>
        <v>The gradient of the tributary with the largest inflow, averaged over the 150 ft. before it enters the AA (but excluding any portion of the distance where water travels through a pipe) is:</v>
      </c>
      <c r="D184" s="549"/>
      <c r="E184" s="65"/>
      <c r="F184" s="60"/>
      <c r="G184" s="828" t="str">
        <f>IF((Inflow=0),"",MAX(F185:F188)/MAX(E185:E188))</f>
        <v/>
      </c>
      <c r="H184" s="1521" t="s">
        <v>203</v>
      </c>
      <c r="I184" s="2"/>
    </row>
    <row r="185" spans="1:9" ht="16.2" customHeight="1" x14ac:dyDescent="0.25">
      <c r="A185" s="1875"/>
      <c r="B185" s="1521"/>
      <c r="C185" s="449" t="str">
        <f>F!C173</f>
        <v>&lt;1%.</v>
      </c>
      <c r="D185" s="44">
        <f>F!D173</f>
        <v>0</v>
      </c>
      <c r="E185" s="49">
        <v>0</v>
      </c>
      <c r="F185" s="59">
        <f>D185*E185</f>
        <v>0</v>
      </c>
      <c r="G185" s="792"/>
      <c r="H185" s="1521"/>
    </row>
    <row r="186" spans="1:9" ht="16.2" customHeight="1" x14ac:dyDescent="0.25">
      <c r="A186" s="1875"/>
      <c r="B186" s="1521"/>
      <c r="C186" s="450" t="str">
        <f>F!C174</f>
        <v>1 to &lt;3%.</v>
      </c>
      <c r="D186" s="44">
        <f>F!D174</f>
        <v>0</v>
      </c>
      <c r="E186" s="49">
        <v>1</v>
      </c>
      <c r="F186" s="59">
        <f>D186*E186</f>
        <v>0</v>
      </c>
      <c r="G186" s="793"/>
      <c r="H186" s="1521"/>
    </row>
    <row r="187" spans="1:9" ht="16.2" customHeight="1" x14ac:dyDescent="0.25">
      <c r="A187" s="1875"/>
      <c r="B187" s="1521"/>
      <c r="C187" s="450" t="str">
        <f>F!C175</f>
        <v>3 to 6%.</v>
      </c>
      <c r="D187" s="44">
        <f>F!D175</f>
        <v>0</v>
      </c>
      <c r="E187" s="49">
        <v>3</v>
      </c>
      <c r="F187" s="59">
        <f>D187*E187</f>
        <v>0</v>
      </c>
      <c r="G187" s="793"/>
      <c r="H187" s="1521"/>
    </row>
    <row r="188" spans="1:9" ht="16.2" customHeight="1" thickBot="1" x14ac:dyDescent="0.3">
      <c r="A188" s="1876"/>
      <c r="B188" s="1521"/>
      <c r="C188" s="286" t="str">
        <f>F!C176</f>
        <v>&gt;6%.</v>
      </c>
      <c r="D188" s="17">
        <f>F!D176</f>
        <v>0</v>
      </c>
      <c r="E188" s="67">
        <v>4</v>
      </c>
      <c r="F188" s="58">
        <f>D188*E188</f>
        <v>0</v>
      </c>
      <c r="G188" s="800"/>
      <c r="H188" s="1521"/>
    </row>
    <row r="189" spans="1:9" ht="30" customHeight="1" thickBot="1" x14ac:dyDescent="0.3">
      <c r="A189" s="1880" t="str">
        <f>F!A260</f>
        <v>F52</v>
      </c>
      <c r="B189" s="1522" t="str">
        <f>F!B260</f>
        <v>Upland Perennial Cover - % of Perimeter (PerimPctPer)</v>
      </c>
      <c r="C189" s="466" t="str">
        <f>F!C260</f>
        <v xml:space="preserve">The percentage of the AA's edge (perimeter) that is comprised of a band of upland perennial cover wider than 10 ft and taller than 6 inches, during most of the growing season is:  </v>
      </c>
      <c r="D189" s="549"/>
      <c r="E189" s="210"/>
      <c r="F189" s="241"/>
      <c r="G189" s="828">
        <f>MAX(F190:F195)/MAX(E190:E195)</f>
        <v>0</v>
      </c>
      <c r="H189" s="1522" t="s">
        <v>358</v>
      </c>
      <c r="I189" s="2"/>
    </row>
    <row r="190" spans="1:9" ht="16.2" customHeight="1" x14ac:dyDescent="0.25">
      <c r="A190" s="1875"/>
      <c r="B190" s="1521"/>
      <c r="C190" s="449" t="str">
        <f>F!C261</f>
        <v>&lt;5%.</v>
      </c>
      <c r="D190" s="44">
        <f>F!D261</f>
        <v>0</v>
      </c>
      <c r="E190" s="49">
        <v>5</v>
      </c>
      <c r="F190" s="45">
        <f t="shared" ref="F190:F195" si="6">D190*E190</f>
        <v>0</v>
      </c>
      <c r="G190" s="792"/>
      <c r="H190" s="1521"/>
    </row>
    <row r="191" spans="1:9" ht="16.2" customHeight="1" x14ac:dyDescent="0.25">
      <c r="A191" s="1875"/>
      <c r="B191" s="1521"/>
      <c r="C191" s="450" t="str">
        <f>F!C262</f>
        <v>5 to &lt;25%.</v>
      </c>
      <c r="D191" s="44">
        <f>F!D262</f>
        <v>0</v>
      </c>
      <c r="E191" s="49">
        <v>4</v>
      </c>
      <c r="F191" s="45">
        <f t="shared" si="6"/>
        <v>0</v>
      </c>
      <c r="G191" s="793"/>
      <c r="H191" s="1521"/>
    </row>
    <row r="192" spans="1:9" ht="16.2" customHeight="1" x14ac:dyDescent="0.25">
      <c r="A192" s="1875"/>
      <c r="B192" s="1521"/>
      <c r="C192" s="450" t="str">
        <f>F!C263</f>
        <v>25 to &lt;50%.</v>
      </c>
      <c r="D192" s="44">
        <f>F!D263</f>
        <v>0</v>
      </c>
      <c r="E192" s="49">
        <v>3</v>
      </c>
      <c r="F192" s="45">
        <f t="shared" si="6"/>
        <v>0</v>
      </c>
      <c r="G192" s="793"/>
      <c r="H192" s="1521"/>
    </row>
    <row r="193" spans="1:9" ht="16.2" customHeight="1" x14ac:dyDescent="0.25">
      <c r="A193" s="1875"/>
      <c r="B193" s="1521"/>
      <c r="C193" s="450" t="str">
        <f>F!C264</f>
        <v>50 to &lt;75%.</v>
      </c>
      <c r="D193" s="44">
        <f>F!D264</f>
        <v>0</v>
      </c>
      <c r="E193" s="49">
        <v>2</v>
      </c>
      <c r="F193" s="45">
        <f t="shared" si="6"/>
        <v>0</v>
      </c>
      <c r="G193" s="793"/>
      <c r="H193" s="1521"/>
    </row>
    <row r="194" spans="1:9" ht="16.2" customHeight="1" x14ac:dyDescent="0.25">
      <c r="A194" s="1875"/>
      <c r="B194" s="1521"/>
      <c r="C194" s="450" t="str">
        <f>F!C265</f>
        <v>75 to 95%.</v>
      </c>
      <c r="D194" s="44">
        <f>F!D265</f>
        <v>0</v>
      </c>
      <c r="E194" s="49">
        <v>1</v>
      </c>
      <c r="F194" s="45">
        <f t="shared" si="6"/>
        <v>0</v>
      </c>
      <c r="G194" s="793"/>
      <c r="H194" s="1521"/>
    </row>
    <row r="195" spans="1:9" ht="16.2" customHeight="1" thickBot="1" x14ac:dyDescent="0.3">
      <c r="A195" s="1876"/>
      <c r="B195" s="1523"/>
      <c r="C195" s="443" t="str">
        <f>F!C266</f>
        <v>&gt;95%.</v>
      </c>
      <c r="D195" s="198">
        <f>F!D266</f>
        <v>0</v>
      </c>
      <c r="E195" s="245">
        <v>0</v>
      </c>
      <c r="F195" s="193">
        <f t="shared" si="6"/>
        <v>0</v>
      </c>
      <c r="G195" s="794"/>
      <c r="H195" s="1523"/>
    </row>
    <row r="196" spans="1:9" ht="69.75" customHeight="1" thickBot="1" x14ac:dyDescent="0.3">
      <c r="A196" s="1828" t="str">
        <f>F!A267</f>
        <v>F53</v>
      </c>
      <c r="B196" s="1522" t="str">
        <f>F!B267</f>
        <v>Upland Perennial Cover - Width (Buffer)  (BuffWidth)</v>
      </c>
      <c r="C196" s="11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196" s="65"/>
      <c r="E196" s="210"/>
      <c r="F196" s="241"/>
      <c r="G196" s="828">
        <f>MAX(F197:F202)/MAX(E197:E202)</f>
        <v>0</v>
      </c>
      <c r="H196" s="1522" t="s">
        <v>1139</v>
      </c>
      <c r="I196" s="2"/>
    </row>
    <row r="197" spans="1:9" ht="16.2" customHeight="1" x14ac:dyDescent="0.25">
      <c r="A197" s="1829"/>
      <c r="B197" s="1521"/>
      <c r="C197" s="449" t="str">
        <f>F!C268</f>
        <v xml:space="preserve">&lt; 5 ft, or none.  </v>
      </c>
      <c r="D197" s="44">
        <f>F!D268</f>
        <v>0</v>
      </c>
      <c r="E197" s="49">
        <v>10</v>
      </c>
      <c r="F197" s="45">
        <f t="shared" ref="F197:F202" si="7">D197*E197</f>
        <v>0</v>
      </c>
      <c r="G197" s="792"/>
      <c r="H197" s="1521"/>
    </row>
    <row r="198" spans="1:9" ht="16.2" customHeight="1" x14ac:dyDescent="0.25">
      <c r="A198" s="1829"/>
      <c r="B198" s="1521"/>
      <c r="C198" s="450" t="str">
        <f>F!C269</f>
        <v>5 to &lt;30 ft.</v>
      </c>
      <c r="D198" s="44">
        <f>F!D269</f>
        <v>0</v>
      </c>
      <c r="E198" s="49">
        <v>5</v>
      </c>
      <c r="F198" s="45">
        <f t="shared" si="7"/>
        <v>0</v>
      </c>
      <c r="G198" s="793"/>
      <c r="H198" s="1521"/>
    </row>
    <row r="199" spans="1:9" ht="16.2" customHeight="1" x14ac:dyDescent="0.25">
      <c r="A199" s="1829"/>
      <c r="B199" s="1521"/>
      <c r="C199" s="450" t="str">
        <f>F!C270</f>
        <v>30 to &lt;50 ft.</v>
      </c>
      <c r="D199" s="44">
        <f>F!D270</f>
        <v>0</v>
      </c>
      <c r="E199" s="49">
        <v>3</v>
      </c>
      <c r="F199" s="45">
        <f t="shared" si="7"/>
        <v>0</v>
      </c>
      <c r="G199" s="793"/>
      <c r="H199" s="1521"/>
    </row>
    <row r="200" spans="1:9" ht="16.2" customHeight="1" x14ac:dyDescent="0.25">
      <c r="A200" s="1829"/>
      <c r="B200" s="1521"/>
      <c r="C200" s="450" t="str">
        <f>F!C271</f>
        <v>50 to &lt;100 ft.</v>
      </c>
      <c r="D200" s="44">
        <f>F!D271</f>
        <v>0</v>
      </c>
      <c r="E200" s="49">
        <v>2</v>
      </c>
      <c r="F200" s="45">
        <f t="shared" si="7"/>
        <v>0</v>
      </c>
      <c r="G200" s="793"/>
      <c r="H200" s="1521"/>
    </row>
    <row r="201" spans="1:9" ht="16.2" customHeight="1" x14ac:dyDescent="0.25">
      <c r="A201" s="1829"/>
      <c r="B201" s="1521"/>
      <c r="C201" s="450" t="str">
        <f>F!C272</f>
        <v>100  to 300 ft.</v>
      </c>
      <c r="D201" s="44">
        <f>F!D272</f>
        <v>0</v>
      </c>
      <c r="E201" s="49">
        <v>1</v>
      </c>
      <c r="F201" s="45">
        <f t="shared" si="7"/>
        <v>0</v>
      </c>
      <c r="G201" s="793"/>
      <c r="H201" s="1521"/>
    </row>
    <row r="202" spans="1:9" ht="16.2" customHeight="1" thickBot="1" x14ac:dyDescent="0.3">
      <c r="A202" s="1830"/>
      <c r="B202" s="1523"/>
      <c r="C202" s="443" t="str">
        <f>F!C273</f>
        <v xml:space="preserve">&gt; 300 ft. </v>
      </c>
      <c r="D202" s="198">
        <f>F!D273</f>
        <v>0</v>
      </c>
      <c r="E202" s="245">
        <v>0</v>
      </c>
      <c r="F202" s="193">
        <f t="shared" si="7"/>
        <v>0</v>
      </c>
      <c r="G202" s="794"/>
      <c r="H202" s="1523"/>
    </row>
    <row r="203" spans="1:9" ht="21" customHeight="1" thickBot="1" x14ac:dyDescent="0.3">
      <c r="A203" s="1842" t="str">
        <f>T!A69</f>
        <v>T12</v>
      </c>
      <c r="B203" s="1522" t="str">
        <f>T!B69</f>
        <v>Waves (WavesT)</v>
      </c>
      <c r="C203" s="466" t="str">
        <f>T!C69</f>
        <v>Which of the following is MOST true:</v>
      </c>
      <c r="D203" s="549"/>
      <c r="E203" s="210"/>
      <c r="F203" s="258"/>
      <c r="G203" s="829">
        <f>MAX(F204:F206)/MAX(E204:E206)</f>
        <v>0</v>
      </c>
      <c r="H203" s="1522" t="s">
        <v>640</v>
      </c>
    </row>
    <row r="204" spans="1:9" ht="27" customHeight="1" x14ac:dyDescent="0.25">
      <c r="A204" s="1843"/>
      <c r="B204" s="1521"/>
      <c r="C204" s="449" t="str">
        <f>T!C70</f>
        <v>Wind or boats frequently generate waves of &gt;1 ft. near the AA, those waves are intercepted by the wetland, and structures behind the AA are protected from wave erosion.</v>
      </c>
      <c r="D204" s="44">
        <f>T!D70</f>
        <v>0</v>
      </c>
      <c r="E204" s="65">
        <v>5</v>
      </c>
      <c r="F204" s="45">
        <f>D204*E204</f>
        <v>0</v>
      </c>
      <c r="G204" s="792"/>
      <c r="H204" s="1521"/>
    </row>
    <row r="205" spans="1:9" ht="27" customHeight="1" x14ac:dyDescent="0.25">
      <c r="A205" s="1843"/>
      <c r="B205" s="1521"/>
      <c r="C205" s="449" t="str">
        <f>T!C71</f>
        <v>Wind or boats frequently generate waves of &gt;1 ft. near the AA, those waves are intercepted by the wetland, but there are no structures behind the wetland.</v>
      </c>
      <c r="D205" s="44">
        <f>T!D71</f>
        <v>0</v>
      </c>
      <c r="E205" s="65">
        <v>2</v>
      </c>
      <c r="F205" s="45">
        <f>D205*E205</f>
        <v>0</v>
      </c>
      <c r="G205" s="793"/>
      <c r="H205" s="1521"/>
    </row>
    <row r="206" spans="1:9" ht="16.2" customHeight="1" thickBot="1" x14ac:dyDescent="0.3">
      <c r="A206" s="1844"/>
      <c r="B206" s="1523"/>
      <c r="C206" s="468" t="str">
        <f>T!C72</f>
        <v>Neither wind nor boats frequently generate waves of &gt;1 f.t near the AA.</v>
      </c>
      <c r="D206" s="17">
        <f>T!D72</f>
        <v>0</v>
      </c>
      <c r="E206" s="479">
        <v>0</v>
      </c>
      <c r="F206" s="193">
        <f>D206*E206</f>
        <v>0</v>
      </c>
      <c r="G206" s="794"/>
      <c r="H206" s="1523"/>
    </row>
    <row r="207" spans="1:9" ht="30" customHeight="1" thickBot="1" x14ac:dyDescent="0.3">
      <c r="A207" s="1842" t="str">
        <f>T!A168</f>
        <v>T30</v>
      </c>
      <c r="B207" s="1521" t="str">
        <f>T!B168</f>
        <v>Slope from Disturbed Lands (SlopeBufft)</v>
      </c>
      <c r="C207" s="468" t="str">
        <f>T!C168</f>
        <v>The percent slope of the land between the AA and the most extensive disturbed upslope area (i.e., unvegetated or non-perennial cover) is mostly:</v>
      </c>
      <c r="D207" s="549"/>
      <c r="E207" s="93"/>
      <c r="F207" s="60"/>
      <c r="G207" s="829">
        <f>MAX(F208:F212)/MAX(E208:E212)</f>
        <v>0</v>
      </c>
      <c r="H207" s="1521"/>
    </row>
    <row r="208" spans="1:9" ht="16.2" customHeight="1" x14ac:dyDescent="0.25">
      <c r="A208" s="1843"/>
      <c r="B208" s="1521"/>
      <c r="C208" s="449" t="str">
        <f>T!C169</f>
        <v>&lt;1% (flat -- almost no noticeable slope).</v>
      </c>
      <c r="D208" s="44">
        <f>T!D169</f>
        <v>0</v>
      </c>
      <c r="E208" s="67">
        <v>0</v>
      </c>
      <c r="F208" s="45">
        <f>D208*E208</f>
        <v>0</v>
      </c>
      <c r="G208" s="792"/>
      <c r="H208" s="1521"/>
    </row>
    <row r="209" spans="1:8" ht="16.2" customHeight="1" x14ac:dyDescent="0.25">
      <c r="A209" s="1843"/>
      <c r="B209" s="1521"/>
      <c r="C209" s="450" t="str">
        <f>T!C170</f>
        <v>2-6%.</v>
      </c>
      <c r="D209" s="44">
        <f>T!D170</f>
        <v>0</v>
      </c>
      <c r="E209" s="67">
        <v>1</v>
      </c>
      <c r="F209" s="45">
        <f>D209*E209</f>
        <v>0</v>
      </c>
      <c r="G209" s="793"/>
      <c r="H209" s="1521"/>
    </row>
    <row r="210" spans="1:8" ht="16.2" customHeight="1" x14ac:dyDescent="0.25">
      <c r="A210" s="1843"/>
      <c r="B210" s="1521"/>
      <c r="C210" s="450" t="str">
        <f>T!C171</f>
        <v>7-10%.</v>
      </c>
      <c r="D210" s="44">
        <f>T!D171</f>
        <v>0</v>
      </c>
      <c r="E210" s="67">
        <v>2</v>
      </c>
      <c r="F210" s="45">
        <f>D210*E210</f>
        <v>0</v>
      </c>
      <c r="G210" s="793"/>
      <c r="H210" s="1521"/>
    </row>
    <row r="211" spans="1:8" ht="16.2" customHeight="1" x14ac:dyDescent="0.25">
      <c r="A211" s="1843"/>
      <c r="B211" s="1521"/>
      <c r="C211" s="450" t="str">
        <f>T!C172</f>
        <v>11-30%.</v>
      </c>
      <c r="D211" s="44">
        <f>T!D172</f>
        <v>0</v>
      </c>
      <c r="E211" s="67">
        <v>3</v>
      </c>
      <c r="F211" s="45">
        <f>D211*E211</f>
        <v>0</v>
      </c>
      <c r="G211" s="793"/>
      <c r="H211" s="1521"/>
    </row>
    <row r="212" spans="1:8" ht="16.2" customHeight="1" thickBot="1" x14ac:dyDescent="0.3">
      <c r="A212" s="1843"/>
      <c r="B212" s="1521"/>
      <c r="C212" s="286" t="str">
        <f>T!C173</f>
        <v>&gt;30%.</v>
      </c>
      <c r="D212" s="17">
        <f>T!D173</f>
        <v>0</v>
      </c>
      <c r="E212" s="67">
        <v>5</v>
      </c>
      <c r="F212" s="54">
        <f>D212*E212</f>
        <v>0</v>
      </c>
      <c r="G212" s="800"/>
      <c r="H212" s="1521"/>
    </row>
    <row r="213" spans="1:8" ht="60" customHeight="1" thickBot="1" x14ac:dyDescent="0.3">
      <c r="A213" s="247" t="str">
        <f>S!A51</f>
        <v>S4</v>
      </c>
      <c r="B213" s="4" t="str">
        <f>S!B51</f>
        <v>Excessive Sediment Loading from Runoff Contributing Area (SedRCA).</v>
      </c>
      <c r="C213" s="469" t="s">
        <v>781</v>
      </c>
      <c r="D213" s="248">
        <f>S!F68</f>
        <v>0</v>
      </c>
      <c r="E213" s="260"/>
      <c r="F213" s="249"/>
      <c r="G213" s="830">
        <f>D213</f>
        <v>0</v>
      </c>
      <c r="H213" s="114" t="s">
        <v>46</v>
      </c>
    </row>
    <row r="214" spans="1:8" ht="21" customHeight="1" thickBot="1" x14ac:dyDescent="0.3">
      <c r="A214" s="2"/>
      <c r="B214" s="2"/>
      <c r="C214" s="79"/>
      <c r="D214" s="79"/>
      <c r="E214" s="14"/>
      <c r="F214" s="14"/>
      <c r="G214" s="15"/>
      <c r="H214" s="2"/>
    </row>
    <row r="215" spans="1:8" ht="21" customHeight="1" x14ac:dyDescent="0.25">
      <c r="A215" s="2"/>
      <c r="B215" s="187"/>
      <c r="C215" s="1834" t="s">
        <v>610</v>
      </c>
      <c r="D215" s="1847" t="s">
        <v>636</v>
      </c>
      <c r="E215" s="1847"/>
      <c r="F215" s="1847"/>
      <c r="G215" s="780">
        <f>AVERAGE(Fluctu3,SeasPct3)</f>
        <v>0</v>
      </c>
      <c r="H215" s="267" t="s">
        <v>782</v>
      </c>
    </row>
    <row r="216" spans="1:8" ht="21" customHeight="1" x14ac:dyDescent="0.25">
      <c r="A216" s="2"/>
      <c r="B216" s="187"/>
      <c r="C216" s="1835"/>
      <c r="D216" s="1848" t="s">
        <v>1251</v>
      </c>
      <c r="E216" s="1849"/>
      <c r="F216" s="1850"/>
      <c r="G216" s="277">
        <f>IFERROR(AVERAGE(DepthDom3,EmArea3,WidthWet3),"")</f>
        <v>0</v>
      </c>
      <c r="H216" s="268" t="s">
        <v>1287</v>
      </c>
    </row>
    <row r="217" spans="1:8" ht="45" customHeight="1" x14ac:dyDescent="0.25">
      <c r="A217" s="2"/>
      <c r="B217" s="187"/>
      <c r="C217" s="1835"/>
      <c r="D217" s="1846" t="s">
        <v>1242</v>
      </c>
      <c r="E217" s="1846"/>
      <c r="F217" s="1846"/>
      <c r="G217" s="277">
        <f>(AVERAGE(Gradient3,WetPctRCA3,WetPctSCA3) + AVERAGE(Girreg3, Gcover3,VegCut3,SoilDisturb3))/2</f>
        <v>0.125</v>
      </c>
      <c r="H217" s="268" t="s">
        <v>1253</v>
      </c>
    </row>
    <row r="218" spans="1:8" ht="30" customHeight="1" x14ac:dyDescent="0.25">
      <c r="A218" s="2"/>
      <c r="B218" s="187"/>
      <c r="C218" s="1835"/>
      <c r="D218" s="1846" t="s">
        <v>1243</v>
      </c>
      <c r="E218" s="1846"/>
      <c r="F218" s="1846"/>
      <c r="G218" s="277">
        <f>IFERROR(AVERAGE(ThruFlo3,EmArea3,EmPct3,DepthDom3,WidthWet3),"")</f>
        <v>0</v>
      </c>
      <c r="H218" s="268" t="s">
        <v>1511</v>
      </c>
    </row>
    <row r="219" spans="1:8" ht="21" customHeight="1" thickBot="1" x14ac:dyDescent="0.3">
      <c r="A219" s="2"/>
      <c r="B219" s="187"/>
      <c r="C219" s="1835"/>
      <c r="D219" s="1846" t="s">
        <v>635</v>
      </c>
      <c r="E219" s="1846"/>
      <c r="F219" s="1846"/>
      <c r="G219" s="277">
        <f>AVERAGE(OutDura3,Constric3)</f>
        <v>0</v>
      </c>
      <c r="H219" s="268" t="s">
        <v>2243</v>
      </c>
    </row>
    <row r="220" spans="1:8" ht="21" customHeight="1" thickBot="1" x14ac:dyDescent="0.3">
      <c r="A220" s="2"/>
      <c r="B220" s="187"/>
      <c r="C220" s="1836"/>
      <c r="D220" s="1831" t="s">
        <v>614</v>
      </c>
      <c r="E220" s="1832"/>
      <c r="F220" s="1833"/>
      <c r="G220" s="781">
        <f>(MAX(LowMarshT3,WidthHiT3,WidthLoT3) + AVERAGE(WavesT3,SalinT3,GcoverT3))/2</f>
        <v>0</v>
      </c>
      <c r="H220" s="284" t="s">
        <v>659</v>
      </c>
    </row>
    <row r="221" spans="1:8" ht="34.200000000000003" customHeight="1" thickBot="1" x14ac:dyDescent="0.3">
      <c r="A221" s="2"/>
      <c r="B221" s="2"/>
      <c r="C221" s="1807" t="s">
        <v>122</v>
      </c>
      <c r="D221" s="1808"/>
      <c r="E221" s="1809"/>
      <c r="F221" s="250" t="s">
        <v>6</v>
      </c>
      <c r="G221" s="782">
        <f>10*(IF((Tidal=1),TidalScoreSR,IF((NeverWater=1), DryIntercept, IF((NoOutlet=1),1,(3*Connectiv3 + 2*AVERAGE(Entrain3,LiveStore3) + AVERAGE(DryIntercept,WetIntercept))/6))))</f>
        <v>0.10416666666666666</v>
      </c>
      <c r="H221" s="381" t="s">
        <v>1524</v>
      </c>
    </row>
    <row r="222" spans="1:8" ht="75" customHeight="1" thickBot="1" x14ac:dyDescent="0.3">
      <c r="A222" s="2"/>
      <c r="B222" s="2"/>
      <c r="C222" s="1871" t="s">
        <v>27</v>
      </c>
      <c r="D222" s="1872"/>
      <c r="E222" s="1873"/>
      <c r="F222" s="250" t="s">
        <v>7</v>
      </c>
      <c r="G222" s="783">
        <f>10*(IF((Tidal=1), (3*MAX(WavesT3v,SlopeBuffT3,ErodeUp3v,ImpervRCA3v)+AVERAGE(Inflow3v,SlopeInChan3v,TransRCA3v,Zoning3v)+AVERAGE(BuffWidth3v,PerimPctPer3v,))/5,
(3*MAX(WQin3v,ConnecUp3v,ContamDown3v,ConnDown3v,SedRCA3v,ErodeUp3v) +AVERAGE(Inflow3v,Zoning3v,ImpervRCA3v,ImpervSCA3v,SlopeInChan3v,TransRCA3v) + AVERAGE(BuffWidth3v,PerimPctPer3v) + AVERAGE(WetPctRCA3v,WetPctSCA3v,Elev3v)+GISscoreSRv)/7))</f>
        <v>0</v>
      </c>
      <c r="H222" s="233" t="s">
        <v>1552</v>
      </c>
    </row>
    <row r="223" spans="1:8" ht="21" customHeight="1" thickBot="1" x14ac:dyDescent="0.3">
      <c r="C223" s="107"/>
    </row>
    <row r="224" spans="1:8" ht="21" customHeight="1" thickBot="1" x14ac:dyDescent="0.3">
      <c r="C224" s="107"/>
      <c r="H224" s="158" t="s">
        <v>859</v>
      </c>
    </row>
    <row r="225" spans="3:8" ht="42" customHeight="1" x14ac:dyDescent="0.25">
      <c r="C225" s="2"/>
      <c r="H225" s="724" t="s">
        <v>913</v>
      </c>
    </row>
    <row r="226" spans="3:8" ht="42" customHeight="1" x14ac:dyDescent="0.25">
      <c r="C226" s="2"/>
      <c r="H226" s="725" t="s">
        <v>914</v>
      </c>
    </row>
    <row r="227" spans="3:8" ht="27" customHeight="1" x14ac:dyDescent="0.25">
      <c r="H227" s="725" t="s">
        <v>1274</v>
      </c>
    </row>
    <row r="228" spans="3:8" ht="21" customHeight="1" x14ac:dyDescent="0.25">
      <c r="H228" s="725" t="s">
        <v>1275</v>
      </c>
    </row>
    <row r="229" spans="3:8" ht="42" customHeight="1" x14ac:dyDescent="0.25">
      <c r="H229" s="725" t="s">
        <v>915</v>
      </c>
    </row>
    <row r="230" spans="3:8" ht="27" customHeight="1" x14ac:dyDescent="0.25">
      <c r="H230" s="725" t="s">
        <v>916</v>
      </c>
    </row>
    <row r="231" spans="3:8" ht="27" customHeight="1" x14ac:dyDescent="0.25">
      <c r="H231" s="725" t="s">
        <v>917</v>
      </c>
    </row>
    <row r="232" spans="3:8" ht="27" customHeight="1" x14ac:dyDescent="0.25">
      <c r="H232" s="725" t="s">
        <v>1276</v>
      </c>
    </row>
    <row r="233" spans="3:8" ht="27" customHeight="1" x14ac:dyDescent="0.25">
      <c r="H233" s="725" t="s">
        <v>918</v>
      </c>
    </row>
    <row r="234" spans="3:8" ht="42" customHeight="1" x14ac:dyDescent="0.25">
      <c r="H234" s="725" t="s">
        <v>1277</v>
      </c>
    </row>
    <row r="235" spans="3:8" ht="27" customHeight="1" x14ac:dyDescent="0.25">
      <c r="H235" s="725" t="s">
        <v>1137</v>
      </c>
    </row>
    <row r="236" spans="3:8" ht="27" customHeight="1" x14ac:dyDescent="0.25">
      <c r="H236" s="725" t="s">
        <v>1278</v>
      </c>
    </row>
    <row r="237" spans="3:8" ht="27" customHeight="1" x14ac:dyDescent="0.25">
      <c r="H237" s="725" t="s">
        <v>919</v>
      </c>
    </row>
    <row r="238" spans="3:8" ht="27" customHeight="1" x14ac:dyDescent="0.25">
      <c r="H238" s="725" t="s">
        <v>920</v>
      </c>
    </row>
    <row r="239" spans="3:8" ht="27" customHeight="1" x14ac:dyDescent="0.25">
      <c r="H239" s="725" t="s">
        <v>921</v>
      </c>
    </row>
    <row r="240" spans="3:8" ht="27" customHeight="1" x14ac:dyDescent="0.25">
      <c r="H240" s="725" t="s">
        <v>922</v>
      </c>
    </row>
    <row r="241" spans="8:8" ht="42" customHeight="1" x14ac:dyDescent="0.25">
      <c r="H241" s="725" t="s">
        <v>1279</v>
      </c>
    </row>
    <row r="242" spans="8:8" ht="27" customHeight="1" x14ac:dyDescent="0.25">
      <c r="H242" s="725" t="s">
        <v>923</v>
      </c>
    </row>
    <row r="243" spans="8:8" ht="27" customHeight="1" x14ac:dyDescent="0.25">
      <c r="H243" s="725" t="s">
        <v>924</v>
      </c>
    </row>
    <row r="244" spans="8:8" ht="27" customHeight="1" x14ac:dyDescent="0.25">
      <c r="H244" s="725" t="s">
        <v>925</v>
      </c>
    </row>
    <row r="245" spans="8:8" ht="27" customHeight="1" x14ac:dyDescent="0.25">
      <c r="H245" s="725" t="s">
        <v>926</v>
      </c>
    </row>
    <row r="246" spans="8:8" ht="42" customHeight="1" x14ac:dyDescent="0.25">
      <c r="H246" s="725" t="s">
        <v>927</v>
      </c>
    </row>
    <row r="247" spans="8:8" ht="27" customHeight="1" x14ac:dyDescent="0.25">
      <c r="H247" s="725" t="s">
        <v>928</v>
      </c>
    </row>
    <row r="248" spans="8:8" ht="27" customHeight="1" x14ac:dyDescent="0.25">
      <c r="H248" s="725" t="s">
        <v>1280</v>
      </c>
    </row>
    <row r="249" spans="8:8" ht="42" thickBot="1" x14ac:dyDescent="0.3">
      <c r="H249" s="726" t="s">
        <v>929</v>
      </c>
    </row>
  </sheetData>
  <sheetProtection password="C74A" sheet="1" objects="1" scenarios="1" formatCells="0" formatColumns="0" formatRows="0"/>
  <customSheetViews>
    <customSheetView guid="{B8E02330-2419-4DE6-AD01-7ACC7A5D18DD}" scale="75" topLeftCell="A171">
      <selection activeCell="A2" sqref="A2:H175"/>
      <pageMargins left="0.75" right="0.75" top="1" bottom="1" header="0.5" footer="0.5"/>
      <pageSetup orientation="portrait" r:id="rId1"/>
      <headerFooter alignWithMargins="0"/>
    </customSheetView>
  </customSheetViews>
  <mergeCells count="128">
    <mergeCell ref="C222:E222"/>
    <mergeCell ref="E1:H1"/>
    <mergeCell ref="A3:A7"/>
    <mergeCell ref="A8:A12"/>
    <mergeCell ref="A184:A188"/>
    <mergeCell ref="B39:B44"/>
    <mergeCell ref="B45:B50"/>
    <mergeCell ref="B71:B76"/>
    <mergeCell ref="A162:A167"/>
    <mergeCell ref="H207:H212"/>
    <mergeCell ref="B207:B212"/>
    <mergeCell ref="A207:A212"/>
    <mergeCell ref="A121:A126"/>
    <mergeCell ref="A145:A148"/>
    <mergeCell ref="A149:A153"/>
    <mergeCell ref="A154:A157"/>
    <mergeCell ref="A189:A195"/>
    <mergeCell ref="H60:H65"/>
    <mergeCell ref="A178:A182"/>
    <mergeCell ref="A158:A161"/>
    <mergeCell ref="B154:B157"/>
    <mergeCell ref="B149:B153"/>
    <mergeCell ref="B133:B136"/>
    <mergeCell ref="A137:A139"/>
    <mergeCell ref="A130:A132"/>
    <mergeCell ref="A128:A129"/>
    <mergeCell ref="C221:E221"/>
    <mergeCell ref="A1:B1"/>
    <mergeCell ref="A110:A116"/>
    <mergeCell ref="A77:A82"/>
    <mergeCell ref="B3:B7"/>
    <mergeCell ref="B51:B55"/>
    <mergeCell ref="B13:B18"/>
    <mergeCell ref="B32:B38"/>
    <mergeCell ref="B83:B86"/>
    <mergeCell ref="A13:A18"/>
    <mergeCell ref="B60:B65"/>
    <mergeCell ref="A60:A65"/>
    <mergeCell ref="B66:B70"/>
    <mergeCell ref="A66:A70"/>
    <mergeCell ref="B117:B120"/>
    <mergeCell ref="B110:B116"/>
    <mergeCell ref="B95:B102"/>
    <mergeCell ref="A19:A25"/>
    <mergeCell ref="A174:A177"/>
    <mergeCell ref="A168:A173"/>
    <mergeCell ref="A56:A59"/>
    <mergeCell ref="A51:A55"/>
    <mergeCell ref="A32:A38"/>
    <mergeCell ref="B19:B25"/>
    <mergeCell ref="B26:B31"/>
    <mergeCell ref="A89:A94"/>
    <mergeCell ref="A95:A102"/>
    <mergeCell ref="A117:A120"/>
    <mergeCell ref="A103:A109"/>
    <mergeCell ref="B89:B94"/>
    <mergeCell ref="B121:B126"/>
    <mergeCell ref="A39:A44"/>
    <mergeCell ref="B103:B109"/>
    <mergeCell ref="B56:B59"/>
    <mergeCell ref="B140:B144"/>
    <mergeCell ref="A133:A136"/>
    <mergeCell ref="A140:A144"/>
    <mergeCell ref="B128:B129"/>
    <mergeCell ref="D219:F219"/>
    <mergeCell ref="D215:F215"/>
    <mergeCell ref="H184:H188"/>
    <mergeCell ref="H203:H206"/>
    <mergeCell ref="H158:H161"/>
    <mergeCell ref="D218:F218"/>
    <mergeCell ref="D217:F217"/>
    <mergeCell ref="H189:H195"/>
    <mergeCell ref="H196:H202"/>
    <mergeCell ref="D216:F216"/>
    <mergeCell ref="B158:B161"/>
    <mergeCell ref="B168:B173"/>
    <mergeCell ref="B174:B177"/>
    <mergeCell ref="B196:B202"/>
    <mergeCell ref="B184:B188"/>
    <mergeCell ref="H162:H167"/>
    <mergeCell ref="H130:H132"/>
    <mergeCell ref="B130:B132"/>
    <mergeCell ref="B178:B182"/>
    <mergeCell ref="B145:B148"/>
    <mergeCell ref="H3:H7"/>
    <mergeCell ref="H128:H129"/>
    <mergeCell ref="H13:H18"/>
    <mergeCell ref="H95:H102"/>
    <mergeCell ref="H45:H50"/>
    <mergeCell ref="H103:H109"/>
    <mergeCell ref="H121:H126"/>
    <mergeCell ref="H110:H116"/>
    <mergeCell ref="H89:H94"/>
    <mergeCell ref="H117:H120"/>
    <mergeCell ref="H83:H86"/>
    <mergeCell ref="H19:H25"/>
    <mergeCell ref="H56:H59"/>
    <mergeCell ref="H32:H38"/>
    <mergeCell ref="H51:H55"/>
    <mergeCell ref="H39:H44"/>
    <mergeCell ref="H71:H76"/>
    <mergeCell ref="H77:H82"/>
    <mergeCell ref="H26:H31"/>
    <mergeCell ref="H66:H70"/>
    <mergeCell ref="A196:A202"/>
    <mergeCell ref="H140:H144"/>
    <mergeCell ref="H137:H139"/>
    <mergeCell ref="H133:H136"/>
    <mergeCell ref="B8:B12"/>
    <mergeCell ref="H8:H12"/>
    <mergeCell ref="D220:F220"/>
    <mergeCell ref="C215:C220"/>
    <mergeCell ref="A26:A31"/>
    <mergeCell ref="A71:A76"/>
    <mergeCell ref="A83:A86"/>
    <mergeCell ref="A203:A206"/>
    <mergeCell ref="H178:H182"/>
    <mergeCell ref="B77:B82"/>
    <mergeCell ref="H174:H177"/>
    <mergeCell ref="B137:B139"/>
    <mergeCell ref="B162:B167"/>
    <mergeCell ref="H145:H148"/>
    <mergeCell ref="H149:H153"/>
    <mergeCell ref="H168:H173"/>
    <mergeCell ref="H154:H157"/>
    <mergeCell ref="A45:A50"/>
    <mergeCell ref="B203:B206"/>
    <mergeCell ref="B189:B195"/>
  </mergeCells>
  <phoneticPr fontId="3" type="noConversion"/>
  <pageMargins left="0.75" right="0.75" top="1"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J274"/>
  <sheetViews>
    <sheetView zoomScaleNormal="100" workbookViewId="0">
      <selection activeCell="G243" sqref="G243:G250"/>
    </sheetView>
  </sheetViews>
  <sheetFormatPr defaultColWidth="9.33203125" defaultRowHeight="13.8" x14ac:dyDescent="0.25"/>
  <cols>
    <col min="1" max="1" width="5.77734375" style="40" customWidth="1"/>
    <col min="2" max="2" width="18.77734375" style="42" customWidth="1"/>
    <col min="3" max="3" width="75.77734375" style="40" customWidth="1"/>
    <col min="4" max="4" width="6.77734375" style="53" customWidth="1"/>
    <col min="5" max="5" width="8" style="53" customWidth="1"/>
    <col min="6" max="6" width="8.77734375" style="53" customWidth="1"/>
    <col min="7" max="7" width="13.33203125" style="39" customWidth="1"/>
    <col min="8" max="8" width="75.6640625" style="40" customWidth="1"/>
    <col min="9" max="9" width="16.6640625" style="40" customWidth="1"/>
    <col min="10" max="16384" width="9.33203125" style="40"/>
  </cols>
  <sheetData>
    <row r="1" spans="1:9" ht="81" customHeight="1" thickBot="1" x14ac:dyDescent="0.3">
      <c r="A1" s="1826" t="s">
        <v>1289</v>
      </c>
      <c r="B1" s="1827"/>
      <c r="C1" s="151" t="s">
        <v>576</v>
      </c>
      <c r="D1" s="240" t="s">
        <v>1174</v>
      </c>
      <c r="E1" s="1910"/>
      <c r="F1" s="1910"/>
      <c r="G1" s="1910"/>
      <c r="H1" s="1910"/>
    </row>
    <row r="2" spans="1:9" s="361" customFormat="1" ht="46.5" customHeight="1" thickBot="1" x14ac:dyDescent="0.3">
      <c r="A2" s="787" t="s">
        <v>126</v>
      </c>
      <c r="B2" s="787" t="s">
        <v>1458</v>
      </c>
      <c r="C2" s="831" t="s">
        <v>1271</v>
      </c>
      <c r="D2" s="787" t="s">
        <v>115</v>
      </c>
      <c r="E2" s="789" t="s">
        <v>771</v>
      </c>
      <c r="F2" s="787" t="s">
        <v>1462</v>
      </c>
      <c r="G2" s="790" t="s">
        <v>1273</v>
      </c>
      <c r="H2" s="787" t="s">
        <v>772</v>
      </c>
    </row>
    <row r="3" spans="1:9" ht="60" customHeight="1" thickBot="1" x14ac:dyDescent="0.3">
      <c r="A3" s="1909" t="str">
        <f>OF!A187</f>
        <v>OF35</v>
      </c>
      <c r="B3" s="1818" t="str">
        <f>OF!B187</f>
        <v>Runoff Contributing Area (RCA) - Wetland as % of (WetPctRCA)</v>
      </c>
      <c r="C3" s="114" t="str">
        <f>OF!C187</f>
        <v>Delimit the wetland's Runoff Contributing Area (RCA) using a topographic base map.  The area of the AA's wetland is:</v>
      </c>
      <c r="D3" s="65"/>
      <c r="E3" s="49"/>
      <c r="F3" s="59"/>
      <c r="G3" s="791">
        <f>(MAX(F4:F7))/MAX(E4:E7)</f>
        <v>0</v>
      </c>
      <c r="H3" s="1897" t="s">
        <v>1589</v>
      </c>
    </row>
    <row r="4" spans="1:9" ht="16.2" customHeight="1" x14ac:dyDescent="0.25">
      <c r="A4" s="1909"/>
      <c r="B4" s="1521"/>
      <c r="C4" s="11" t="str">
        <f>OF!C188</f>
        <v>&lt;1% of its RCA.</v>
      </c>
      <c r="D4" s="44">
        <f>OF!D188</f>
        <v>0</v>
      </c>
      <c r="E4" s="49">
        <v>0</v>
      </c>
      <c r="F4" s="45">
        <f>D4*E4</f>
        <v>0</v>
      </c>
      <c r="G4" s="792"/>
      <c r="H4" s="1582"/>
    </row>
    <row r="5" spans="1:9" ht="16.2" customHeight="1" x14ac:dyDescent="0.25">
      <c r="A5" s="1909"/>
      <c r="B5" s="1521"/>
      <c r="C5" s="286" t="str">
        <f>OF!C189</f>
        <v>1 to &lt;10% of its RCA.</v>
      </c>
      <c r="D5" s="44">
        <f>OF!D189</f>
        <v>0</v>
      </c>
      <c r="E5" s="49">
        <v>1</v>
      </c>
      <c r="F5" s="45">
        <f>D5*E5</f>
        <v>0</v>
      </c>
      <c r="G5" s="793"/>
      <c r="H5" s="1582"/>
    </row>
    <row r="6" spans="1:9" ht="16.2" customHeight="1" x14ac:dyDescent="0.25">
      <c r="A6" s="1909"/>
      <c r="B6" s="1521"/>
      <c r="C6" s="286" t="str">
        <f>OF!C190</f>
        <v>10 to 100% of its RCA.</v>
      </c>
      <c r="D6" s="44">
        <f>OF!D190</f>
        <v>0</v>
      </c>
      <c r="E6" s="49">
        <v>2</v>
      </c>
      <c r="F6" s="45">
        <f>D6*E6</f>
        <v>0</v>
      </c>
      <c r="G6" s="793"/>
      <c r="H6" s="1582"/>
    </row>
    <row r="7" spans="1:9" ht="16.2" customHeight="1" thickBot="1" x14ac:dyDescent="0.3">
      <c r="A7" s="1909"/>
      <c r="B7" s="1521"/>
      <c r="C7" s="286" t="str">
        <f>OF!C191</f>
        <v>Larger than the area of its RCA.  Enter 1 and SKIP TO OF39.</v>
      </c>
      <c r="D7" s="198">
        <f>OF!D191</f>
        <v>0</v>
      </c>
      <c r="E7" s="49">
        <v>3</v>
      </c>
      <c r="F7" s="54">
        <f>D7*E7</f>
        <v>0</v>
      </c>
      <c r="G7" s="800"/>
      <c r="H7" s="1582"/>
    </row>
    <row r="8" spans="1:9" ht="60" customHeight="1" thickBot="1" x14ac:dyDescent="0.3">
      <c r="A8" s="1799" t="str">
        <f>OF!A206</f>
        <v>OF39</v>
      </c>
      <c r="B8" s="1522" t="str">
        <f>OF!B206</f>
        <v>Streamflow Contributing Area (SCA) - Wetland as % of (WetPctSCA)</v>
      </c>
      <c r="C8" s="114" t="str">
        <f>OF!C206</f>
        <v>Delimit (or visualize, for large river basins) the wetland's Streamflow Contributing Area (SCA) using a topographic base map. The area of the AA's wetland is:</v>
      </c>
      <c r="D8" s="65"/>
      <c r="E8" s="210"/>
      <c r="F8" s="241"/>
      <c r="G8" s="791">
        <f>MAX(F9:F12)/MAX(E9:E12)</f>
        <v>0</v>
      </c>
      <c r="H8" s="1522" t="s">
        <v>124</v>
      </c>
    </row>
    <row r="9" spans="1:9" ht="16.2" customHeight="1" x14ac:dyDescent="0.25">
      <c r="A9" s="1800"/>
      <c r="B9" s="1521"/>
      <c r="C9" s="11" t="str">
        <f>OF!C207</f>
        <v>&lt;1% of its SCA, or wetland is in the floodplain of a major river.</v>
      </c>
      <c r="D9" s="44">
        <f>OF!D207</f>
        <v>0</v>
      </c>
      <c r="E9" s="49">
        <v>0</v>
      </c>
      <c r="F9" s="45">
        <f>D9*E9</f>
        <v>0</v>
      </c>
      <c r="G9" s="792"/>
      <c r="H9" s="1521"/>
    </row>
    <row r="10" spans="1:9" ht="16.2" customHeight="1" x14ac:dyDescent="0.25">
      <c r="A10" s="1800"/>
      <c r="B10" s="1521"/>
      <c r="C10" s="286" t="str">
        <f>OF!C208</f>
        <v>1 to &lt;10% of its SCA.</v>
      </c>
      <c r="D10" s="44">
        <f>OF!D208</f>
        <v>0</v>
      </c>
      <c r="E10" s="49">
        <v>1</v>
      </c>
      <c r="F10" s="45">
        <f>D10*E10</f>
        <v>0</v>
      </c>
      <c r="G10" s="793"/>
      <c r="H10" s="1521"/>
    </row>
    <row r="11" spans="1:9" ht="16.2" customHeight="1" x14ac:dyDescent="0.25">
      <c r="A11" s="1800"/>
      <c r="B11" s="1521"/>
      <c r="C11" s="286" t="str">
        <f>OF!C209</f>
        <v>10 to 100% of its SCA.</v>
      </c>
      <c r="D11" s="44">
        <f>OF!D209</f>
        <v>0</v>
      </c>
      <c r="E11" s="49">
        <v>2</v>
      </c>
      <c r="F11" s="45">
        <f>D11*E11</f>
        <v>0</v>
      </c>
      <c r="G11" s="793"/>
      <c r="H11" s="1521"/>
    </row>
    <row r="12" spans="1:9" ht="16.2" customHeight="1" thickBot="1" x14ac:dyDescent="0.3">
      <c r="A12" s="1801"/>
      <c r="B12" s="1523"/>
      <c r="C12" s="443" t="str">
        <f>OF!C210</f>
        <v>Larger than the area of its SCA.  Enter 1 and SKIP TO OF41.</v>
      </c>
      <c r="D12" s="17">
        <f>OF!D210</f>
        <v>0</v>
      </c>
      <c r="E12" s="49">
        <v>3</v>
      </c>
      <c r="F12" s="193">
        <f>D12*E12</f>
        <v>0</v>
      </c>
      <c r="G12" s="794"/>
      <c r="H12" s="1523"/>
    </row>
    <row r="13" spans="1:9" ht="45" customHeight="1" thickBot="1" x14ac:dyDescent="0.3">
      <c r="A13" s="1803" t="str">
        <f>F!A13</f>
        <v>F4</v>
      </c>
      <c r="B13" s="1521" t="str">
        <f>F!B13</f>
        <v>Flooded Persistently - % of AA (PermW)</v>
      </c>
      <c r="C13" s="75" t="str">
        <f>F!C13</f>
        <v xml:space="preserve">Identify the parts of the AA that still contain surface water even during the driest times of a normal year . At that time, the percentage of the AA that still contains surface water is: </v>
      </c>
      <c r="D13" s="549"/>
      <c r="E13" s="65"/>
      <c r="F13" s="60"/>
      <c r="G13" s="799">
        <f>IF((NeverWater+TempWet&gt;0),"",(MAX(F14:F17))/MAX(E14:E17))</f>
        <v>0</v>
      </c>
      <c r="H13" s="1582" t="s">
        <v>1608</v>
      </c>
      <c r="I13" s="2"/>
    </row>
    <row r="14" spans="1:9" ht="16.2" customHeight="1" x14ac:dyDescent="0.25">
      <c r="A14" s="1803"/>
      <c r="B14" s="1521"/>
      <c r="C14" s="215" t="str">
        <f>F!C14</f>
        <v>1 to &lt;25% of the AA.</v>
      </c>
      <c r="D14" s="44">
        <f>F!D14</f>
        <v>0</v>
      </c>
      <c r="E14" s="49">
        <v>4</v>
      </c>
      <c r="F14" s="45">
        <f>D14*E14</f>
        <v>0</v>
      </c>
      <c r="G14" s="792"/>
      <c r="H14" s="1582"/>
    </row>
    <row r="15" spans="1:9" ht="16.2" customHeight="1" x14ac:dyDescent="0.25">
      <c r="A15" s="1803"/>
      <c r="B15" s="1521"/>
      <c r="C15" s="216" t="str">
        <f>F!C15</f>
        <v>25 to &lt;50% of the AA.</v>
      </c>
      <c r="D15" s="44">
        <f>F!D15</f>
        <v>0</v>
      </c>
      <c r="E15" s="49">
        <v>3</v>
      </c>
      <c r="F15" s="45">
        <f>D15*E15</f>
        <v>0</v>
      </c>
      <c r="G15" s="793"/>
      <c r="H15" s="1582"/>
    </row>
    <row r="16" spans="1:9" ht="16.2" customHeight="1" x14ac:dyDescent="0.25">
      <c r="A16" s="1803"/>
      <c r="B16" s="1521"/>
      <c r="C16" s="216" t="str">
        <f>F!C16</f>
        <v>50 to 95% of the AA.</v>
      </c>
      <c r="D16" s="44">
        <f>F!D16</f>
        <v>0</v>
      </c>
      <c r="E16" s="49">
        <v>1</v>
      </c>
      <c r="F16" s="45">
        <f>D16*E16</f>
        <v>0</v>
      </c>
      <c r="G16" s="793"/>
      <c r="H16" s="1582"/>
    </row>
    <row r="17" spans="1:9" ht="16.2" customHeight="1" thickBot="1" x14ac:dyDescent="0.3">
      <c r="A17" s="1803"/>
      <c r="B17" s="1521"/>
      <c r="C17" s="95" t="str">
        <f>F!C17</f>
        <v>&gt;95% of the AA.</v>
      </c>
      <c r="D17" s="17">
        <f>F!D17</f>
        <v>0</v>
      </c>
      <c r="E17" s="67">
        <v>0</v>
      </c>
      <c r="F17" s="54">
        <f>D17*E17</f>
        <v>0</v>
      </c>
      <c r="G17" s="800"/>
      <c r="H17" s="1582"/>
    </row>
    <row r="18" spans="1:9" ht="30" customHeight="1" thickBot="1" x14ac:dyDescent="0.3">
      <c r="A18" s="1804" t="str">
        <f>F!A18</f>
        <v>F5</v>
      </c>
      <c r="B18" s="1522" t="str">
        <f>F!B18</f>
        <v>Depth Class (Predominant)  (DepthDom)</v>
      </c>
      <c r="C18" s="75" t="str">
        <f>F!C18</f>
        <v>When water is present in the AA, the depth most of the time in most of inundated area is: 
[Note: NOT necessarily the maximum spatial or annual depth]</v>
      </c>
      <c r="D18" s="549"/>
      <c r="E18" s="210"/>
      <c r="F18" s="241"/>
      <c r="G18" s="804">
        <f>IF((NeverWater+TempWet&gt;0),"",(MAX(F19:F23))/MAX(E19:E23))</f>
        <v>0</v>
      </c>
      <c r="H18" s="1522" t="s">
        <v>1609</v>
      </c>
      <c r="I18" s="2"/>
    </row>
    <row r="19" spans="1:9" ht="16.2" customHeight="1" x14ac:dyDescent="0.25">
      <c r="A19" s="1805"/>
      <c r="B19" s="1521"/>
      <c r="C19" s="215" t="str">
        <f>F!C19</f>
        <v>&gt;0 to &lt;0.5 ft.</v>
      </c>
      <c r="D19" s="44">
        <f>F!D19</f>
        <v>0</v>
      </c>
      <c r="E19" s="49">
        <v>1</v>
      </c>
      <c r="F19" s="45">
        <f>D19*E19</f>
        <v>0</v>
      </c>
      <c r="G19" s="792"/>
      <c r="H19" s="1521"/>
    </row>
    <row r="20" spans="1:9" ht="16.2" customHeight="1" x14ac:dyDescent="0.25">
      <c r="A20" s="1805"/>
      <c r="B20" s="1521"/>
      <c r="C20" s="216" t="str">
        <f>F!C20</f>
        <v>0.5 to &lt; 1 ft deep.</v>
      </c>
      <c r="D20" s="44">
        <f>F!D20</f>
        <v>0</v>
      </c>
      <c r="E20" s="49">
        <v>2</v>
      </c>
      <c r="F20" s="45">
        <f>D20*E20</f>
        <v>0</v>
      </c>
      <c r="G20" s="793"/>
      <c r="H20" s="1521"/>
    </row>
    <row r="21" spans="1:9" ht="16.2" customHeight="1" x14ac:dyDescent="0.25">
      <c r="A21" s="1805"/>
      <c r="B21" s="1521"/>
      <c r="C21" s="216" t="str">
        <f>F!C21</f>
        <v>1 to &lt;3 ft deep.</v>
      </c>
      <c r="D21" s="44">
        <f>F!D21</f>
        <v>0</v>
      </c>
      <c r="E21" s="49">
        <v>5</v>
      </c>
      <c r="F21" s="45">
        <f>D21*E21</f>
        <v>0</v>
      </c>
      <c r="G21" s="793"/>
      <c r="H21" s="1521"/>
    </row>
    <row r="22" spans="1:9" ht="16.2" customHeight="1" x14ac:dyDescent="0.25">
      <c r="A22" s="1805"/>
      <c r="B22" s="1521"/>
      <c r="C22" s="216" t="str">
        <f>F!C22</f>
        <v>3 to 6 ft deep.</v>
      </c>
      <c r="D22" s="44">
        <f>F!D22</f>
        <v>0</v>
      </c>
      <c r="E22" s="49">
        <v>4</v>
      </c>
      <c r="F22" s="45">
        <f>D22*E22</f>
        <v>0</v>
      </c>
      <c r="G22" s="793"/>
      <c r="H22" s="1521"/>
    </row>
    <row r="23" spans="1:9" ht="16.2" customHeight="1" thickBot="1" x14ac:dyDescent="0.3">
      <c r="A23" s="1806"/>
      <c r="B23" s="1523"/>
      <c r="C23" s="254" t="str">
        <f>F!C23</f>
        <v>&gt;6 ft deep.</v>
      </c>
      <c r="D23" s="17">
        <f>F!D23</f>
        <v>0</v>
      </c>
      <c r="E23" s="245">
        <v>3</v>
      </c>
      <c r="F23" s="193">
        <f>D23*E23</f>
        <v>0</v>
      </c>
      <c r="G23" s="794"/>
      <c r="H23" s="1523"/>
    </row>
    <row r="24" spans="1:9" ht="45" customHeight="1" thickBot="1" x14ac:dyDescent="0.3">
      <c r="A24" s="1803" t="str">
        <f>F!A28</f>
        <v>F7</v>
      </c>
      <c r="B24" s="1521" t="str">
        <f>F!B28</f>
        <v>Emergent Plants -- Area (EmArea)</v>
      </c>
      <c r="C24" s="75" t="str">
        <f>F!C28</f>
        <v>Consider just the area that has surface water for &gt;1 week during the growing season.  Herbaceous plants (not moss, not woody) whose foliage extends above a water surface in this area (i.e., emergents) cumulatively occupy an annual maximum of:</v>
      </c>
      <c r="D24" s="549"/>
      <c r="E24" s="65"/>
      <c r="F24" s="46"/>
      <c r="G24" s="799">
        <f>IF((NeverWater+TempWet&gt;0),"", (MAX(F25:F30))/MAX(E25:E30))</f>
        <v>0</v>
      </c>
      <c r="H24" s="1521" t="s">
        <v>1610</v>
      </c>
      <c r="I24" s="2"/>
    </row>
    <row r="25" spans="1:9" ht="24" customHeight="1" x14ac:dyDescent="0.25">
      <c r="A25" s="1803"/>
      <c r="B25" s="1521"/>
      <c r="C25" s="215" t="str">
        <f>F!C29</f>
        <v>&lt;0.01 acre (&lt; 400 sq.ft).  Enter 1 and SKIP TO F10, unless only part of a wetland is being assessed.</v>
      </c>
      <c r="D25" s="44">
        <f>F!D29</f>
        <v>0</v>
      </c>
      <c r="E25" s="49">
        <v>1</v>
      </c>
      <c r="F25" s="45">
        <f t="shared" ref="F25:F30" si="0">D25*E25</f>
        <v>0</v>
      </c>
      <c r="G25" s="793"/>
      <c r="H25" s="1521"/>
    </row>
    <row r="26" spans="1:9" ht="16.2" customHeight="1" x14ac:dyDescent="0.25">
      <c r="A26" s="1803"/>
      <c r="B26" s="1521"/>
      <c r="C26" s="216" t="str">
        <f>F!C30</f>
        <v>0.01 to&lt; 0.10 acres (3,920 sq. ft).</v>
      </c>
      <c r="D26" s="44">
        <f>F!D30</f>
        <v>0</v>
      </c>
      <c r="E26" s="49">
        <v>2</v>
      </c>
      <c r="F26" s="45">
        <f t="shared" si="0"/>
        <v>0</v>
      </c>
      <c r="G26" s="793"/>
      <c r="H26" s="1521"/>
    </row>
    <row r="27" spans="1:9" ht="16.2" customHeight="1" x14ac:dyDescent="0.25">
      <c r="A27" s="1803"/>
      <c r="B27" s="1521"/>
      <c r="C27" s="216" t="str">
        <f>F!C31</f>
        <v>0.10 to &lt;0.50 acres (21,340 sq. ft).</v>
      </c>
      <c r="D27" s="44">
        <f>F!D31</f>
        <v>0</v>
      </c>
      <c r="E27" s="49">
        <v>3</v>
      </c>
      <c r="F27" s="45">
        <f t="shared" si="0"/>
        <v>0</v>
      </c>
      <c r="G27" s="793"/>
      <c r="H27" s="1521"/>
    </row>
    <row r="28" spans="1:9" ht="16.2" customHeight="1" x14ac:dyDescent="0.25">
      <c r="A28" s="1803"/>
      <c r="B28" s="1521"/>
      <c r="C28" s="216" t="str">
        <f>F!C32</f>
        <v>0.50 to &lt;5 acres.</v>
      </c>
      <c r="D28" s="44">
        <f>F!D32</f>
        <v>0</v>
      </c>
      <c r="E28" s="49">
        <v>4</v>
      </c>
      <c r="F28" s="45">
        <f t="shared" si="0"/>
        <v>0</v>
      </c>
      <c r="G28" s="793"/>
      <c r="H28" s="1521"/>
    </row>
    <row r="29" spans="1:9" ht="16.2" customHeight="1" x14ac:dyDescent="0.25">
      <c r="A29" s="1803"/>
      <c r="B29" s="1521"/>
      <c r="C29" s="216" t="str">
        <f>F!C33</f>
        <v>5 to 50 acres.</v>
      </c>
      <c r="D29" s="44">
        <f>F!D33</f>
        <v>0</v>
      </c>
      <c r="E29" s="49">
        <v>5</v>
      </c>
      <c r="F29" s="45">
        <f t="shared" si="0"/>
        <v>0</v>
      </c>
      <c r="G29" s="793"/>
      <c r="H29" s="1521"/>
    </row>
    <row r="30" spans="1:9" ht="16.2" customHeight="1" thickBot="1" x14ac:dyDescent="0.3">
      <c r="A30" s="1803"/>
      <c r="B30" s="1521"/>
      <c r="C30" s="95" t="str">
        <f>F!C34</f>
        <v>&gt;50 acres.</v>
      </c>
      <c r="D30" s="17">
        <f>F!D34</f>
        <v>0</v>
      </c>
      <c r="E30" s="67">
        <v>6</v>
      </c>
      <c r="F30" s="54">
        <f t="shared" si="0"/>
        <v>0</v>
      </c>
      <c r="G30" s="800"/>
      <c r="H30" s="1521"/>
    </row>
    <row r="31" spans="1:9" ht="21" customHeight="1" thickBot="1" x14ac:dyDescent="0.3">
      <c r="A31" s="1804" t="str">
        <f>F!A35</f>
        <v>F8</v>
      </c>
      <c r="B31" s="1522" t="str">
        <f>F!B35</f>
        <v>% Emergent Plants (EmPct)</v>
      </c>
      <c r="C31" s="4" t="str">
        <f>F!C35</f>
        <v>Emergent plants occupy an annual maximum of:</v>
      </c>
      <c r="D31" s="210"/>
      <c r="E31" s="210"/>
      <c r="F31" s="241"/>
      <c r="G31" s="804">
        <f>IF((NeverWater+TempWet&gt;0),"",IF((NoEm=1),"",(MAX(F32:F36))/MAX(E32:E36)))</f>
        <v>0</v>
      </c>
      <c r="H31" s="1522" t="s">
        <v>1749</v>
      </c>
    </row>
    <row r="32" spans="1:9" ht="16.2" customHeight="1" x14ac:dyDescent="0.25">
      <c r="A32" s="1805"/>
      <c r="B32" s="1521"/>
      <c r="C32" s="215" t="str">
        <f>F!C36</f>
        <v>&lt;5% of the parts of the AA that are inundated for &gt;7 days at some time of the year.</v>
      </c>
      <c r="D32" s="44">
        <f>F!D36</f>
        <v>0</v>
      </c>
      <c r="E32" s="49">
        <v>0</v>
      </c>
      <c r="F32" s="45">
        <f>D32*E32</f>
        <v>0</v>
      </c>
      <c r="G32" s="793"/>
      <c r="H32" s="1521"/>
    </row>
    <row r="33" spans="1:8" ht="16.2" customHeight="1" x14ac:dyDescent="0.25">
      <c r="A33" s="1805"/>
      <c r="B33" s="1521"/>
      <c r="C33" s="216" t="str">
        <f>F!C37</f>
        <v>5 to &lt;30% of the parts of the AA that are inundated for &gt;7 days at some time of the year.</v>
      </c>
      <c r="D33" s="44">
        <f>F!D37</f>
        <v>0</v>
      </c>
      <c r="E33" s="49">
        <v>4</v>
      </c>
      <c r="F33" s="45">
        <f>D33*E33</f>
        <v>0</v>
      </c>
      <c r="G33" s="793"/>
      <c r="H33" s="1521"/>
    </row>
    <row r="34" spans="1:8" ht="16.2" customHeight="1" x14ac:dyDescent="0.25">
      <c r="A34" s="1805"/>
      <c r="B34" s="1521"/>
      <c r="C34" s="216" t="str">
        <f>F!C38</f>
        <v>30 to &lt;60% of the parts of the AA that are inundated for &gt;7 days at some time of the year.</v>
      </c>
      <c r="D34" s="44">
        <f>F!D38</f>
        <v>0</v>
      </c>
      <c r="E34" s="49">
        <v>3</v>
      </c>
      <c r="F34" s="45">
        <f>D34*E34</f>
        <v>0</v>
      </c>
      <c r="G34" s="793"/>
      <c r="H34" s="1521"/>
    </row>
    <row r="35" spans="1:8" ht="16.2" customHeight="1" x14ac:dyDescent="0.25">
      <c r="A35" s="1805"/>
      <c r="B35" s="1521"/>
      <c r="C35" s="216" t="str">
        <f>F!C39</f>
        <v>60 to 95% of the parts of the AA that are inundated for &gt;7 days at some time of the year.</v>
      </c>
      <c r="D35" s="44">
        <f>F!D39</f>
        <v>0</v>
      </c>
      <c r="E35" s="49">
        <v>2</v>
      </c>
      <c r="F35" s="45">
        <f>D35*E35</f>
        <v>0</v>
      </c>
      <c r="G35" s="793"/>
      <c r="H35" s="1521"/>
    </row>
    <row r="36" spans="1:8" ht="16.2" customHeight="1" thickBot="1" x14ac:dyDescent="0.3">
      <c r="A36" s="1806"/>
      <c r="B36" s="1523"/>
      <c r="C36" s="254" t="str">
        <f>F!C40</f>
        <v>&gt;95% of the parts of the AA that are inundated for &gt;7 days at some time of the year.</v>
      </c>
      <c r="D36" s="17">
        <f>F!D40</f>
        <v>0</v>
      </c>
      <c r="E36" s="245">
        <v>1</v>
      </c>
      <c r="F36" s="193">
        <f>D36*E36</f>
        <v>0</v>
      </c>
      <c r="G36" s="794"/>
      <c r="H36" s="1523"/>
    </row>
    <row r="37" spans="1:8" ht="55.5" customHeight="1" thickBot="1" x14ac:dyDescent="0.3">
      <c r="A37" s="1803" t="str">
        <f>F!A76</f>
        <v>F15</v>
      </c>
      <c r="B37" s="1521" t="str">
        <f>F!B76</f>
        <v>Width of Vegetated Zone - Wettest  (WidthWet)</v>
      </c>
      <c r="C37" s="114" t="str">
        <f>F!C76</f>
        <v>When water levels are highest, during a normal year, the width of the vegetated wetland  that separates the largest patch of open water within or bordering the AA from the closest adjacent uplands, is predominantly: 
[Note: This is not asking for the maximum width.]</v>
      </c>
      <c r="D37" s="210"/>
      <c r="E37" s="65"/>
      <c r="F37" s="60"/>
      <c r="G37" s="799">
        <f>IF((NeverWater+TempWet&gt;0),"", IF((NoPond=1),"", (MAX(F38:F43))/MAX(E38:E43)))</f>
        <v>0</v>
      </c>
      <c r="H37" s="1521" t="s">
        <v>1691</v>
      </c>
    </row>
    <row r="38" spans="1:8" ht="16.2" customHeight="1" x14ac:dyDescent="0.25">
      <c r="A38" s="1803"/>
      <c r="B38" s="1521"/>
      <c r="C38" s="11" t="str">
        <f>F!C77</f>
        <v>&lt;5 ft, or no vegetation between upland and open water.</v>
      </c>
      <c r="D38" s="44">
        <f>F!D77</f>
        <v>0</v>
      </c>
      <c r="E38" s="49">
        <v>0</v>
      </c>
      <c r="F38" s="45">
        <f t="shared" ref="F38:F43" si="1">D38*E38</f>
        <v>0</v>
      </c>
      <c r="G38" s="792"/>
      <c r="H38" s="1521"/>
    </row>
    <row r="39" spans="1:8" ht="16.2" customHeight="1" x14ac:dyDescent="0.25">
      <c r="A39" s="1803"/>
      <c r="B39" s="1521"/>
      <c r="C39" s="286" t="str">
        <f>F!C78</f>
        <v>5 to &lt;30 ft.</v>
      </c>
      <c r="D39" s="44">
        <f>F!D78</f>
        <v>0</v>
      </c>
      <c r="E39" s="49">
        <v>2</v>
      </c>
      <c r="F39" s="45">
        <f t="shared" si="1"/>
        <v>0</v>
      </c>
      <c r="G39" s="793"/>
      <c r="H39" s="1521"/>
    </row>
    <row r="40" spans="1:8" ht="16.2" customHeight="1" x14ac:dyDescent="0.25">
      <c r="A40" s="1803"/>
      <c r="B40" s="1521"/>
      <c r="C40" s="286" t="str">
        <f>F!C79</f>
        <v>30 to &lt;50 ft.</v>
      </c>
      <c r="D40" s="44">
        <f>F!D79</f>
        <v>0</v>
      </c>
      <c r="E40" s="49">
        <v>3</v>
      </c>
      <c r="F40" s="45">
        <f t="shared" si="1"/>
        <v>0</v>
      </c>
      <c r="G40" s="793"/>
      <c r="H40" s="1521"/>
    </row>
    <row r="41" spans="1:8" ht="16.2" customHeight="1" x14ac:dyDescent="0.25">
      <c r="A41" s="1803"/>
      <c r="B41" s="1521"/>
      <c r="C41" s="286" t="str">
        <f>F!C80</f>
        <v>50 to &lt;100 ft.</v>
      </c>
      <c r="D41" s="44">
        <f>F!D80</f>
        <v>0</v>
      </c>
      <c r="E41" s="49">
        <v>4</v>
      </c>
      <c r="F41" s="45">
        <f t="shared" si="1"/>
        <v>0</v>
      </c>
      <c r="G41" s="793"/>
      <c r="H41" s="1521"/>
    </row>
    <row r="42" spans="1:8" ht="16.2" customHeight="1" x14ac:dyDescent="0.25">
      <c r="A42" s="1803"/>
      <c r="B42" s="1521"/>
      <c r="C42" s="286" t="str">
        <f>F!C81</f>
        <v>100 to 300 ft.</v>
      </c>
      <c r="D42" s="44">
        <f>F!D81</f>
        <v>0</v>
      </c>
      <c r="E42" s="49">
        <v>5</v>
      </c>
      <c r="F42" s="45">
        <f t="shared" si="1"/>
        <v>0</v>
      </c>
      <c r="G42" s="800"/>
      <c r="H42" s="1521"/>
    </row>
    <row r="43" spans="1:8" ht="16.2" customHeight="1" thickBot="1" x14ac:dyDescent="0.3">
      <c r="A43" s="1803"/>
      <c r="B43" s="1521"/>
      <c r="C43" s="286" t="str">
        <f>F!C82</f>
        <v>&gt; 300 ft.</v>
      </c>
      <c r="D43" s="17">
        <f>F!D82</f>
        <v>0</v>
      </c>
      <c r="E43" s="67">
        <v>6</v>
      </c>
      <c r="F43" s="58">
        <f t="shared" si="1"/>
        <v>0</v>
      </c>
      <c r="G43" s="800"/>
      <c r="H43" s="1521"/>
    </row>
    <row r="44" spans="1:8" ht="93" customHeight="1" thickBot="1" x14ac:dyDescent="0.3">
      <c r="A44" s="833" t="str">
        <f>F!A105</f>
        <v>F19</v>
      </c>
      <c r="B44" s="114" t="str">
        <f>F!B105</f>
        <v>Floating Algae &amp; Duckweed (Algae)</v>
      </c>
      <c r="C44" s="466" t="str">
        <f>F!C105</f>
        <v>At some time of the year, most of the AA's otherwise-unshaded water surface is covered by floating mats of algae, or small (&lt;1 inch) floating plants such as duckweed, Azolla, Wolffia, or Riccia.  Enter 1, if true.</v>
      </c>
      <c r="D44" s="834">
        <f>F!D105</f>
        <v>0</v>
      </c>
      <c r="E44" s="260"/>
      <c r="F44" s="835"/>
      <c r="G44" s="804">
        <f>IF((NoPond2=1),"",IF((NoPondOW2=1),"",IF((D44=1),0,1)))</f>
        <v>1</v>
      </c>
      <c r="H44" s="114" t="s">
        <v>1692</v>
      </c>
    </row>
    <row r="45" spans="1:8" ht="30" customHeight="1" thickBot="1" x14ac:dyDescent="0.3">
      <c r="A45" s="1803" t="str">
        <f>F!A106</f>
        <v>F20</v>
      </c>
      <c r="B45" s="1521" t="str">
        <f>F!B106</f>
        <v xml:space="preserve">Floating-leaved &amp; Submerged Aquatic Vegetation (SAV)  </v>
      </c>
      <c r="C45" s="836" t="str">
        <f>F!C106</f>
        <v>SAV (submerged &amp; floating-leaved aquatic vegetation, excluding the species listed above) occupies an annual maximum of:</v>
      </c>
      <c r="D45" s="549"/>
      <c r="E45" s="65"/>
      <c r="F45" s="46"/>
      <c r="G45" s="799">
        <f>IF((NeverWater+TempWet&gt;0),"",IF((NoPond2=1),"",IF((NoPondOW2=1),"",(MAX(F46:F51))/MAX(E46:E51))))</f>
        <v>0</v>
      </c>
      <c r="H45" s="1521" t="s">
        <v>1693</v>
      </c>
    </row>
    <row r="46" spans="1:8" ht="16.2" customHeight="1" x14ac:dyDescent="0.25">
      <c r="A46" s="1803"/>
      <c r="B46" s="1521"/>
      <c r="C46" s="449" t="str">
        <f>F!C107</f>
        <v>none, or &lt;5% of the water area.</v>
      </c>
      <c r="D46" s="44">
        <f>F!D107</f>
        <v>0</v>
      </c>
      <c r="E46" s="49">
        <v>5</v>
      </c>
      <c r="F46" s="45">
        <f>D46*E46</f>
        <v>0</v>
      </c>
      <c r="G46" s="59"/>
      <c r="H46" s="1521"/>
    </row>
    <row r="47" spans="1:8" ht="16.2" customHeight="1" x14ac:dyDescent="0.25">
      <c r="A47" s="1803"/>
      <c r="B47" s="1521"/>
      <c r="C47" s="450" t="str">
        <f>F!C108</f>
        <v>5 to &lt;25% of the water area.</v>
      </c>
      <c r="D47" s="44">
        <f>F!D108</f>
        <v>0</v>
      </c>
      <c r="E47" s="49">
        <v>4</v>
      </c>
      <c r="F47" s="45">
        <f>D47*E47</f>
        <v>0</v>
      </c>
      <c r="G47" s="59"/>
      <c r="H47" s="1521"/>
    </row>
    <row r="48" spans="1:8" ht="16.2" customHeight="1" x14ac:dyDescent="0.25">
      <c r="A48" s="1803"/>
      <c r="B48" s="1521"/>
      <c r="C48" s="450" t="str">
        <f>F!C109</f>
        <v>25 to &lt;50% of the water area.</v>
      </c>
      <c r="D48" s="44">
        <f>F!D109</f>
        <v>0</v>
      </c>
      <c r="E48" s="49">
        <v>3</v>
      </c>
      <c r="F48" s="45">
        <f>D48*E48</f>
        <v>0</v>
      </c>
      <c r="G48" s="59"/>
      <c r="H48" s="1521"/>
    </row>
    <row r="49" spans="1:9" ht="16.2" customHeight="1" x14ac:dyDescent="0.25">
      <c r="A49" s="1803"/>
      <c r="B49" s="1521"/>
      <c r="C49" s="450" t="str">
        <f>F!C110</f>
        <v>50 to 95% of the water area.</v>
      </c>
      <c r="D49" s="44">
        <f>F!D110</f>
        <v>0</v>
      </c>
      <c r="E49" s="49">
        <v>2</v>
      </c>
      <c r="F49" s="45">
        <f>D49*E49</f>
        <v>0</v>
      </c>
      <c r="G49" s="59"/>
      <c r="H49" s="1521"/>
    </row>
    <row r="50" spans="1:9" ht="16.2" customHeight="1" x14ac:dyDescent="0.25">
      <c r="A50" s="1803"/>
      <c r="B50" s="1521"/>
      <c r="C50" s="450" t="str">
        <f>F!C111</f>
        <v>&gt;95% of the water area.</v>
      </c>
      <c r="D50" s="44">
        <f>F!D111</f>
        <v>0</v>
      </c>
      <c r="E50" s="49">
        <v>1</v>
      </c>
      <c r="F50" s="45">
        <f>D50*E50</f>
        <v>0</v>
      </c>
      <c r="G50" s="59"/>
      <c r="H50" s="1521"/>
    </row>
    <row r="51" spans="1:9" ht="16.2" customHeight="1" thickBot="1" x14ac:dyDescent="0.3">
      <c r="A51" s="1803"/>
      <c r="B51" s="1521"/>
      <c r="C51" s="286" t="str">
        <f>F!C112</f>
        <v>many SAV plants present, but impossible to select from the above categories.</v>
      </c>
      <c r="D51" s="17">
        <f>F!D112</f>
        <v>0</v>
      </c>
      <c r="E51" s="67"/>
      <c r="F51" s="54"/>
      <c r="G51" s="58"/>
      <c r="H51" s="1521"/>
    </row>
    <row r="52" spans="1:9" ht="92.25" customHeight="1" thickBot="1" x14ac:dyDescent="0.3">
      <c r="A52" s="833" t="str">
        <f>F!A127</f>
        <v>F24</v>
      </c>
      <c r="B52" s="114" t="str">
        <f>F!B127</f>
        <v>Ice-free (IceDura)</v>
      </c>
      <c r="C52" s="466" t="str">
        <f>F!C127</f>
        <v>During most years, most of the AA's surface water (if any) does not freeze, or freezes for fewer than 4 continuous weeks. Enter 1, if true.</v>
      </c>
      <c r="D52" s="220">
        <f>F!D127</f>
        <v>0</v>
      </c>
      <c r="E52" s="260"/>
      <c r="F52" s="835"/>
      <c r="G52" s="804">
        <f>IF((NeverWater+TempWet&gt;0),"",D52)</f>
        <v>0</v>
      </c>
      <c r="H52" s="114" t="s">
        <v>1611</v>
      </c>
      <c r="I52" s="2"/>
    </row>
    <row r="53" spans="1:9" ht="24" customHeight="1" thickBot="1" x14ac:dyDescent="0.3">
      <c r="A53" s="837" t="str">
        <f>F!A128</f>
        <v>F25</v>
      </c>
      <c r="B53" s="1522" t="str">
        <f>F!B128</f>
        <v>Water Fluctuation Range - Maximum  (Fluctu)</v>
      </c>
      <c r="C53" s="836" t="str">
        <f>F!C128</f>
        <v>The maximum vertical fluctuation in surface water within the AA, during a normal year is:</v>
      </c>
      <c r="D53" s="549"/>
      <c r="E53" s="210"/>
      <c r="F53" s="241"/>
      <c r="G53" s="816">
        <f>MAX(F54:F58)/MAX(E54:E58)</f>
        <v>0</v>
      </c>
      <c r="H53" s="1911" t="s">
        <v>1162</v>
      </c>
      <c r="I53" s="2"/>
    </row>
    <row r="54" spans="1:9" ht="16.2" customHeight="1" x14ac:dyDescent="0.25">
      <c r="A54" s="839"/>
      <c r="B54" s="1521"/>
      <c r="C54" s="840" t="str">
        <f>F!C129</f>
        <v>&lt;0.5 ft or stable.</v>
      </c>
      <c r="D54" s="44">
        <f>F!D129</f>
        <v>0</v>
      </c>
      <c r="E54" s="49">
        <v>5</v>
      </c>
      <c r="F54" s="45">
        <f>D54*E54</f>
        <v>0</v>
      </c>
      <c r="G54" s="796"/>
      <c r="H54" s="1912"/>
    </row>
    <row r="55" spans="1:9" ht="16.2" customHeight="1" x14ac:dyDescent="0.25">
      <c r="A55" s="839"/>
      <c r="B55" s="1521"/>
      <c r="C55" s="840" t="str">
        <f>F!C130</f>
        <v>0.5 to &lt; 1 ft.</v>
      </c>
      <c r="D55" s="44">
        <f>F!D130</f>
        <v>0</v>
      </c>
      <c r="E55" s="65">
        <v>4</v>
      </c>
      <c r="F55" s="46">
        <f>D55*E55</f>
        <v>0</v>
      </c>
      <c r="G55" s="796"/>
      <c r="H55" s="1912"/>
    </row>
    <row r="56" spans="1:9" ht="16.2" customHeight="1" x14ac:dyDescent="0.25">
      <c r="A56" s="839"/>
      <c r="B56" s="1521"/>
      <c r="C56" s="728" t="str">
        <f>F!C131</f>
        <v>1 to &lt;3 ft.</v>
      </c>
      <c r="D56" s="44">
        <f>F!D131</f>
        <v>0</v>
      </c>
      <c r="E56" s="49">
        <v>3</v>
      </c>
      <c r="F56" s="45">
        <f>D56*E56</f>
        <v>0</v>
      </c>
      <c r="G56" s="797"/>
      <c r="H56" s="1912"/>
    </row>
    <row r="57" spans="1:9" ht="16.2" customHeight="1" x14ac:dyDescent="0.25">
      <c r="A57" s="839"/>
      <c r="B57" s="1521"/>
      <c r="C57" s="728" t="str">
        <f>F!C132</f>
        <v>3 to 6 ft.</v>
      </c>
      <c r="D57" s="44">
        <f>F!D132</f>
        <v>0</v>
      </c>
      <c r="E57" s="49">
        <v>2</v>
      </c>
      <c r="F57" s="45">
        <f>D57*E57</f>
        <v>0</v>
      </c>
      <c r="G57" s="803"/>
      <c r="H57" s="1912"/>
    </row>
    <row r="58" spans="1:9" ht="16.2" customHeight="1" thickBot="1" x14ac:dyDescent="0.3">
      <c r="A58" s="841"/>
      <c r="B58" s="1523"/>
      <c r="C58" s="729" t="str">
        <f>F!C133</f>
        <v>&gt;6 ft.</v>
      </c>
      <c r="D58" s="17">
        <f>F!D133</f>
        <v>0</v>
      </c>
      <c r="E58" s="245">
        <v>1</v>
      </c>
      <c r="F58" s="193">
        <f>D58*E58</f>
        <v>0</v>
      </c>
      <c r="G58" s="798"/>
      <c r="H58" s="1913"/>
    </row>
    <row r="59" spans="1:9" ht="21" customHeight="1" thickBot="1" x14ac:dyDescent="0.3">
      <c r="A59" s="1804" t="str">
        <f>F!A140</f>
        <v>F27</v>
      </c>
      <c r="B59" s="1522" t="str">
        <f>F!B140</f>
        <v>Salinity, Alkalinity, Conductance (Salin)</v>
      </c>
      <c r="C59" s="4" t="str">
        <f>F!C140</f>
        <v>The AA's surface water is mostly:</v>
      </c>
      <c r="D59" s="210"/>
      <c r="E59" s="210"/>
      <c r="F59" s="241"/>
      <c r="G59" s="804">
        <f>IF((D63=1),"",(MAX(F60:F63))/MAX(E60:E63))</f>
        <v>0</v>
      </c>
      <c r="H59" s="1599" t="s">
        <v>1612</v>
      </c>
      <c r="I59" s="2"/>
    </row>
    <row r="60" spans="1:9" ht="42" customHeight="1" x14ac:dyDescent="0.25">
      <c r="A60" s="1805"/>
      <c r="B60" s="1521"/>
      <c r="C60" s="215" t="str">
        <f>F!C141</f>
        <v>Brackish or saline. Plants that indicate saline conditions dominate the vegetation. Salt crust may be obvious around the perimeter and on flats.</v>
      </c>
      <c r="D60" s="44">
        <f>F!D141</f>
        <v>0</v>
      </c>
      <c r="E60" s="49">
        <v>2</v>
      </c>
      <c r="F60" s="45">
        <f>D60*E60</f>
        <v>0</v>
      </c>
      <c r="G60" s="792"/>
      <c r="H60" s="1582"/>
    </row>
    <row r="61" spans="1:9" ht="27" customHeight="1" x14ac:dyDescent="0.25">
      <c r="A61" s="1805"/>
      <c r="B61" s="1521"/>
      <c r="C61" s="216" t="str">
        <f>F!C142</f>
        <v>Slightly brackish.  Plants that indicate saline conditions are common.  Salt crust may or may not be present along perimeter.</v>
      </c>
      <c r="D61" s="44">
        <f>F!D142</f>
        <v>0</v>
      </c>
      <c r="E61" s="49">
        <v>1</v>
      </c>
      <c r="F61" s="45">
        <f>D61*E61</f>
        <v>0</v>
      </c>
      <c r="G61" s="793"/>
      <c r="H61" s="1582"/>
    </row>
    <row r="62" spans="1:9" ht="27" customHeight="1" x14ac:dyDescent="0.25">
      <c r="A62" s="1805"/>
      <c r="B62" s="1521"/>
      <c r="C62" s="216" t="str">
        <f>F!C143</f>
        <v>Fresh.  [Note:  Assume this to be the condition unless wetland is known to be a playa or there is other contradicting evidence].</v>
      </c>
      <c r="D62" s="44">
        <f>F!D143</f>
        <v>0</v>
      </c>
      <c r="E62" s="49">
        <v>0</v>
      </c>
      <c r="F62" s="45">
        <f>D62*E62</f>
        <v>0</v>
      </c>
      <c r="G62" s="793"/>
      <c r="H62" s="1582"/>
    </row>
    <row r="63" spans="1:9" ht="16.2" customHeight="1" thickBot="1" x14ac:dyDescent="0.3">
      <c r="A63" s="1805"/>
      <c r="B63" s="1523"/>
      <c r="C63" s="254" t="str">
        <f>F!C144</f>
        <v>Unknown.</v>
      </c>
      <c r="D63" s="17">
        <f>F!D144</f>
        <v>0</v>
      </c>
      <c r="E63" s="245"/>
      <c r="F63" s="193"/>
      <c r="G63" s="794"/>
      <c r="H63" s="1600"/>
    </row>
    <row r="64" spans="1:9" ht="80.25" customHeight="1" thickBot="1" x14ac:dyDescent="0.3">
      <c r="A64" s="1804" t="str">
        <f>F!A162</f>
        <v>F31</v>
      </c>
      <c r="B64" s="1522" t="str">
        <f>F!B162</f>
        <v>Outflow Duration (OutDura)</v>
      </c>
      <c r="C64" s="75" t="str">
        <f>F!C162</f>
        <v>The most persistent surface water connection (outlet channel, pipe, ditch, or overbank water exchange) between the AA and the closest stream or lake located downslope is: [Note: If the AA represents only part of a wetland, answer this according to whichever is the least permanent surface connection: the one between the AA and the rest of its wetland, OR the surface connection between the AA's wetland and a mapped stream or lake located within 300 ft downslope from this wetland].</v>
      </c>
      <c r="D64" s="549"/>
      <c r="E64" s="210"/>
      <c r="F64" s="241"/>
      <c r="G64" s="804">
        <f>MAX(F65:F68)/MAX(E65:E68)</f>
        <v>0</v>
      </c>
      <c r="H64" s="1522" t="s">
        <v>98</v>
      </c>
      <c r="I64" s="2"/>
    </row>
    <row r="65" spans="1:9" ht="16.2" customHeight="1" x14ac:dyDescent="0.25">
      <c r="A65" s="1805"/>
      <c r="B65" s="1521"/>
      <c r="C65" s="215" t="str">
        <f>F!C163</f>
        <v>Persistent (&gt;9 months/year).</v>
      </c>
      <c r="D65" s="44">
        <f>F!D163</f>
        <v>0</v>
      </c>
      <c r="E65" s="49">
        <v>1</v>
      </c>
      <c r="F65" s="45">
        <f>D65*E65</f>
        <v>0</v>
      </c>
      <c r="G65" s="792"/>
      <c r="H65" s="1521"/>
    </row>
    <row r="66" spans="1:9" ht="16.2" customHeight="1" x14ac:dyDescent="0.25">
      <c r="A66" s="1805"/>
      <c r="B66" s="1521"/>
      <c r="C66" s="216" t="str">
        <f>F!C164</f>
        <v>Seasonal (14 days to 9 months/year, not necessarily consecutive).</v>
      </c>
      <c r="D66" s="44">
        <f>F!D164</f>
        <v>0</v>
      </c>
      <c r="E66" s="49">
        <v>3</v>
      </c>
      <c r="F66" s="45">
        <f>D66*E66</f>
        <v>0</v>
      </c>
      <c r="G66" s="793"/>
      <c r="H66" s="1521"/>
    </row>
    <row r="67" spans="1:9" ht="16.2" customHeight="1" x14ac:dyDescent="0.25">
      <c r="A67" s="1805"/>
      <c r="B67" s="1521"/>
      <c r="C67" s="216" t="str">
        <f>F!C165</f>
        <v>Temporary (&lt;14 days, not necessarily consecutive).</v>
      </c>
      <c r="D67" s="44">
        <f>F!D165</f>
        <v>0</v>
      </c>
      <c r="E67" s="49">
        <v>4</v>
      </c>
      <c r="F67" s="45">
        <f>D67*E67</f>
        <v>0</v>
      </c>
      <c r="G67" s="793"/>
      <c r="H67" s="1521"/>
    </row>
    <row r="68" spans="1:9" ht="42" customHeight="1" thickBot="1" x14ac:dyDescent="0.3">
      <c r="A68" s="1806"/>
      <c r="B68" s="1523"/>
      <c r="C68" s="254" t="str">
        <f>F!C166</f>
        <v xml:space="preserve">None -- no surface water flows out of the wetland except possibly during extreme events (&lt;once per 10 years). Or, water flows only into a wetland, ditch, or lake that lacks an outlet. Enter 1  and SKIP TO F33. </v>
      </c>
      <c r="D68" s="17">
        <f>F!D166</f>
        <v>0</v>
      </c>
      <c r="E68" s="245">
        <v>8</v>
      </c>
      <c r="F68" s="193">
        <f>D68*E68</f>
        <v>0</v>
      </c>
      <c r="G68" s="794"/>
      <c r="H68" s="1523"/>
    </row>
    <row r="69" spans="1:9" ht="18" customHeight="1" thickBot="1" x14ac:dyDescent="0.3">
      <c r="A69" s="1805" t="str">
        <f>F!A167</f>
        <v>F32</v>
      </c>
      <c r="B69" s="1521" t="str">
        <f>F!B167</f>
        <v>Outflow Confinement (Constric)</v>
      </c>
      <c r="C69" s="4" t="str">
        <f>F!C167</f>
        <v>During major runoff events, in the places described above where surface water exits the AA, it:</v>
      </c>
      <c r="D69" s="210"/>
      <c r="E69" s="65"/>
      <c r="F69" s="60"/>
      <c r="G69" s="799">
        <f>IF((NeverWater+TempWet&gt;0),"",IF((NoOutlet=1),"", (MAX(F70:F72))/MAX(E70:E72)))</f>
        <v>0</v>
      </c>
      <c r="H69" s="1582" t="s">
        <v>1724</v>
      </c>
      <c r="I69" s="2"/>
    </row>
    <row r="70" spans="1:9" ht="27" customHeight="1" x14ac:dyDescent="0.25">
      <c r="A70" s="1805"/>
      <c r="B70" s="1521"/>
      <c r="C70" s="215" t="str">
        <f>F!C168</f>
        <v>Is impeded as it mostly passes through a pipe, culvert, tidegate, narrowly breached dike, berm, beaver dam, or other partial obstruction (other than natural topography).</v>
      </c>
      <c r="D70" s="44">
        <f>F!D168</f>
        <v>0</v>
      </c>
      <c r="E70" s="49">
        <v>2</v>
      </c>
      <c r="F70" s="45">
        <f>D70*E70</f>
        <v>0</v>
      </c>
      <c r="G70" s="792"/>
      <c r="H70" s="1582"/>
    </row>
    <row r="71" spans="1:9" ht="27" customHeight="1" x14ac:dyDescent="0.25">
      <c r="A71" s="1805"/>
      <c r="B71" s="1521"/>
      <c r="C71" s="216" t="str">
        <f>F!C169</f>
        <v>Leaves mainly through natural surface exits, not largely through artificial or temporary features which impede or accelerate outflow.</v>
      </c>
      <c r="D71" s="44">
        <f>F!D169</f>
        <v>0</v>
      </c>
      <c r="E71" s="49">
        <v>1</v>
      </c>
      <c r="F71" s="45">
        <f>D71*E71</f>
        <v>0</v>
      </c>
      <c r="G71" s="806"/>
      <c r="H71" s="1582"/>
    </row>
    <row r="72" spans="1:9" ht="39" customHeight="1" thickBot="1" x14ac:dyDescent="0.3">
      <c r="A72" s="1806"/>
      <c r="B72" s="1523"/>
      <c r="C72" s="254" t="str">
        <f>F!C170</f>
        <v>Is exported more quickly than usual as it mostly passes through ditches or pipes intended to accelerate drainage.  They may be within the AA or connected to its outlet or within 30 ft of the AA's edge.</v>
      </c>
      <c r="D72" s="198">
        <f>F!D170</f>
        <v>0</v>
      </c>
      <c r="E72" s="245">
        <v>0</v>
      </c>
      <c r="F72" s="193">
        <f>D72*E72</f>
        <v>0</v>
      </c>
      <c r="G72" s="794"/>
      <c r="H72" s="1600"/>
    </row>
    <row r="73" spans="1:9" ht="45" customHeight="1" thickBot="1" x14ac:dyDescent="0.3">
      <c r="A73" s="1821" t="str">
        <f>F!A177</f>
        <v>F35</v>
      </c>
      <c r="B73" s="1522" t="str">
        <f>F!B177</f>
        <v>Throughflow Complexity (ThruFlo)</v>
      </c>
      <c r="C73" s="226" t="str">
        <f>F!C177</f>
        <v>[Skip this question if the AA lacks both an inlet and outlet.]  During peak annual flow, water entering the AA in channels encounters which of the following conditions as it travels through the AA: Select the ONE encountered most.</v>
      </c>
      <c r="D73" s="549"/>
      <c r="E73" s="239"/>
      <c r="F73" s="258"/>
      <c r="G73" s="842">
        <f>IF(AND(Inflow=0,NoOutlet=1),"",(MAX(F74:F78))/MAX(E74:E78))</f>
        <v>0</v>
      </c>
      <c r="H73" s="1522" t="s">
        <v>1716</v>
      </c>
      <c r="I73" s="2"/>
    </row>
    <row r="74" spans="1:9" ht="42" customHeight="1" x14ac:dyDescent="0.25">
      <c r="A74" s="1822"/>
      <c r="B74" s="1521"/>
      <c r="C74" s="449" t="str">
        <f>F!C178</f>
        <v>Does not bump into many plant stems as it travels through the AA. Nearly all the water continues to travel within unvegetated (often incised) channels and has minimal contact with wetland vegetation, or through a zone of open water such as an instream pond or lake.</v>
      </c>
      <c r="D74" s="44">
        <f>F!D178</f>
        <v>0</v>
      </c>
      <c r="E74" s="49">
        <v>0</v>
      </c>
      <c r="F74" s="843">
        <f>D74*E74</f>
        <v>0</v>
      </c>
      <c r="G74" s="60"/>
      <c r="H74" s="1521"/>
    </row>
    <row r="75" spans="1:9" ht="16.2" customHeight="1" x14ac:dyDescent="0.25">
      <c r="A75" s="1822"/>
      <c r="B75" s="1521"/>
      <c r="C75" s="449" t="str">
        <f>F!C179</f>
        <v>Bumps into herbaceous vegetation but mostly remains in fairly straight channels.</v>
      </c>
      <c r="D75" s="44">
        <f>F!D179</f>
        <v>0</v>
      </c>
      <c r="E75" s="49">
        <v>3</v>
      </c>
      <c r="F75" s="844">
        <f>D75*E75</f>
        <v>0</v>
      </c>
      <c r="G75" s="793"/>
      <c r="H75" s="1521"/>
    </row>
    <row r="76" spans="1:9" ht="27" customHeight="1" x14ac:dyDescent="0.25">
      <c r="A76" s="1822"/>
      <c r="B76" s="1521"/>
      <c r="C76" s="450" t="str">
        <f>F!C180</f>
        <v>Bumps into herbaceous vegetation and mostly spreads throughout, or follows a fairly indirect path (in widely meandering, multi-branched, or braided channels).</v>
      </c>
      <c r="D76" s="44">
        <f>F!D180</f>
        <v>0</v>
      </c>
      <c r="E76" s="49">
        <v>6</v>
      </c>
      <c r="F76" s="844">
        <f>D76*E76</f>
        <v>0</v>
      </c>
      <c r="G76" s="793"/>
      <c r="H76" s="1521"/>
    </row>
    <row r="77" spans="1:9" ht="16.2" customHeight="1" x14ac:dyDescent="0.25">
      <c r="A77" s="1822"/>
      <c r="B77" s="1521"/>
      <c r="C77" s="450" t="str">
        <f>F!C181</f>
        <v>Bumps into tree trunks and/or shrub stems but mostly remains in fairly straight channels.</v>
      </c>
      <c r="D77" s="44">
        <f>F!D181</f>
        <v>0</v>
      </c>
      <c r="E77" s="49">
        <v>4</v>
      </c>
      <c r="F77" s="844">
        <f>D77*E77</f>
        <v>0</v>
      </c>
      <c r="G77" s="793"/>
      <c r="H77" s="1521"/>
    </row>
    <row r="78" spans="1:9" ht="27" customHeight="1" thickBot="1" x14ac:dyDescent="0.3">
      <c r="A78" s="1825"/>
      <c r="B78" s="1523"/>
      <c r="C78" s="443" t="str">
        <f>F!C182</f>
        <v>Bumps into tree trunks and/or shrub stems and follows a fairly indirect path  (meandering, multi-branched, or braided) from entrance to exit.</v>
      </c>
      <c r="D78" s="198">
        <f>F!D182</f>
        <v>0</v>
      </c>
      <c r="E78" s="245">
        <v>8</v>
      </c>
      <c r="F78" s="845">
        <f>D78*E78</f>
        <v>0</v>
      </c>
      <c r="G78" s="794"/>
      <c r="H78" s="1523"/>
    </row>
    <row r="79" spans="1:9" ht="21" customHeight="1" thickBot="1" x14ac:dyDescent="0.3">
      <c r="A79" s="837" t="str">
        <f>F!A183</f>
        <v>F36</v>
      </c>
      <c r="B79" s="1522" t="str">
        <f>F!B183</f>
        <v>Internal Gradient (Gradient)</v>
      </c>
      <c r="C79" s="75" t="str">
        <f>F!C183</f>
        <v>The gradient from the lowest to highest point of land within the AA (or from outlet to inlet) is:</v>
      </c>
      <c r="D79" s="549"/>
      <c r="E79" s="210"/>
      <c r="F79" s="241"/>
      <c r="G79" s="804">
        <f>MAX(F80:F83)/MAX(E80:E83)</f>
        <v>0</v>
      </c>
      <c r="H79" s="1522" t="s">
        <v>235</v>
      </c>
      <c r="I79" s="2"/>
    </row>
    <row r="80" spans="1:9" ht="16.2" customHeight="1" x14ac:dyDescent="0.25">
      <c r="A80" s="839"/>
      <c r="B80" s="1521"/>
      <c r="C80" s="215" t="str">
        <f>F!C184</f>
        <v>&lt;2% (internal flow is absent or barely detectable; basically flat).</v>
      </c>
      <c r="D80" s="44">
        <f>F!D184</f>
        <v>0</v>
      </c>
      <c r="E80" s="49">
        <v>4</v>
      </c>
      <c r="F80" s="45">
        <f>D80*E80</f>
        <v>0</v>
      </c>
      <c r="G80" s="792"/>
      <c r="H80" s="1521"/>
    </row>
    <row r="81" spans="1:9" ht="16.2" customHeight="1" x14ac:dyDescent="0.25">
      <c r="A81" s="839"/>
      <c r="B81" s="1521"/>
      <c r="C81" s="216" t="str">
        <f>F!C185</f>
        <v>2 to &lt;6%.</v>
      </c>
      <c r="D81" s="44">
        <f>F!D185</f>
        <v>0</v>
      </c>
      <c r="E81" s="49">
        <v>2</v>
      </c>
      <c r="F81" s="45">
        <f>D81*E81</f>
        <v>0</v>
      </c>
      <c r="G81" s="793"/>
      <c r="H81" s="1521"/>
    </row>
    <row r="82" spans="1:9" ht="16.2" customHeight="1" x14ac:dyDescent="0.25">
      <c r="A82" s="839"/>
      <c r="B82" s="1521"/>
      <c r="C82" s="216" t="str">
        <f>F!C186</f>
        <v>6 to 10%.</v>
      </c>
      <c r="D82" s="44">
        <f>F!D186</f>
        <v>0</v>
      </c>
      <c r="E82" s="49">
        <v>1</v>
      </c>
      <c r="F82" s="45">
        <f>D82*E82</f>
        <v>0</v>
      </c>
      <c r="G82" s="793"/>
      <c r="H82" s="1521"/>
    </row>
    <row r="83" spans="1:9" ht="16.2" customHeight="1" thickBot="1" x14ac:dyDescent="0.3">
      <c r="A83" s="841"/>
      <c r="B83" s="1523"/>
      <c r="C83" s="254" t="str">
        <f>F!C187</f>
        <v>&gt;10%.</v>
      </c>
      <c r="D83" s="198">
        <f>F!D187</f>
        <v>0</v>
      </c>
      <c r="E83" s="245">
        <v>0</v>
      </c>
      <c r="F83" s="193">
        <f>D83*E83</f>
        <v>0</v>
      </c>
      <c r="G83" s="794"/>
      <c r="H83" s="1523"/>
    </row>
    <row r="84" spans="1:9" ht="39" customHeight="1" thickBot="1" x14ac:dyDescent="0.3">
      <c r="A84" s="1803" t="str">
        <f>F!A288</f>
        <v>F56</v>
      </c>
      <c r="B84" s="1521" t="str">
        <f>F!B288</f>
        <v>Bare Ground &amp; Accumulated Plant Litter (Gcover)</v>
      </c>
      <c r="C84" s="244" t="str">
        <f>F!C288</f>
        <v>Consider the parts of the AA that go dry during a normal year. Viewed from 6 inches above the soil surface, the condition in most of that area just before the year's longest inundation period begins is:</v>
      </c>
      <c r="D84" s="549"/>
      <c r="E84" s="65"/>
      <c r="F84" s="60"/>
      <c r="G84" s="799">
        <f>IF((D89=1),"",(MAX(F85:F88))/MAX(E85:E88))</f>
        <v>0</v>
      </c>
      <c r="H84" s="1521" t="s">
        <v>116</v>
      </c>
      <c r="I84" s="2"/>
    </row>
    <row r="85" spans="1:9" ht="52.5" customHeight="1" x14ac:dyDescent="0.25">
      <c r="A85" s="1803"/>
      <c r="B85" s="1521"/>
      <c r="C85" s="215" t="str">
        <f>F!C289</f>
        <v xml:space="preserve">Little or no (&lt;5%) bare ground is visible between erect stems or under canopy and there is little or no dead detached plant tisuse (thatch) remaining on top of the ground surface and ground surface is extensively blanketed by moss, lichens, graminoids with great stem densities, or plants with ground-hugging foliage.  </v>
      </c>
      <c r="D85" s="44">
        <f>F!D289</f>
        <v>0</v>
      </c>
      <c r="E85" s="49">
        <v>4</v>
      </c>
      <c r="F85" s="45">
        <f>D85*E85</f>
        <v>0</v>
      </c>
      <c r="G85" s="792"/>
      <c r="H85" s="1521"/>
    </row>
    <row r="86" spans="1:9" ht="27" customHeight="1" x14ac:dyDescent="0.25">
      <c r="A86" s="1803"/>
      <c r="B86" s="1521"/>
      <c r="C86" s="216" t="str">
        <f>F!C290</f>
        <v>Some (5-20%) bare ground or remaining thatch is visible.  Herbaceous plants have moderate stem densities and do not closely hug the ground.</v>
      </c>
      <c r="D86" s="44">
        <f>F!D290</f>
        <v>0</v>
      </c>
      <c r="E86" s="49">
        <v>3</v>
      </c>
      <c r="F86" s="45">
        <f>D86*E86</f>
        <v>0</v>
      </c>
      <c r="G86" s="793"/>
      <c r="H86" s="1521"/>
    </row>
    <row r="87" spans="1:9" ht="27" customHeight="1" x14ac:dyDescent="0.25">
      <c r="A87" s="1803"/>
      <c r="B87" s="1521"/>
      <c r="C87" s="216" t="str">
        <f>F!C291</f>
        <v>Much (20-50%) bare ground or thatch is visible.  Low stem density and/or tall plants with little living ground cover during early growing season.</v>
      </c>
      <c r="D87" s="44">
        <f>F!D291</f>
        <v>0</v>
      </c>
      <c r="E87" s="49">
        <v>2</v>
      </c>
      <c r="F87" s="45">
        <f>D87*E87</f>
        <v>0</v>
      </c>
      <c r="G87" s="793"/>
      <c r="H87" s="1521"/>
    </row>
    <row r="88" spans="1:9" ht="16.2" customHeight="1" x14ac:dyDescent="0.25">
      <c r="A88" s="1803"/>
      <c r="B88" s="1521"/>
      <c r="C88" s="216" t="str">
        <f>F!C292</f>
        <v>Mostly (&gt;50%) bare ground or thatch.</v>
      </c>
      <c r="D88" s="44">
        <f>F!D292</f>
        <v>0</v>
      </c>
      <c r="E88" s="49">
        <v>1</v>
      </c>
      <c r="F88" s="45">
        <f>D88*E88</f>
        <v>0</v>
      </c>
      <c r="G88" s="800"/>
      <c r="H88" s="1521"/>
    </row>
    <row r="89" spans="1:9" ht="16.2" customHeight="1" thickBot="1" x14ac:dyDescent="0.3">
      <c r="A89" s="1803"/>
      <c r="B89" s="1521"/>
      <c r="C89" s="95" t="str">
        <f>F!C293</f>
        <v>Not applicable.  All of the AA is inundated throughout most years.</v>
      </c>
      <c r="D89" s="17">
        <f>F!D293</f>
        <v>0</v>
      </c>
      <c r="E89" s="67"/>
      <c r="F89" s="54"/>
      <c r="G89" s="800"/>
      <c r="H89" s="1521"/>
    </row>
    <row r="90" spans="1:9" ht="40.5" customHeight="1" thickBot="1" x14ac:dyDescent="0.3">
      <c r="A90" s="1821" t="str">
        <f>F!A294</f>
        <v>F57</v>
      </c>
      <c r="B90" s="1522" t="str">
        <f>F!B294</f>
        <v>Ground Irregularity (Girreg)</v>
      </c>
      <c r="C90" s="75" t="str">
        <f>F!C294</f>
        <v xml:space="preserve"> In parts of the AA that lack persistent water, the number of small pits, raised mounds, hummocks, boulders, upturned trees, animal burrows, islands, natural levees, wide soil cracks, and microdepressions is:</v>
      </c>
      <c r="D90" s="549"/>
      <c r="E90" s="210"/>
      <c r="F90" s="241"/>
      <c r="G90" s="801">
        <f>(MAX(F91:F93))/MAX(E91:E93)</f>
        <v>0</v>
      </c>
      <c r="H90" s="1914" t="s">
        <v>31</v>
      </c>
      <c r="I90" s="2"/>
    </row>
    <row r="91" spans="1:9" ht="27" customHeight="1" x14ac:dyDescent="0.25">
      <c r="A91" s="1894"/>
      <c r="B91" s="1894"/>
      <c r="C91" s="265" t="str">
        <f>F!C295</f>
        <v>Few or none, or the entire AA is always water-covered.  Minimal microtopography; &lt;1% of the AA, e.g., many flat sites having a single hydroperiod.</v>
      </c>
      <c r="D91" s="44">
        <f>F!D295</f>
        <v>0</v>
      </c>
      <c r="E91" s="49">
        <v>0</v>
      </c>
      <c r="F91" s="45">
        <f>D91*E91</f>
        <v>0</v>
      </c>
      <c r="G91" s="796"/>
      <c r="H91" s="1915"/>
    </row>
    <row r="92" spans="1:9" ht="16.2" customHeight="1" x14ac:dyDescent="0.25">
      <c r="A92" s="1894"/>
      <c r="B92" s="1894"/>
      <c r="C92" s="266" t="str">
        <f>F!C296</f>
        <v>Intermediate.</v>
      </c>
      <c r="D92" s="44">
        <f>F!D296</f>
        <v>0</v>
      </c>
      <c r="E92" s="49">
        <v>1</v>
      </c>
      <c r="F92" s="45">
        <f>D92*E92</f>
        <v>0</v>
      </c>
      <c r="G92" s="797"/>
      <c r="H92" s="1625"/>
    </row>
    <row r="93" spans="1:9" ht="16.2" customHeight="1" thickBot="1" x14ac:dyDescent="0.3">
      <c r="A93" s="1895"/>
      <c r="B93" s="1895"/>
      <c r="C93" s="262" t="str">
        <f>F!C297</f>
        <v>Several (extensive micro-topography).</v>
      </c>
      <c r="D93" s="198">
        <f>F!D297</f>
        <v>0</v>
      </c>
      <c r="E93" s="245">
        <v>2</v>
      </c>
      <c r="F93" s="193">
        <f>D93*E93</f>
        <v>0</v>
      </c>
      <c r="G93" s="798"/>
      <c r="H93" s="1626"/>
    </row>
    <row r="94" spans="1:9" ht="30" customHeight="1" thickBot="1" x14ac:dyDescent="0.3">
      <c r="A94" s="1803" t="str">
        <f>F!A298</f>
        <v>F58</v>
      </c>
      <c r="B94" s="1521" t="str">
        <f>F!B298</f>
        <v>Soil Composition (SoilTex)</v>
      </c>
      <c r="C94" s="4" t="str">
        <f>F!C298</f>
        <v>Based on digging into the substrate and examining the surface layer of the soil (2 inch depth) that was mapped as being predominant, its composition (excluding duff and living roots) is mostly:</v>
      </c>
      <c r="D94" s="65"/>
      <c r="E94" s="65"/>
      <c r="F94" s="60"/>
      <c r="G94" s="799">
        <f>(MAX(F95:F98))/MAX(E95:E98)</f>
        <v>0</v>
      </c>
      <c r="H94" s="1582" t="s">
        <v>1489</v>
      </c>
      <c r="I94" s="2"/>
    </row>
    <row r="95" spans="1:9" ht="16.2" customHeight="1" x14ac:dyDescent="0.25">
      <c r="A95" s="1803"/>
      <c r="B95" s="1521"/>
      <c r="C95" s="215" t="str">
        <f>F!C299</f>
        <v>Loamy: includes silt, silt loam, loam, sandy loam.</v>
      </c>
      <c r="D95" s="44">
        <f>F!D299</f>
        <v>0</v>
      </c>
      <c r="E95" s="49">
        <v>2</v>
      </c>
      <c r="F95" s="45">
        <f>D95*E95</f>
        <v>0</v>
      </c>
      <c r="G95" s="792"/>
      <c r="H95" s="1582"/>
    </row>
    <row r="96" spans="1:9" ht="16.2" customHeight="1" x14ac:dyDescent="0.25">
      <c r="A96" s="1803"/>
      <c r="B96" s="1521"/>
      <c r="C96" s="216" t="str">
        <f>F!C300</f>
        <v>Clayey: includes clay, clay loam, silty clay, silty clay loam, sandy clay, sandy clay loam.</v>
      </c>
      <c r="D96" s="44">
        <f>F!D300</f>
        <v>0</v>
      </c>
      <c r="E96" s="49">
        <v>4</v>
      </c>
      <c r="F96" s="45">
        <f>D96*E96</f>
        <v>0</v>
      </c>
      <c r="G96" s="793"/>
      <c r="H96" s="1582"/>
    </row>
    <row r="97" spans="1:9" ht="27" customHeight="1" x14ac:dyDescent="0.25">
      <c r="A97" s="1803"/>
      <c r="B97" s="1521"/>
      <c r="C97" s="216" t="str">
        <f>F!C301</f>
        <v>Organic: includes muck, mucky peat, peat, and mucky mineral soils (blackish or grayish).  Exclude live roots unless they are moss.</v>
      </c>
      <c r="D97" s="44">
        <f>F!D301</f>
        <v>0</v>
      </c>
      <c r="E97" s="49">
        <v>3</v>
      </c>
      <c r="F97" s="45">
        <f>D97*E97</f>
        <v>0</v>
      </c>
      <c r="G97" s="793"/>
      <c r="H97" s="1582"/>
    </row>
    <row r="98" spans="1:9" ht="33" customHeight="1" thickBot="1" x14ac:dyDescent="0.3">
      <c r="A98" s="1803"/>
      <c r="B98" s="1521"/>
      <c r="C98" s="95" t="str">
        <f>F!C302</f>
        <v>Coarse: includes sand, loamy sand, gravel, cobble, stones, boulders, fluvents, fluvaquents, riverwash.</v>
      </c>
      <c r="D98" s="17">
        <f>F!D302</f>
        <v>0</v>
      </c>
      <c r="E98" s="67">
        <v>0</v>
      </c>
      <c r="F98" s="54">
        <f>D98*E98</f>
        <v>0</v>
      </c>
      <c r="G98" s="800"/>
      <c r="H98" s="1582"/>
    </row>
    <row r="99" spans="1:9" ht="69" customHeight="1" thickBot="1" x14ac:dyDescent="0.3">
      <c r="A99" s="1892" t="str">
        <f>F!A304</f>
        <v>F60</v>
      </c>
      <c r="B99" s="1522" t="str">
        <f>F!B304</f>
        <v>Restored or Created Wetland (NewWet)</v>
      </c>
      <c r="C99" s="836" t="str">
        <f>F!C304</f>
        <v xml:space="preserve">The AA is (or is within, or contains) a "new" wetland resulting from human actions (e.g., excavation, impoundment) or other factors affecting what was upland (non-hydric) soil.  Or, some part of the AA was originally a wetland, was artificially drained for many years, and has since had its water regime partly or wholly restored or rehabilitated (e.g., by ditch plugs, berms, tile breakage, non-maintenance).  </v>
      </c>
      <c r="D99" s="549"/>
      <c r="E99" s="210"/>
      <c r="F99" s="241"/>
      <c r="G99" s="804">
        <f>(MAX(F100:F104))/MAX(E100:E104)</f>
        <v>0</v>
      </c>
      <c r="H99" s="1522" t="s">
        <v>1128</v>
      </c>
      <c r="I99" s="2"/>
    </row>
    <row r="100" spans="1:9" ht="16.2" customHeight="1" x14ac:dyDescent="0.25">
      <c r="A100" s="1805"/>
      <c r="B100" s="1521"/>
      <c r="C100" s="449" t="str">
        <f>F!C305</f>
        <v>Yes, and constructed or restored mostly within last 3 years.</v>
      </c>
      <c r="D100" s="44">
        <f>F!D305</f>
        <v>0</v>
      </c>
      <c r="E100" s="49">
        <v>2</v>
      </c>
      <c r="F100" s="45">
        <f>D100*E100</f>
        <v>0</v>
      </c>
      <c r="G100" s="792"/>
      <c r="H100" s="1521"/>
    </row>
    <row r="101" spans="1:9" ht="16.2" customHeight="1" x14ac:dyDescent="0.25">
      <c r="A101" s="1805"/>
      <c r="B101" s="1521"/>
      <c r="C101" s="450" t="str">
        <f>F!C306</f>
        <v>Yes, and constructed or restored mostly 3-7 years ago.</v>
      </c>
      <c r="D101" s="44">
        <f>F!D306</f>
        <v>0</v>
      </c>
      <c r="E101" s="49">
        <v>0</v>
      </c>
      <c r="F101" s="45">
        <f>D101*E101</f>
        <v>0</v>
      </c>
      <c r="G101" s="793"/>
      <c r="H101" s="1521"/>
    </row>
    <row r="102" spans="1:9" ht="16.2" customHeight="1" x14ac:dyDescent="0.25">
      <c r="A102" s="1805"/>
      <c r="B102" s="1521"/>
      <c r="C102" s="450" t="str">
        <f>F!C307</f>
        <v>Yes, and constructed or restored mostly &gt; 7 years ago.</v>
      </c>
      <c r="D102" s="44">
        <f>F!D307</f>
        <v>0</v>
      </c>
      <c r="E102" s="49">
        <v>1</v>
      </c>
      <c r="F102" s="45">
        <f>D102*E102</f>
        <v>0</v>
      </c>
      <c r="G102" s="793"/>
      <c r="H102" s="1521"/>
    </row>
    <row r="103" spans="1:9" ht="16.2" customHeight="1" x14ac:dyDescent="0.25">
      <c r="A103" s="1805"/>
      <c r="B103" s="1521"/>
      <c r="C103" s="450" t="str">
        <f>F!C308</f>
        <v>Yes, but time of origin or restoration unknown.</v>
      </c>
      <c r="D103" s="44">
        <f>F!D308</f>
        <v>0</v>
      </c>
      <c r="E103" s="49">
        <v>2</v>
      </c>
      <c r="F103" s="45">
        <f>D103*E103</f>
        <v>0</v>
      </c>
      <c r="G103" s="793"/>
      <c r="H103" s="1521"/>
    </row>
    <row r="104" spans="1:9" ht="16.2" customHeight="1" x14ac:dyDescent="0.25">
      <c r="A104" s="1805"/>
      <c r="B104" s="1521"/>
      <c r="C104" s="450" t="str">
        <f>F!C309</f>
        <v>No.</v>
      </c>
      <c r="D104" s="44">
        <f>F!D309</f>
        <v>0</v>
      </c>
      <c r="E104" s="49">
        <v>4</v>
      </c>
      <c r="F104" s="45">
        <f>D104*E104</f>
        <v>0</v>
      </c>
      <c r="G104" s="793"/>
      <c r="H104" s="1521"/>
    </row>
    <row r="105" spans="1:9" ht="16.2" customHeight="1" thickBot="1" x14ac:dyDescent="0.3">
      <c r="A105" s="1806"/>
      <c r="B105" s="1523"/>
      <c r="C105" s="443" t="str">
        <f>F!C310</f>
        <v>Unknown if wetland is constructed, restored, or natural.</v>
      </c>
      <c r="D105" s="17">
        <f>F!D310</f>
        <v>0</v>
      </c>
      <c r="E105" s="245"/>
      <c r="F105" s="193"/>
      <c r="G105" s="794"/>
      <c r="H105" s="1523"/>
    </row>
    <row r="106" spans="1:9" ht="60" customHeight="1" thickBot="1" x14ac:dyDescent="0.3">
      <c r="A106" s="846" t="str">
        <f>S!A69</f>
        <v>S5</v>
      </c>
      <c r="B106" s="114" t="str">
        <f>S!B69</f>
        <v>Soil or Sediment Alteration Within the Assessment Area (SoilDisturb).</v>
      </c>
      <c r="C106" s="847"/>
      <c r="D106" s="248">
        <f>S!F86</f>
        <v>0</v>
      </c>
      <c r="E106" s="848"/>
      <c r="F106" s="843"/>
      <c r="G106" s="849">
        <f>1-D106</f>
        <v>1</v>
      </c>
      <c r="H106" s="727" t="s">
        <v>1591</v>
      </c>
    </row>
    <row r="107" spans="1:9" s="361" customFormat="1" ht="45" customHeight="1" thickBot="1" x14ac:dyDescent="0.3">
      <c r="A107" s="374" t="s">
        <v>126</v>
      </c>
      <c r="B107" s="850" t="s">
        <v>1468</v>
      </c>
      <c r="C107" s="374" t="s">
        <v>1271</v>
      </c>
      <c r="D107" s="851" t="s">
        <v>115</v>
      </c>
      <c r="E107" s="851" t="s">
        <v>771</v>
      </c>
      <c r="F107" s="850" t="s">
        <v>1469</v>
      </c>
      <c r="G107" s="850" t="s">
        <v>770</v>
      </c>
      <c r="H107" s="850" t="s">
        <v>772</v>
      </c>
    </row>
    <row r="108" spans="1:9" ht="21" customHeight="1" thickBot="1" x14ac:dyDescent="0.3">
      <c r="A108" s="1881" t="str">
        <f>T!A5</f>
        <v>T1</v>
      </c>
      <c r="B108" s="1522" t="str">
        <f>T!B5</f>
        <v>Estuarine Position (EstPosT)</v>
      </c>
      <c r="C108" s="244" t="str">
        <f>T!C5</f>
        <v>The AA's relative position in the estuary is:</v>
      </c>
      <c r="D108" s="852"/>
      <c r="E108" s="853"/>
      <c r="F108" s="792"/>
      <c r="G108" s="854">
        <f>MAX(F109:F111)/MAX(E109:E111)</f>
        <v>0</v>
      </c>
      <c r="H108" s="1521" t="s">
        <v>376</v>
      </c>
    </row>
    <row r="109" spans="1:9" ht="27" customHeight="1" x14ac:dyDescent="0.25">
      <c r="A109" s="1882"/>
      <c r="B109" s="1521"/>
      <c r="C109" s="215" t="str">
        <f>T!C6</f>
        <v>Lower 1/3 (often on a bay and distant from the head-of-tide of a major river; includes most saline tidal wetlands).</v>
      </c>
      <c r="D109" s="44">
        <f>T!D6</f>
        <v>0</v>
      </c>
      <c r="E109" s="49">
        <v>1</v>
      </c>
      <c r="F109" s="45">
        <f>D109*E109</f>
        <v>0</v>
      </c>
      <c r="G109" s="792"/>
      <c r="H109" s="1521"/>
    </row>
    <row r="110" spans="1:9" ht="16.2" customHeight="1" x14ac:dyDescent="0.25">
      <c r="A110" s="1882"/>
      <c r="B110" s="1521"/>
      <c r="C110" s="216" t="str">
        <f>T!C7</f>
        <v>Mid 1/3.</v>
      </c>
      <c r="D110" s="44">
        <f>T!D7</f>
        <v>0</v>
      </c>
      <c r="E110" s="49">
        <v>2</v>
      </c>
      <c r="F110" s="45">
        <f>D110*E110</f>
        <v>0</v>
      </c>
      <c r="G110" s="793"/>
      <c r="H110" s="1521"/>
    </row>
    <row r="111" spans="1:9" ht="29.25" customHeight="1" thickBot="1" x14ac:dyDescent="0.3">
      <c r="A111" s="1883"/>
      <c r="B111" s="1523"/>
      <c r="C111" s="95" t="str">
        <f>T!C8</f>
        <v>Upper 1/3 (near the head-of-tide of a major river; includes most brackish and fresh tidal wetlands).</v>
      </c>
      <c r="D111" s="17">
        <f>T!D8</f>
        <v>0</v>
      </c>
      <c r="E111" s="67">
        <v>3</v>
      </c>
      <c r="F111" s="54">
        <f>D111*E111</f>
        <v>0</v>
      </c>
      <c r="G111" s="800"/>
      <c r="H111" s="1521"/>
    </row>
    <row r="112" spans="1:9" ht="21" customHeight="1" thickBot="1" x14ac:dyDescent="0.3">
      <c r="A112" s="1889" t="str">
        <f>T!A9</f>
        <v>T2</v>
      </c>
      <c r="B112" s="1622" t="str">
        <f>T!B9</f>
        <v>Salinity (SalinT)</v>
      </c>
      <c r="C112" s="75" t="str">
        <f>T!C9</f>
        <v>At high tide during most of the year, the daily salinity in most of the inundated part of the AA is:</v>
      </c>
      <c r="D112" s="855"/>
      <c r="E112" s="856"/>
      <c r="F112" s="241"/>
      <c r="G112" s="857">
        <f>MAX(F113:F116)/MAX(E113:E116)</f>
        <v>0</v>
      </c>
      <c r="H112" s="1522" t="s">
        <v>375</v>
      </c>
    </row>
    <row r="113" spans="1:8" ht="16.2" customHeight="1" x14ac:dyDescent="0.25">
      <c r="A113" s="1890"/>
      <c r="B113" s="1623"/>
      <c r="C113" s="215" t="str">
        <f>T!C10</f>
        <v xml:space="preserve">Saline (&gt;25 ppt salinity, undiluted seawater).  </v>
      </c>
      <c r="D113" s="44">
        <f>T!D10</f>
        <v>0</v>
      </c>
      <c r="E113" s="858">
        <v>1</v>
      </c>
      <c r="F113" s="45">
        <f>D113*E113</f>
        <v>0</v>
      </c>
      <c r="G113" s="792"/>
      <c r="H113" s="1521"/>
    </row>
    <row r="114" spans="1:8" ht="16.2" customHeight="1" x14ac:dyDescent="0.25">
      <c r="A114" s="1890"/>
      <c r="B114" s="1623"/>
      <c r="C114" s="216" t="str">
        <f>T!C11</f>
        <v>Moderately saline (5 to 25 ppt salinity).</v>
      </c>
      <c r="D114" s="44">
        <f>T!D11</f>
        <v>0</v>
      </c>
      <c r="E114" s="858">
        <v>2</v>
      </c>
      <c r="F114" s="45">
        <f>D114*E114</f>
        <v>0</v>
      </c>
      <c r="G114" s="793"/>
      <c r="H114" s="1521"/>
    </row>
    <row r="115" spans="1:8" ht="16.2" customHeight="1" x14ac:dyDescent="0.25">
      <c r="A115" s="1890"/>
      <c r="B115" s="1623"/>
      <c r="C115" s="216" t="str">
        <f>T!C12</f>
        <v>Brackish (0.5 to &lt;5 ppt salinity, "oligohaline").</v>
      </c>
      <c r="D115" s="44">
        <f>T!D12</f>
        <v>0</v>
      </c>
      <c r="E115" s="858">
        <v>3</v>
      </c>
      <c r="F115" s="45">
        <f>D115*E115</f>
        <v>0</v>
      </c>
      <c r="G115" s="793"/>
      <c r="H115" s="1521"/>
    </row>
    <row r="116" spans="1:8" ht="16.2" customHeight="1" x14ac:dyDescent="0.25">
      <c r="A116" s="1890"/>
      <c r="B116" s="1623"/>
      <c r="C116" s="216" t="str">
        <f>T!C13</f>
        <v>Fresh (&lt;0.5 ppt salinity).</v>
      </c>
      <c r="D116" s="44">
        <f>T!D13</f>
        <v>0</v>
      </c>
      <c r="E116" s="858">
        <v>4</v>
      </c>
      <c r="F116" s="45">
        <f>D116*E116</f>
        <v>0</v>
      </c>
      <c r="G116" s="793"/>
      <c r="H116" s="1521"/>
    </row>
    <row r="117" spans="1:8" ht="16.2" customHeight="1" thickBot="1" x14ac:dyDescent="0.3">
      <c r="A117" s="1891"/>
      <c r="B117" s="1624"/>
      <c r="C117" s="254" t="str">
        <f>T!C14</f>
        <v>Unknown.</v>
      </c>
      <c r="D117" s="17">
        <f>T!D14</f>
        <v>0</v>
      </c>
      <c r="E117" s="859"/>
      <c r="F117" s="193"/>
      <c r="G117" s="794"/>
      <c r="H117" s="1523"/>
    </row>
    <row r="118" spans="1:8" ht="30" customHeight="1" thickBot="1" x14ac:dyDescent="0.3">
      <c r="A118" s="1906" t="str">
        <f>T!A15</f>
        <v>T3</v>
      </c>
      <c r="B118" s="1896" t="str">
        <f>T!B15</f>
        <v>Low Marsh (LowMarshT)</v>
      </c>
      <c r="C118" s="75" t="str">
        <f>T!C15</f>
        <v>The percent of the vegetated part of the AA that is "low marsh" (covered by tidal water for part of almost every day) is:</v>
      </c>
      <c r="D118" s="855"/>
      <c r="E118" s="860"/>
      <c r="F118" s="60"/>
      <c r="G118" s="857">
        <f>MAX(F119:F125)/MAX(E119:E125)</f>
        <v>0</v>
      </c>
      <c r="H118" s="1521" t="s">
        <v>371</v>
      </c>
    </row>
    <row r="119" spans="1:8" ht="16.2" customHeight="1" x14ac:dyDescent="0.25">
      <c r="A119" s="1907"/>
      <c r="B119" s="1623"/>
      <c r="C119" s="215" t="str">
        <f>T!C16</f>
        <v>None, or &lt;1%.</v>
      </c>
      <c r="D119" s="44">
        <f>T!D16</f>
        <v>0</v>
      </c>
      <c r="E119" s="858">
        <v>0</v>
      </c>
      <c r="F119" s="45">
        <f t="shared" ref="F119:F125" si="2">D119*E119</f>
        <v>0</v>
      </c>
      <c r="G119" s="792"/>
      <c r="H119" s="1521"/>
    </row>
    <row r="120" spans="1:8" ht="16.2" customHeight="1" x14ac:dyDescent="0.25">
      <c r="A120" s="1907"/>
      <c r="B120" s="1623"/>
      <c r="C120" s="216" t="str">
        <f>T!C17</f>
        <v>1 to &lt;10%.</v>
      </c>
      <c r="D120" s="44">
        <f>T!D17</f>
        <v>0</v>
      </c>
      <c r="E120" s="858">
        <v>1</v>
      </c>
      <c r="F120" s="45">
        <f t="shared" si="2"/>
        <v>0</v>
      </c>
      <c r="G120" s="793"/>
      <c r="H120" s="1521"/>
    </row>
    <row r="121" spans="1:8" ht="16.2" customHeight="1" x14ac:dyDescent="0.25">
      <c r="A121" s="1907"/>
      <c r="B121" s="1623"/>
      <c r="C121" s="216" t="str">
        <f>T!C18</f>
        <v>10 to &lt;25%.</v>
      </c>
      <c r="D121" s="44">
        <f>T!D18</f>
        <v>0</v>
      </c>
      <c r="E121" s="858">
        <v>2</v>
      </c>
      <c r="F121" s="45">
        <f t="shared" si="2"/>
        <v>0</v>
      </c>
      <c r="G121" s="793"/>
      <c r="H121" s="1521"/>
    </row>
    <row r="122" spans="1:8" ht="16.2" customHeight="1" x14ac:dyDescent="0.25">
      <c r="A122" s="1907"/>
      <c r="B122" s="1623"/>
      <c r="C122" s="216" t="str">
        <f>T!C19</f>
        <v>25 &lt;50%.</v>
      </c>
      <c r="D122" s="44">
        <f>T!D19</f>
        <v>0</v>
      </c>
      <c r="E122" s="858">
        <v>3</v>
      </c>
      <c r="F122" s="45">
        <f t="shared" si="2"/>
        <v>0</v>
      </c>
      <c r="G122" s="793"/>
      <c r="H122" s="1521"/>
    </row>
    <row r="123" spans="1:8" ht="16.2" customHeight="1" x14ac:dyDescent="0.25">
      <c r="A123" s="1907"/>
      <c r="B123" s="1623"/>
      <c r="C123" s="216" t="str">
        <f>T!C20</f>
        <v>50 to &lt;75%.</v>
      </c>
      <c r="D123" s="44">
        <f>T!D20</f>
        <v>0</v>
      </c>
      <c r="E123" s="858">
        <v>4</v>
      </c>
      <c r="F123" s="45">
        <f t="shared" si="2"/>
        <v>0</v>
      </c>
      <c r="G123" s="793"/>
      <c r="H123" s="1521"/>
    </row>
    <row r="124" spans="1:8" ht="16.2" customHeight="1" x14ac:dyDescent="0.25">
      <c r="A124" s="1907"/>
      <c r="B124" s="1623"/>
      <c r="C124" s="216" t="str">
        <f>T!C21</f>
        <v>75 to 90%.</v>
      </c>
      <c r="D124" s="44">
        <f>T!D21</f>
        <v>0</v>
      </c>
      <c r="E124" s="858">
        <v>5</v>
      </c>
      <c r="F124" s="45">
        <f t="shared" si="2"/>
        <v>0</v>
      </c>
      <c r="G124" s="793"/>
      <c r="H124" s="1521"/>
    </row>
    <row r="125" spans="1:8" ht="16.2" customHeight="1" thickBot="1" x14ac:dyDescent="0.3">
      <c r="A125" s="1908"/>
      <c r="B125" s="1897"/>
      <c r="C125" s="95" t="str">
        <f>T!C22</f>
        <v>&gt;90%.</v>
      </c>
      <c r="D125" s="17">
        <f>T!D22</f>
        <v>0</v>
      </c>
      <c r="E125" s="861">
        <v>6</v>
      </c>
      <c r="F125" s="54">
        <f t="shared" si="2"/>
        <v>0</v>
      </c>
      <c r="G125" s="800"/>
      <c r="H125" s="1521"/>
    </row>
    <row r="126" spans="1:8" ht="30" customHeight="1" thickBot="1" x14ac:dyDescent="0.3">
      <c r="A126" s="1889" t="str">
        <f>T!A23</f>
        <v>T4</v>
      </c>
      <c r="B126" s="1622" t="str">
        <f>T!B23</f>
        <v>Width of Vegetated Zone at Daily High Tide (WidthHiT)</v>
      </c>
      <c r="C126" s="4" t="str">
        <f>T!C23</f>
        <v>At average daily HIGH tide condition, the width of the vegetated wetland that separates adjoining uplands (if any) from subtidal water within or adjoining the AA, is predominantly:</v>
      </c>
      <c r="D126" s="856"/>
      <c r="E126" s="856"/>
      <c r="F126" s="241"/>
      <c r="G126" s="857">
        <f>MAX(F127:F132)/MAX(E127:E132)</f>
        <v>0</v>
      </c>
      <c r="H126" s="1522" t="s">
        <v>373</v>
      </c>
    </row>
    <row r="127" spans="1:8" ht="16.2" customHeight="1" x14ac:dyDescent="0.25">
      <c r="A127" s="1890"/>
      <c r="B127" s="1623"/>
      <c r="C127" s="215" t="str">
        <f>T!C24</f>
        <v>&lt;5 ft, or no vegetation between upland and subtidal water.</v>
      </c>
      <c r="D127" s="44">
        <f>T!D24</f>
        <v>0</v>
      </c>
      <c r="E127" s="49">
        <v>0</v>
      </c>
      <c r="F127" s="45">
        <f t="shared" ref="F127:F132" si="3">D127*E127</f>
        <v>0</v>
      </c>
      <c r="G127" s="792"/>
      <c r="H127" s="1521"/>
    </row>
    <row r="128" spans="1:8" ht="16.2" customHeight="1" x14ac:dyDescent="0.25">
      <c r="A128" s="1890"/>
      <c r="B128" s="1623"/>
      <c r="C128" s="216" t="str">
        <f>T!C25</f>
        <v>5 to &lt;30 ft.</v>
      </c>
      <c r="D128" s="44">
        <f>T!D25</f>
        <v>0</v>
      </c>
      <c r="E128" s="49">
        <v>2</v>
      </c>
      <c r="F128" s="45">
        <f t="shared" si="3"/>
        <v>0</v>
      </c>
      <c r="G128" s="793"/>
      <c r="H128" s="1521"/>
    </row>
    <row r="129" spans="1:8" ht="16.2" customHeight="1" x14ac:dyDescent="0.25">
      <c r="A129" s="1890"/>
      <c r="B129" s="1623"/>
      <c r="C129" s="216" t="str">
        <f>T!C26</f>
        <v>30 to &lt;50 ft.</v>
      </c>
      <c r="D129" s="44">
        <f>T!D26</f>
        <v>0</v>
      </c>
      <c r="E129" s="49">
        <v>3</v>
      </c>
      <c r="F129" s="45">
        <f t="shared" si="3"/>
        <v>0</v>
      </c>
      <c r="G129" s="793"/>
      <c r="H129" s="1521"/>
    </row>
    <row r="130" spans="1:8" ht="16.2" customHeight="1" x14ac:dyDescent="0.25">
      <c r="A130" s="1890"/>
      <c r="B130" s="1623"/>
      <c r="C130" s="216" t="str">
        <f>T!C27</f>
        <v>50 to &lt;100 ft.</v>
      </c>
      <c r="D130" s="44">
        <f>T!D27</f>
        <v>0</v>
      </c>
      <c r="E130" s="49">
        <v>4</v>
      </c>
      <c r="F130" s="45">
        <f t="shared" si="3"/>
        <v>0</v>
      </c>
      <c r="G130" s="793"/>
      <c r="H130" s="1521"/>
    </row>
    <row r="131" spans="1:8" ht="16.2" customHeight="1" x14ac:dyDescent="0.25">
      <c r="A131" s="1890"/>
      <c r="B131" s="1623"/>
      <c r="C131" s="216" t="str">
        <f>T!C28</f>
        <v>100 to 300 ft.</v>
      </c>
      <c r="D131" s="44">
        <f>T!D28</f>
        <v>0</v>
      </c>
      <c r="E131" s="49">
        <v>5</v>
      </c>
      <c r="F131" s="45">
        <f t="shared" si="3"/>
        <v>0</v>
      </c>
      <c r="G131" s="793"/>
      <c r="H131" s="1521"/>
    </row>
    <row r="132" spans="1:8" ht="16.2" customHeight="1" thickBot="1" x14ac:dyDescent="0.3">
      <c r="A132" s="1891"/>
      <c r="B132" s="1624"/>
      <c r="C132" s="254" t="str">
        <f>T!C29</f>
        <v>&gt; 300 ft.</v>
      </c>
      <c r="D132" s="17">
        <f>T!D29</f>
        <v>0</v>
      </c>
      <c r="E132" s="245">
        <v>6</v>
      </c>
      <c r="F132" s="193">
        <f t="shared" si="3"/>
        <v>0</v>
      </c>
      <c r="G132" s="794"/>
      <c r="H132" s="1523"/>
    </row>
    <row r="133" spans="1:8" ht="30" customHeight="1" thickBot="1" x14ac:dyDescent="0.3">
      <c r="A133" s="1889" t="str">
        <f>T!A30</f>
        <v>T5</v>
      </c>
      <c r="B133" s="1622" t="str">
        <f>T!B30</f>
        <v>Width of Vegetated Zone at Daily Low Tide (WidthLoT)</v>
      </c>
      <c r="C133" s="75" t="str">
        <f>T!C30</f>
        <v>At average daily LOW tide condition, the width of the vegetated wetland that separates adjoining uplands (if any) from subtidal water within or adjoining the AA, is predominantly:</v>
      </c>
      <c r="D133" s="855"/>
      <c r="E133" s="239"/>
      <c r="F133" s="241"/>
      <c r="G133" s="857">
        <f>MAX(F134:F139)/MAX(E134:E139)</f>
        <v>0</v>
      </c>
      <c r="H133" s="1522" t="s">
        <v>124</v>
      </c>
    </row>
    <row r="134" spans="1:8" ht="16.2" customHeight="1" x14ac:dyDescent="0.25">
      <c r="A134" s="1890"/>
      <c r="B134" s="1623"/>
      <c r="C134" s="215" t="str">
        <f>T!C31</f>
        <v>&lt;5 ft, or no vegetation between upland and subtidal water.</v>
      </c>
      <c r="D134" s="44">
        <f>T!D31</f>
        <v>0</v>
      </c>
      <c r="E134" s="49">
        <v>0</v>
      </c>
      <c r="F134" s="45">
        <f t="shared" ref="F134:F139" si="4">D134*E134</f>
        <v>0</v>
      </c>
      <c r="G134" s="792"/>
      <c r="H134" s="1521"/>
    </row>
    <row r="135" spans="1:8" ht="16.2" customHeight="1" x14ac:dyDescent="0.25">
      <c r="A135" s="1890"/>
      <c r="B135" s="1623"/>
      <c r="C135" s="216" t="str">
        <f>T!C32</f>
        <v>5 to &lt;30 ft.</v>
      </c>
      <c r="D135" s="44">
        <f>T!D32</f>
        <v>0</v>
      </c>
      <c r="E135" s="49">
        <v>2</v>
      </c>
      <c r="F135" s="45">
        <f t="shared" si="4"/>
        <v>0</v>
      </c>
      <c r="G135" s="793"/>
      <c r="H135" s="1521"/>
    </row>
    <row r="136" spans="1:8" ht="16.2" customHeight="1" x14ac:dyDescent="0.25">
      <c r="A136" s="1890"/>
      <c r="B136" s="1623"/>
      <c r="C136" s="216" t="str">
        <f>T!C33</f>
        <v>30 to &lt;50 ft.</v>
      </c>
      <c r="D136" s="44">
        <f>T!D33</f>
        <v>0</v>
      </c>
      <c r="E136" s="49">
        <v>3</v>
      </c>
      <c r="F136" s="45">
        <f t="shared" si="4"/>
        <v>0</v>
      </c>
      <c r="G136" s="793"/>
      <c r="H136" s="1521"/>
    </row>
    <row r="137" spans="1:8" ht="16.2" customHeight="1" x14ac:dyDescent="0.25">
      <c r="A137" s="1890"/>
      <c r="B137" s="1623"/>
      <c r="C137" s="216" t="str">
        <f>T!C34</f>
        <v>50 to &lt;100 ft.</v>
      </c>
      <c r="D137" s="44">
        <f>T!D34</f>
        <v>0</v>
      </c>
      <c r="E137" s="49">
        <v>4</v>
      </c>
      <c r="F137" s="45">
        <f t="shared" si="4"/>
        <v>0</v>
      </c>
      <c r="G137" s="793"/>
      <c r="H137" s="1521"/>
    </row>
    <row r="138" spans="1:8" ht="16.2" customHeight="1" x14ac:dyDescent="0.25">
      <c r="A138" s="1890"/>
      <c r="B138" s="1623"/>
      <c r="C138" s="216" t="str">
        <f>T!C35</f>
        <v>100 to 300 ft.</v>
      </c>
      <c r="D138" s="44">
        <f>T!D35</f>
        <v>0</v>
      </c>
      <c r="E138" s="49">
        <v>5</v>
      </c>
      <c r="F138" s="45">
        <f t="shared" si="4"/>
        <v>0</v>
      </c>
      <c r="G138" s="793"/>
      <c r="H138" s="1521"/>
    </row>
    <row r="139" spans="1:8" ht="16.2" customHeight="1" thickBot="1" x14ac:dyDescent="0.3">
      <c r="A139" s="1891"/>
      <c r="B139" s="1624"/>
      <c r="C139" s="254" t="str">
        <f>T!C36</f>
        <v>&gt; 300 ft.</v>
      </c>
      <c r="D139" s="17">
        <f>T!D36</f>
        <v>0</v>
      </c>
      <c r="E139" s="245">
        <v>6</v>
      </c>
      <c r="F139" s="193">
        <f t="shared" si="4"/>
        <v>0</v>
      </c>
      <c r="G139" s="794"/>
      <c r="H139" s="1523"/>
    </row>
    <row r="140" spans="1:8" ht="21" customHeight="1" thickBot="1" x14ac:dyDescent="0.3">
      <c r="A140" s="1906" t="str">
        <f>T!A69</f>
        <v>T12</v>
      </c>
      <c r="B140" s="1896" t="str">
        <f>T!B69</f>
        <v>Waves (WavesT)</v>
      </c>
      <c r="C140" s="75" t="str">
        <f>T!C69</f>
        <v>Which of the following is MOST true:</v>
      </c>
      <c r="D140" s="855"/>
      <c r="E140" s="860"/>
      <c r="F140" s="60"/>
      <c r="G140" s="857">
        <f>MAX(F141:F143)/MAX(E141:E143)</f>
        <v>0</v>
      </c>
      <c r="H140" s="1521" t="s">
        <v>372</v>
      </c>
    </row>
    <row r="141" spans="1:8" ht="27" customHeight="1" x14ac:dyDescent="0.25">
      <c r="A141" s="1907"/>
      <c r="B141" s="1623"/>
      <c r="C141" s="215" t="str">
        <f>T!C70</f>
        <v>Wind or boats frequently generate waves of &gt;1 ft. near the AA, those waves are intercepted by the wetland, and structures behind the AA are protected from wave erosion.</v>
      </c>
      <c r="D141" s="44">
        <f>T!D70</f>
        <v>0</v>
      </c>
      <c r="E141" s="858">
        <v>0</v>
      </c>
      <c r="F141" s="45">
        <f>D141*E141</f>
        <v>0</v>
      </c>
      <c r="G141" s="792"/>
      <c r="H141" s="1521"/>
    </row>
    <row r="142" spans="1:8" ht="27" customHeight="1" x14ac:dyDescent="0.25">
      <c r="A142" s="1907"/>
      <c r="B142" s="1623"/>
      <c r="C142" s="216" t="str">
        <f>T!C71</f>
        <v>Wind or boats frequently generate waves of &gt;1 ft. near the AA, those waves are intercepted by the wetland, but there are no structures behind the wetland.</v>
      </c>
      <c r="D142" s="44">
        <f>T!D71</f>
        <v>0</v>
      </c>
      <c r="E142" s="858">
        <v>0</v>
      </c>
      <c r="F142" s="45">
        <f>D142*E142</f>
        <v>0</v>
      </c>
      <c r="G142" s="793"/>
      <c r="H142" s="1521"/>
    </row>
    <row r="143" spans="1:8" ht="16.2" customHeight="1" thickBot="1" x14ac:dyDescent="0.3">
      <c r="A143" s="1908"/>
      <c r="B143" s="1897"/>
      <c r="C143" s="95" t="str">
        <f>T!C72</f>
        <v>Neither wind nor boats frequently generate waves of &gt;1 f.t near the AA.</v>
      </c>
      <c r="D143" s="17">
        <f>T!D72</f>
        <v>0</v>
      </c>
      <c r="E143" s="861">
        <v>1</v>
      </c>
      <c r="F143" s="54">
        <f>D143*E143</f>
        <v>0</v>
      </c>
      <c r="G143" s="800"/>
      <c r="H143" s="1521"/>
    </row>
    <row r="144" spans="1:8" ht="21" customHeight="1" thickBot="1" x14ac:dyDescent="0.3">
      <c r="A144" s="1889" t="str">
        <f>T!A180</f>
        <v>T32</v>
      </c>
      <c r="B144" s="1622" t="str">
        <f>T!B180</f>
        <v>Bare Ground &amp; Accumulated Plant Litter (GcoverT)</v>
      </c>
      <c r="C144" s="75" t="str">
        <f>T!C180</f>
        <v>Viewed from 6 inches above the soil surface, the condition in most of the tidal wetland is:</v>
      </c>
      <c r="D144" s="855"/>
      <c r="E144" s="856"/>
      <c r="F144" s="241"/>
      <c r="G144" s="857">
        <f>IF((D149=1),"",MAX(F145:F149)/MAX(E145:E149))</f>
        <v>0</v>
      </c>
      <c r="H144" s="1522" t="s">
        <v>374</v>
      </c>
    </row>
    <row r="145" spans="1:8" ht="54.75" customHeight="1" x14ac:dyDescent="0.25">
      <c r="A145" s="1890"/>
      <c r="B145" s="1623"/>
      <c r="C145" s="215" t="str">
        <f>T!C181</f>
        <v xml:space="preserve">Little or no (&lt;5%) bare ground is visible between erect stems or under canopy and there is little or no dead detached plant tissue (thatch) remaining on top of the ground surface and ground surface is extensively blanketed by graminoids with great stem densities or by plants with ground-hugging foliage.  </v>
      </c>
      <c r="D145" s="47">
        <f>T!D181</f>
        <v>0</v>
      </c>
      <c r="E145" s="858">
        <v>4</v>
      </c>
      <c r="F145" s="45">
        <f>D145*E145</f>
        <v>0</v>
      </c>
      <c r="G145" s="792"/>
      <c r="H145" s="1521"/>
    </row>
    <row r="146" spans="1:8" ht="27" customHeight="1" x14ac:dyDescent="0.25">
      <c r="A146" s="1890"/>
      <c r="B146" s="1623"/>
      <c r="C146" s="216" t="str">
        <f>T!C182</f>
        <v>Some (5-20%) bare ground or remaining thatch is visible.  Herbaceous plants have moderate stem densities and do not closely hug the ground.</v>
      </c>
      <c r="D146" s="47">
        <f>T!D182</f>
        <v>0</v>
      </c>
      <c r="E146" s="858">
        <v>3</v>
      </c>
      <c r="F146" s="45">
        <f>D146*E146</f>
        <v>0</v>
      </c>
      <c r="G146" s="793"/>
      <c r="H146" s="1521"/>
    </row>
    <row r="147" spans="1:8" ht="27" customHeight="1" x14ac:dyDescent="0.25">
      <c r="A147" s="1890"/>
      <c r="B147" s="1623"/>
      <c r="C147" s="216" t="str">
        <f>T!C183</f>
        <v>Much (20-50%) bare ground or thatch is visible.  Low stem density and/or tall plants with little living ground cover during early growing season.</v>
      </c>
      <c r="D147" s="47">
        <f>T!D183</f>
        <v>0</v>
      </c>
      <c r="E147" s="858">
        <v>2</v>
      </c>
      <c r="F147" s="45">
        <f>D147*E147</f>
        <v>0</v>
      </c>
      <c r="G147" s="793"/>
      <c r="H147" s="1521"/>
    </row>
    <row r="148" spans="1:8" ht="16.2" customHeight="1" x14ac:dyDescent="0.25">
      <c r="A148" s="1890"/>
      <c r="B148" s="1623"/>
      <c r="C148" s="216" t="str">
        <f>T!C184</f>
        <v>Mostly (&gt;50%) bare ground or thatch.</v>
      </c>
      <c r="D148" s="47">
        <f>T!D184</f>
        <v>0</v>
      </c>
      <c r="E148" s="858">
        <v>1</v>
      </c>
      <c r="F148" s="45">
        <f>D148*E148</f>
        <v>0</v>
      </c>
      <c r="G148" s="793"/>
      <c r="H148" s="1521"/>
    </row>
    <row r="149" spans="1:8" ht="16.2" customHeight="1" thickBot="1" x14ac:dyDescent="0.3">
      <c r="A149" s="1891"/>
      <c r="B149" s="1624"/>
      <c r="C149" s="254" t="str">
        <f>T!C185</f>
        <v>Not applicable.  Nearly all of the AA remains inundated even at daily low tide.</v>
      </c>
      <c r="D149" s="17">
        <f>T!D185</f>
        <v>0</v>
      </c>
      <c r="E149" s="859"/>
      <c r="F149" s="193"/>
      <c r="G149" s="794"/>
      <c r="H149" s="1523"/>
    </row>
    <row r="150" spans="1:8" ht="30" customHeight="1" thickBot="1" x14ac:dyDescent="0.3">
      <c r="A150" s="1851" t="str">
        <f>T!A190</f>
        <v>T34</v>
      </c>
      <c r="B150" s="1521" t="str">
        <f>T!B190</f>
        <v>Soil Composition (SoilTexT)</v>
      </c>
      <c r="C150" s="75" t="str">
        <f>T!C190</f>
        <v>Based on at least three pits you dig at points about equidistant across the AA, the composition of  the surface layer of the soil (2" depth) (but excluding the duff layer) is mostly:</v>
      </c>
      <c r="D150" s="855"/>
      <c r="E150" s="65"/>
      <c r="F150" s="60"/>
      <c r="G150" s="857">
        <f>(MAX(F151:F154))/MAX(E151:E154)</f>
        <v>0</v>
      </c>
      <c r="H150" s="1521" t="s">
        <v>97</v>
      </c>
    </row>
    <row r="151" spans="1:8" ht="16.2" customHeight="1" x14ac:dyDescent="0.25">
      <c r="A151" s="1851"/>
      <c r="B151" s="1521"/>
      <c r="C151" s="215" t="str">
        <f>T!C191</f>
        <v>Loamy: includes silt, silt loam, loam, sandy loam.</v>
      </c>
      <c r="D151" s="44">
        <f>T!D191</f>
        <v>0</v>
      </c>
      <c r="E151" s="49">
        <v>1</v>
      </c>
      <c r="F151" s="45">
        <f>D151*E151</f>
        <v>0</v>
      </c>
      <c r="G151" s="792"/>
      <c r="H151" s="1521"/>
    </row>
    <row r="152" spans="1:8" ht="15.75" customHeight="1" x14ac:dyDescent="0.25">
      <c r="A152" s="1851"/>
      <c r="B152" s="1521"/>
      <c r="C152" s="216" t="str">
        <f>T!C192</f>
        <v>Clayey: includes clay, clay loam, silty clay, silty clay loam, sandy clay, sandy clay loam.</v>
      </c>
      <c r="D152" s="44">
        <f>T!D192</f>
        <v>0</v>
      </c>
      <c r="E152" s="49">
        <v>5</v>
      </c>
      <c r="F152" s="45">
        <f>D152*E152</f>
        <v>0</v>
      </c>
      <c r="G152" s="793"/>
      <c r="H152" s="1521"/>
    </row>
    <row r="153" spans="1:8" ht="27" customHeight="1" x14ac:dyDescent="0.25">
      <c r="A153" s="1851"/>
      <c r="B153" s="1521"/>
      <c r="C153" s="216" t="str">
        <f>T!C193</f>
        <v>Organic: includes muck, mucky peat, peat, and mucky mineral soils (blackish or grayish).  Exclude live roots unless they are moss.</v>
      </c>
      <c r="D153" s="44">
        <f>T!D193</f>
        <v>0</v>
      </c>
      <c r="E153" s="49">
        <v>3</v>
      </c>
      <c r="F153" s="45">
        <f>D153*E153</f>
        <v>0</v>
      </c>
      <c r="G153" s="793"/>
      <c r="H153" s="1521"/>
    </row>
    <row r="154" spans="1:8" ht="30" customHeight="1" thickBot="1" x14ac:dyDescent="0.3">
      <c r="A154" s="1888"/>
      <c r="B154" s="1521"/>
      <c r="C154" s="95" t="str">
        <f>T!C194</f>
        <v>Coarse: includes sand, loamy sand, gravel, cobble, stones, boulders, fluvents, fluvaquents, riverwash.</v>
      </c>
      <c r="D154" s="198">
        <f>T!D194</f>
        <v>0</v>
      </c>
      <c r="E154" s="67">
        <v>2</v>
      </c>
      <c r="F154" s="54">
        <f>D154*E154</f>
        <v>0</v>
      </c>
      <c r="G154" s="800"/>
      <c r="H154" s="1521"/>
    </row>
    <row r="155" spans="1:8" s="361" customFormat="1" ht="52.5" customHeight="1" thickBot="1" x14ac:dyDescent="0.3">
      <c r="A155" s="362" t="s">
        <v>126</v>
      </c>
      <c r="B155" s="363" t="s">
        <v>1463</v>
      </c>
      <c r="C155" s="442" t="s">
        <v>1271</v>
      </c>
      <c r="D155" s="862" t="s">
        <v>115</v>
      </c>
      <c r="E155" s="863" t="s">
        <v>771</v>
      </c>
      <c r="F155" s="363" t="s">
        <v>1461</v>
      </c>
      <c r="G155" s="824" t="s">
        <v>770</v>
      </c>
      <c r="H155" s="363" t="s">
        <v>772</v>
      </c>
    </row>
    <row r="156" spans="1:8" s="2" customFormat="1" ht="45" customHeight="1" thickBot="1" x14ac:dyDescent="0.3">
      <c r="A156" s="864" t="str">
        <f>OF!A87</f>
        <v>OF15</v>
      </c>
      <c r="B156" s="1522" t="str">
        <f>OF!B87</f>
        <v>Landscape Functional Deficit (GISscore)</v>
      </c>
      <c r="C156" s="114" t="str">
        <f>OF!C87</f>
        <v xml:space="preserve">In the ORWAP Report, find the AA's 12-digit HUC code.  Then, find that HUC code in the FuncDeficit worksheet in the accompanying Supp_Info file. Select All functions below that have a notation for that HUC code. </v>
      </c>
      <c r="D156" s="848"/>
      <c r="E156" s="865"/>
      <c r="F156" s="866"/>
      <c r="G156" s="867"/>
      <c r="H156" s="1521" t="s">
        <v>674</v>
      </c>
    </row>
    <row r="157" spans="1:8" s="2" customFormat="1" ht="16.2" customHeight="1" thickBot="1" x14ac:dyDescent="0.3">
      <c r="A157" s="864"/>
      <c r="B157" s="1521"/>
      <c r="C157" s="11" t="str">
        <f>OF!C90</f>
        <v>Nutrient transformation (NT)</v>
      </c>
      <c r="D157" s="198">
        <f>OF!D90</f>
        <v>0</v>
      </c>
      <c r="E157" s="868"/>
      <c r="F157" s="844"/>
      <c r="G157" s="869">
        <f>IF((OF!D98=1),"",IF((D157=1),1,0))</f>
        <v>0</v>
      </c>
      <c r="H157" s="1521"/>
    </row>
    <row r="158" spans="1:8" ht="75" customHeight="1" thickBot="1" x14ac:dyDescent="0.3">
      <c r="A158" s="1796" t="str">
        <f>OF!A152</f>
        <v>OF28</v>
      </c>
      <c r="B158" s="1522" t="str">
        <f>OF!B152</f>
        <v>Input Water - Recognized Quality Issues (WQin)</v>
      </c>
      <c r="C158" s="114" t="str">
        <f>OF!C152</f>
        <v xml:space="preserve">According to ORWAP Map Viewer's Water Quality Streams layer and Water Quality Lakes layers, ALL of the following are true:  (a)  within 1 mile upstream from the AA edge, a water body or stream reach is labeled as being 303d, Water Quality Limited (categories 3B-5); Potential Concer; or TMDL Approved AND (b) the problem concerns one or more of the parameters listed below. Select All that apply.   </v>
      </c>
      <c r="D158" s="865"/>
      <c r="E158" s="208"/>
      <c r="F158" s="192"/>
      <c r="G158" s="810">
        <f>IF((OF!D159=1),"",IF((D159+D160&gt;0),1,0))</f>
        <v>0</v>
      </c>
      <c r="H158" s="1522" t="s">
        <v>842</v>
      </c>
    </row>
    <row r="159" spans="1:8" ht="16.2" customHeight="1" x14ac:dyDescent="0.25">
      <c r="A159" s="1797"/>
      <c r="B159" s="1521"/>
      <c r="C159" s="449" t="str">
        <f>OF!C153</f>
        <v>Total suspended solids (TSS), sedimentation, or turbidity.</v>
      </c>
      <c r="D159" s="44">
        <f>OF!D153</f>
        <v>0</v>
      </c>
      <c r="E159" s="848"/>
      <c r="F159" s="54"/>
      <c r="G159" s="872"/>
      <c r="H159" s="1521"/>
    </row>
    <row r="160" spans="1:8" ht="16.2" customHeight="1" thickBot="1" x14ac:dyDescent="0.3">
      <c r="A160" s="1798"/>
      <c r="B160" s="1523"/>
      <c r="C160" s="443" t="str">
        <f>OF!C154</f>
        <v>Phosphorus, chlorophyll-a, or algae.</v>
      </c>
      <c r="D160" s="198">
        <f>OF!D154</f>
        <v>0</v>
      </c>
      <c r="E160" s="470"/>
      <c r="F160" s="193"/>
      <c r="G160" s="874"/>
      <c r="H160" s="1523"/>
    </row>
    <row r="161" spans="1:9" ht="21" customHeight="1" thickBot="1" x14ac:dyDescent="0.3">
      <c r="A161" s="1919" t="str">
        <f>OF!A159</f>
        <v>OF29</v>
      </c>
      <c r="B161" s="1576" t="str">
        <f>OF!B159</f>
        <v>Duration of Connection Beween Problem Area &amp; the AA (ConnecUp)</v>
      </c>
      <c r="C161" s="836" t="str">
        <f>OF!C159</f>
        <v>The upstream problem area mentioned above (OF28) has a surface water connection to the AA:</v>
      </c>
      <c r="D161" s="875"/>
      <c r="E161" s="865"/>
      <c r="F161" s="46"/>
      <c r="G161" s="811" t="str">
        <f>IF((D159+D160&gt;0),MAX(F162:F164)/MAX(E162:E164),"")</f>
        <v/>
      </c>
      <c r="H161" s="1521" t="s">
        <v>681</v>
      </c>
    </row>
    <row r="162" spans="1:9" ht="16.2" customHeight="1" x14ac:dyDescent="0.25">
      <c r="A162" s="1920"/>
      <c r="B162" s="1548"/>
      <c r="C162" s="449" t="str">
        <f>OF!C160</f>
        <v>For 9 or more continuous months annually.</v>
      </c>
      <c r="D162" s="44">
        <f>OF!D160</f>
        <v>0</v>
      </c>
      <c r="E162" s="848">
        <v>3</v>
      </c>
      <c r="F162" s="54">
        <f>D162*E162</f>
        <v>0</v>
      </c>
      <c r="G162" s="872"/>
      <c r="H162" s="1521"/>
    </row>
    <row r="163" spans="1:9" ht="16.2" customHeight="1" x14ac:dyDescent="0.25">
      <c r="A163" s="1920"/>
      <c r="B163" s="1548"/>
      <c r="C163" s="450" t="str">
        <f>OF!C161</f>
        <v>Intermittently (at least once annually, but for less than 9 months continually).</v>
      </c>
      <c r="D163" s="44">
        <f>OF!D161</f>
        <v>0</v>
      </c>
      <c r="E163" s="848">
        <v>2</v>
      </c>
      <c r="F163" s="54">
        <f>D163*E163</f>
        <v>0</v>
      </c>
      <c r="G163" s="872"/>
      <c r="H163" s="1521"/>
    </row>
    <row r="164" spans="1:9" ht="16.2" customHeight="1" thickBot="1" x14ac:dyDescent="0.3">
      <c r="A164" s="1921"/>
      <c r="B164" s="1818"/>
      <c r="C164" s="286" t="str">
        <f>OF!C162</f>
        <v>Never (or less than annually).</v>
      </c>
      <c r="D164" s="198">
        <f>OF!D162</f>
        <v>0</v>
      </c>
      <c r="E164" s="868">
        <v>0</v>
      </c>
      <c r="F164" s="54">
        <f>D164*E164</f>
        <v>0</v>
      </c>
      <c r="G164" s="876"/>
      <c r="H164" s="1521"/>
    </row>
    <row r="165" spans="1:9" ht="75" customHeight="1" thickBot="1" x14ac:dyDescent="0.3">
      <c r="A165" s="1796" t="str">
        <f>OF!A163</f>
        <v>OF30</v>
      </c>
      <c r="B165" s="1522" t="str">
        <f>OF!B163</f>
        <v>Downslope Water Quality Issues (ContamDown)</v>
      </c>
      <c r="C165" s="836" t="str">
        <f>OF!C163</f>
        <v xml:space="preserve">According to ORWAP Map Viewer's  Water Quality Streams layer and Water Quality Lake map layer, ALL of the following are true: (a) within 1 mile downhill or downstream from the AA's edge, a water body is labeled as being 303d, Water Quality Limited (categories 3B-5); Potential Concern; or TMDL Approved AND  (b) the problem concerns one or more of the parameters listed below.  Select All that apply. </v>
      </c>
      <c r="D165" s="875"/>
      <c r="E165" s="208"/>
      <c r="F165" s="241"/>
      <c r="G165" s="810">
        <f>IF((OF!D170=1),"",IF((D166+D167&gt;0),1,0))</f>
        <v>0</v>
      </c>
      <c r="H165" s="1522" t="s">
        <v>369</v>
      </c>
    </row>
    <row r="166" spans="1:9" ht="16.2" customHeight="1" x14ac:dyDescent="0.25">
      <c r="A166" s="1797"/>
      <c r="B166" s="1521"/>
      <c r="C166" s="449" t="str">
        <f>OF!C164</f>
        <v>Total suspended solids (TSS), sedimentation, or turbidity.</v>
      </c>
      <c r="D166" s="44">
        <f>OF!D164</f>
        <v>0</v>
      </c>
      <c r="E166" s="848"/>
      <c r="F166" s="54"/>
      <c r="G166" s="872"/>
      <c r="H166" s="1521"/>
    </row>
    <row r="167" spans="1:9" ht="16.2" customHeight="1" thickBot="1" x14ac:dyDescent="0.3">
      <c r="A167" s="1798"/>
      <c r="B167" s="1523"/>
      <c r="C167" s="443" t="str">
        <f>OF!C165</f>
        <v>Phosphorus, chlorophyll-a, or algae.</v>
      </c>
      <c r="D167" s="198">
        <f>OF!D165</f>
        <v>0</v>
      </c>
      <c r="E167" s="470"/>
      <c r="F167" s="193"/>
      <c r="G167" s="874"/>
      <c r="H167" s="1523"/>
    </row>
    <row r="168" spans="1:9" ht="21" customHeight="1" thickBot="1" x14ac:dyDescent="0.3">
      <c r="A168" s="1791" t="str">
        <f>OF!A170</f>
        <v>OF31</v>
      </c>
      <c r="B168" s="1521" t="str">
        <f>OF!B170</f>
        <v>Duration of Connection Beween AA &amp; Water Quality Problem Area (ConnDown)</v>
      </c>
      <c r="C168" s="114" t="str">
        <f>OF!C170</f>
        <v xml:space="preserve">The connection between the downstream problem area mentioned above (OF30) and the AA: </v>
      </c>
      <c r="D168" s="865"/>
      <c r="E168" s="865"/>
      <c r="F168" s="877"/>
      <c r="G168" s="811" t="str">
        <f>IF((D166+D167&gt;0),MAX(F169:F172)/MAX(E169:E172),"")</f>
        <v/>
      </c>
      <c r="H168" s="1521" t="s">
        <v>677</v>
      </c>
    </row>
    <row r="169" spans="1:9" ht="16.2" customHeight="1" x14ac:dyDescent="0.25">
      <c r="A169" s="1791"/>
      <c r="B169" s="1521"/>
      <c r="C169" s="449" t="str">
        <f>OF!C171</f>
        <v>Is a stream or water body that connects these areas for 9 or more continuous months annually.</v>
      </c>
      <c r="D169" s="44">
        <f>OF!D171</f>
        <v>0</v>
      </c>
      <c r="E169" s="67">
        <v>5</v>
      </c>
      <c r="F169" s="54">
        <f>D169*E169</f>
        <v>0</v>
      </c>
      <c r="G169" s="872"/>
      <c r="H169" s="1521"/>
    </row>
    <row r="170" spans="1:9" ht="27" customHeight="1" x14ac:dyDescent="0.25">
      <c r="A170" s="1791"/>
      <c r="B170" s="1521"/>
      <c r="C170" s="450" t="str">
        <f>OF!C172</f>
        <v>Is a stream or water body that connects these areas intermittently (at least once annually, but for less than 9 months continually).</v>
      </c>
      <c r="D170" s="44">
        <f>OF!D172</f>
        <v>0</v>
      </c>
      <c r="E170" s="67">
        <v>4</v>
      </c>
      <c r="F170" s="54">
        <f>D170*E170</f>
        <v>0</v>
      </c>
      <c r="G170" s="872"/>
      <c r="H170" s="1521"/>
    </row>
    <row r="171" spans="1:9" ht="27" customHeight="1" x14ac:dyDescent="0.25">
      <c r="A171" s="1791"/>
      <c r="B171" s="1521"/>
      <c r="C171" s="450" t="str">
        <f>OF!C173</f>
        <v>Is a probable groundwater connection, or connection via direct runoff only (no channel connection).</v>
      </c>
      <c r="D171" s="44">
        <f>OF!D173</f>
        <v>0</v>
      </c>
      <c r="E171" s="67">
        <v>2</v>
      </c>
      <c r="F171" s="54">
        <f>D171*E171</f>
        <v>0</v>
      </c>
      <c r="G171" s="872"/>
      <c r="H171" s="1521"/>
    </row>
    <row r="172" spans="1:9" ht="27" customHeight="1" thickBot="1" x14ac:dyDescent="0.3">
      <c r="A172" s="1791"/>
      <c r="B172" s="1521"/>
      <c r="C172" s="286" t="str">
        <f>OF!C174</f>
        <v>Never exists (a topographic ridge probably prevents all the AA's runoff and groundwater from reaching the problem area).</v>
      </c>
      <c r="D172" s="198">
        <f>OF!D174</f>
        <v>0</v>
      </c>
      <c r="E172" s="67">
        <v>0</v>
      </c>
      <c r="F172" s="54">
        <f>D172*E172</f>
        <v>0</v>
      </c>
      <c r="G172" s="876"/>
      <c r="H172" s="1521"/>
    </row>
    <row r="173" spans="1:9" ht="30" customHeight="1" thickBot="1" x14ac:dyDescent="0.3">
      <c r="A173" s="1796" t="str">
        <f>OF!A183</f>
        <v>OF34</v>
      </c>
      <c r="B173" s="1522" t="str">
        <f>OF!B183</f>
        <v>Relative Elevation in Watershed (Elev)</v>
      </c>
      <c r="C173" s="836" t="str">
        <f>OF!C183</f>
        <v>In the ORWAP Map Viewer, based on the Hydrologic Boundaries 4th Level (HUC 8) layer (under Watersheds), determine if the AA is:          (See Column E)</v>
      </c>
      <c r="D173" s="549"/>
      <c r="E173" s="210"/>
      <c r="F173" s="192"/>
      <c r="G173" s="810">
        <f>MAX(F174:F176)/MAX(E174:E176)</f>
        <v>0</v>
      </c>
      <c r="H173" s="1522" t="s">
        <v>370</v>
      </c>
      <c r="I173" s="2"/>
    </row>
    <row r="174" spans="1:9" ht="16.2" customHeight="1" x14ac:dyDescent="0.25">
      <c r="A174" s="1797"/>
      <c r="B174" s="1521"/>
      <c r="C174" s="449" t="str">
        <f>OF!C184</f>
        <v>In the upper one-third of its watershed.</v>
      </c>
      <c r="D174" s="44">
        <f>OF!D184</f>
        <v>0</v>
      </c>
      <c r="E174" s="49">
        <v>0</v>
      </c>
      <c r="F174" s="45">
        <f>D174*E174</f>
        <v>0</v>
      </c>
      <c r="G174" s="59"/>
      <c r="H174" s="1521"/>
      <c r="I174" s="2"/>
    </row>
    <row r="175" spans="1:9" ht="16.2" customHeight="1" x14ac:dyDescent="0.25">
      <c r="A175" s="1797"/>
      <c r="B175" s="1521"/>
      <c r="C175" s="449" t="str">
        <f>OF!C185</f>
        <v>In the middle one-third of its watershed.</v>
      </c>
      <c r="D175" s="44">
        <f>OF!D185</f>
        <v>0</v>
      </c>
      <c r="E175" s="49">
        <v>1</v>
      </c>
      <c r="F175" s="45">
        <f>D175*E175</f>
        <v>0</v>
      </c>
      <c r="G175" s="59"/>
      <c r="H175" s="1521"/>
      <c r="I175" s="2"/>
    </row>
    <row r="176" spans="1:9" ht="16.2" customHeight="1" thickBot="1" x14ac:dyDescent="0.3">
      <c r="A176" s="1798"/>
      <c r="B176" s="1523"/>
      <c r="C176" s="468" t="str">
        <f>OF!C186</f>
        <v>In the lower one-third of its watershed.</v>
      </c>
      <c r="D176" s="17">
        <f>OF!D186</f>
        <v>0</v>
      </c>
      <c r="E176" s="245">
        <v>2</v>
      </c>
      <c r="F176" s="193">
        <f>D176*E176</f>
        <v>0</v>
      </c>
      <c r="G176" s="243"/>
      <c r="H176" s="1523"/>
      <c r="I176" s="2"/>
    </row>
    <row r="177" spans="1:9" ht="60" customHeight="1" thickBot="1" x14ac:dyDescent="0.3">
      <c r="A177" s="1791" t="str">
        <f>OF!A187</f>
        <v>OF35</v>
      </c>
      <c r="B177" s="1521" t="str">
        <f>OF!B187</f>
        <v>Runoff Contributing Area (RCA) - Wetland as % of (WetPctRCA)</v>
      </c>
      <c r="C177" s="836" t="str">
        <f>OF!C187</f>
        <v>Delimit the wetland's Runoff Contributing Area (RCA) using a topographic base map.  The area of the AA's wetland is:</v>
      </c>
      <c r="D177" s="875"/>
      <c r="E177" s="865"/>
      <c r="F177" s="867"/>
      <c r="G177" s="811">
        <f>MAX(F178:F181)/MAX(E178:E181)</f>
        <v>0</v>
      </c>
      <c r="H177" s="1521" t="s">
        <v>343</v>
      </c>
      <c r="I177" s="2"/>
    </row>
    <row r="178" spans="1:9" ht="16.2" customHeight="1" x14ac:dyDescent="0.25">
      <c r="A178" s="1791"/>
      <c r="B178" s="1521"/>
      <c r="C178" s="11" t="str">
        <f>OF!C188</f>
        <v>&lt;1% of its RCA.</v>
      </c>
      <c r="D178" s="44">
        <f>OF!D188</f>
        <v>0</v>
      </c>
      <c r="E178" s="848">
        <v>4</v>
      </c>
      <c r="F178" s="45">
        <f>D178*E178</f>
        <v>0</v>
      </c>
      <c r="G178" s="867"/>
      <c r="H178" s="1521"/>
    </row>
    <row r="179" spans="1:9" ht="16.2" customHeight="1" x14ac:dyDescent="0.25">
      <c r="A179" s="1791"/>
      <c r="B179" s="1521"/>
      <c r="C179" s="286" t="str">
        <f>OF!C189</f>
        <v>1 to &lt;10% of its RCA.</v>
      </c>
      <c r="D179" s="44">
        <f>OF!D189</f>
        <v>0</v>
      </c>
      <c r="E179" s="848">
        <v>3</v>
      </c>
      <c r="F179" s="45">
        <f>D179*E179</f>
        <v>0</v>
      </c>
      <c r="G179" s="872"/>
      <c r="H179" s="1521"/>
    </row>
    <row r="180" spans="1:9" ht="16.2" customHeight="1" x14ac:dyDescent="0.25">
      <c r="A180" s="1791"/>
      <c r="B180" s="1521"/>
      <c r="C180" s="286" t="str">
        <f>OF!C190</f>
        <v>10 to 100% of its RCA.</v>
      </c>
      <c r="D180" s="44">
        <f>OF!D190</f>
        <v>0</v>
      </c>
      <c r="E180" s="848">
        <v>2</v>
      </c>
      <c r="F180" s="45">
        <f>D180*E180</f>
        <v>0</v>
      </c>
      <c r="G180" s="872"/>
      <c r="H180" s="1521"/>
    </row>
    <row r="181" spans="1:9" ht="16.2" customHeight="1" thickBot="1" x14ac:dyDescent="0.3">
      <c r="A181" s="1791"/>
      <c r="B181" s="1521"/>
      <c r="C181" s="286" t="str">
        <f>OF!C191</f>
        <v>Larger than the area of its RCA.  Enter 1 and SKIP TO OF39.</v>
      </c>
      <c r="D181" s="17">
        <f>OF!D191</f>
        <v>0</v>
      </c>
      <c r="E181" s="868">
        <v>1</v>
      </c>
      <c r="F181" s="54">
        <f>D181*E181</f>
        <v>0</v>
      </c>
      <c r="G181" s="876"/>
      <c r="H181" s="1521"/>
    </row>
    <row r="182" spans="1:9" ht="30" customHeight="1" thickBot="1" x14ac:dyDescent="0.3">
      <c r="A182" s="1796" t="str">
        <f>OF!A192</f>
        <v>OF36</v>
      </c>
      <c r="B182" s="1522" t="str">
        <f>OF!B192</f>
        <v>Unvegetated % in the RCA (ImpervRCA)</v>
      </c>
      <c r="C182" s="4" t="str">
        <f>OF!C192</f>
        <v>The proportion of the RCA comprised of buildings, roads, parking lots, exposed bedrock, and other surface that is usually unvegetated at the time of peak annual runoff is about:</v>
      </c>
      <c r="D182" s="208"/>
      <c r="E182" s="208"/>
      <c r="F182" s="878"/>
      <c r="G182" s="810">
        <f>IF((NoRCA=1),"",MAX(F183:F185)/MAX(E183:E185))</f>
        <v>0</v>
      </c>
      <c r="H182" s="1522" t="s">
        <v>1228</v>
      </c>
      <c r="I182" s="2"/>
    </row>
    <row r="183" spans="1:9" ht="16.2" customHeight="1" x14ac:dyDescent="0.25">
      <c r="A183" s="1797"/>
      <c r="B183" s="1521"/>
      <c r="C183" s="2" t="str">
        <f>OF!C193</f>
        <v>&lt;10%.</v>
      </c>
      <c r="D183" s="44">
        <f>OF!D193</f>
        <v>0</v>
      </c>
      <c r="E183" s="848">
        <v>0</v>
      </c>
      <c r="F183" s="45">
        <f>D183*E183</f>
        <v>0</v>
      </c>
      <c r="G183" s="867"/>
      <c r="H183" s="1521"/>
    </row>
    <row r="184" spans="1:9" ht="16.2" customHeight="1" x14ac:dyDescent="0.25">
      <c r="A184" s="1797"/>
      <c r="B184" s="1521"/>
      <c r="C184" s="95" t="str">
        <f>OF!C194</f>
        <v>10 to 25%.</v>
      </c>
      <c r="D184" s="44">
        <f>OF!D194</f>
        <v>0</v>
      </c>
      <c r="E184" s="848">
        <v>2</v>
      </c>
      <c r="F184" s="45">
        <f>D184*E184</f>
        <v>0</v>
      </c>
      <c r="G184" s="872"/>
      <c r="H184" s="1521"/>
    </row>
    <row r="185" spans="1:9" ht="16.2" customHeight="1" thickBot="1" x14ac:dyDescent="0.3">
      <c r="A185" s="1798"/>
      <c r="B185" s="1523"/>
      <c r="C185" s="254" t="str">
        <f>OF!C195</f>
        <v>&gt;25%.</v>
      </c>
      <c r="D185" s="198">
        <f>OF!D195</f>
        <v>0</v>
      </c>
      <c r="E185" s="470">
        <v>3</v>
      </c>
      <c r="F185" s="193">
        <f>D185*E185</f>
        <v>0</v>
      </c>
      <c r="G185" s="874"/>
      <c r="H185" s="1523"/>
    </row>
    <row r="186" spans="1:9" ht="60" customHeight="1" thickBot="1" x14ac:dyDescent="0.3">
      <c r="A186" s="1796" t="str">
        <f>OF!A196</f>
        <v>OF37</v>
      </c>
      <c r="B186" s="1522" t="str">
        <f>OF!B196</f>
        <v>Transport From Upslope (TransRCA)</v>
      </c>
      <c r="C186" s="836" t="str">
        <f>OF!C196</f>
        <v>A relatively large proportion of the precipitation that falls farther upslope in the RCA reaches this wetland quickly as indicated by the following: (a) RCA slopes are steep, and/or (b) upslope wetlands historically present have been filled or drained extensively, and/or (c) land cover is mostly non-forest, and/or (d) most RCA soils are shallow.  This statement is:</v>
      </c>
      <c r="D186" s="875"/>
      <c r="E186" s="210"/>
      <c r="F186" s="241"/>
      <c r="G186" s="810">
        <f>IF((NoRCA=1),"",MAX(F187:F189)/MAX(E187:E189))</f>
        <v>0</v>
      </c>
      <c r="H186" s="1522" t="s">
        <v>1226</v>
      </c>
      <c r="I186" s="2"/>
    </row>
    <row r="187" spans="1:9" ht="16.2" customHeight="1" x14ac:dyDescent="0.25">
      <c r="A187" s="1797"/>
      <c r="B187" s="1521"/>
      <c r="C187" s="11" t="str">
        <f>OF!C197</f>
        <v>Mostly true.</v>
      </c>
      <c r="D187" s="44">
        <f>OF!D197</f>
        <v>0</v>
      </c>
      <c r="E187" s="49">
        <v>3</v>
      </c>
      <c r="F187" s="45">
        <f>D187*E187</f>
        <v>0</v>
      </c>
      <c r="G187" s="59"/>
      <c r="H187" s="1521"/>
      <c r="I187" s="2"/>
    </row>
    <row r="188" spans="1:9" ht="16.2" customHeight="1" x14ac:dyDescent="0.25">
      <c r="A188" s="1797"/>
      <c r="B188" s="1521"/>
      <c r="C188" s="286" t="str">
        <f>OF!C198</f>
        <v>Somewhat true.</v>
      </c>
      <c r="D188" s="44">
        <f>OF!D198</f>
        <v>0</v>
      </c>
      <c r="E188" s="49">
        <v>2</v>
      </c>
      <c r="F188" s="45">
        <f>D188*E188</f>
        <v>0</v>
      </c>
      <c r="G188" s="59"/>
      <c r="H188" s="1521"/>
      <c r="I188" s="2"/>
    </row>
    <row r="189" spans="1:9" ht="16.2" customHeight="1" thickBot="1" x14ac:dyDescent="0.3">
      <c r="A189" s="1798"/>
      <c r="B189" s="1523"/>
      <c r="C189" s="443" t="str">
        <f>OF!C199</f>
        <v>Mostly untrue.</v>
      </c>
      <c r="D189" s="17">
        <f>OF!D199</f>
        <v>0</v>
      </c>
      <c r="E189" s="245">
        <v>1</v>
      </c>
      <c r="F189" s="193">
        <f>D189*E189</f>
        <v>0</v>
      </c>
      <c r="G189" s="243"/>
      <c r="H189" s="1523"/>
      <c r="I189" s="2"/>
    </row>
    <row r="190" spans="1:9" ht="30" customHeight="1" thickBot="1" x14ac:dyDescent="0.3">
      <c r="A190" s="1796" t="str">
        <f>OF!A200</f>
        <v>OF38</v>
      </c>
      <c r="B190" s="1522" t="str">
        <f>OF!B200</f>
        <v>Upslope Soil Erodibility Risk (ErodeUp)</v>
      </c>
      <c r="C190" s="836" t="str">
        <f>OF!C200</f>
        <v>According to ORWAP Map Viewer's Oregon Soils layer, the erosion hazard rating of the soil within 200 ft away and upslope of the AA is:</v>
      </c>
      <c r="D190" s="875"/>
      <c r="E190" s="210"/>
      <c r="F190" s="241"/>
      <c r="G190" s="810">
        <f>IF((NoRCA=1),"",IF((D195=1),"",MAX(F191:F194)/MAX(E191:E194)))</f>
        <v>0</v>
      </c>
      <c r="H190" s="1522" t="s">
        <v>1227</v>
      </c>
      <c r="I190" s="2"/>
    </row>
    <row r="191" spans="1:9" ht="16.2" customHeight="1" x14ac:dyDescent="0.25">
      <c r="A191" s="1797"/>
      <c r="B191" s="1521"/>
      <c r="C191" s="11" t="str">
        <f>OF!C201</f>
        <v>Slight.</v>
      </c>
      <c r="D191" s="44">
        <f>OF!D201</f>
        <v>0</v>
      </c>
      <c r="E191" s="49">
        <v>1</v>
      </c>
      <c r="F191" s="45">
        <f>D191*E191</f>
        <v>0</v>
      </c>
      <c r="G191" s="60"/>
      <c r="H191" s="1521"/>
      <c r="I191" s="2"/>
    </row>
    <row r="192" spans="1:9" ht="16.2" customHeight="1" x14ac:dyDescent="0.25">
      <c r="A192" s="1797"/>
      <c r="B192" s="1521"/>
      <c r="C192" s="286" t="str">
        <f>OF!C202</f>
        <v>Moderate.</v>
      </c>
      <c r="D192" s="44">
        <f>OF!D202</f>
        <v>0</v>
      </c>
      <c r="E192" s="49">
        <v>2</v>
      </c>
      <c r="F192" s="45">
        <f>D192*E192</f>
        <v>0</v>
      </c>
      <c r="G192" s="59"/>
      <c r="H192" s="1521"/>
      <c r="I192" s="2"/>
    </row>
    <row r="193" spans="1:9" ht="16.2" customHeight="1" x14ac:dyDescent="0.25">
      <c r="A193" s="1797"/>
      <c r="B193" s="1521"/>
      <c r="C193" s="286" t="str">
        <f>OF!C203</f>
        <v>Severe.</v>
      </c>
      <c r="D193" s="44">
        <f>OF!D203</f>
        <v>0</v>
      </c>
      <c r="E193" s="49">
        <v>3</v>
      </c>
      <c r="F193" s="45">
        <f>D193*E193</f>
        <v>0</v>
      </c>
      <c r="G193" s="59"/>
      <c r="H193" s="1521"/>
      <c r="I193" s="2"/>
    </row>
    <row r="194" spans="1:9" ht="16.2" customHeight="1" x14ac:dyDescent="0.25">
      <c r="A194" s="1797"/>
      <c r="B194" s="1521"/>
      <c r="C194" s="286" t="str">
        <f>OF!C204</f>
        <v>Very severe.</v>
      </c>
      <c r="D194" s="44">
        <f>OF!D204</f>
        <v>0</v>
      </c>
      <c r="E194" s="49">
        <v>4</v>
      </c>
      <c r="F194" s="45">
        <f>D194*E194</f>
        <v>0</v>
      </c>
      <c r="G194" s="59"/>
      <c r="H194" s="1521"/>
      <c r="I194" s="2"/>
    </row>
    <row r="195" spans="1:9" ht="16.2" customHeight="1" thickBot="1" x14ac:dyDescent="0.3">
      <c r="A195" s="1798"/>
      <c r="B195" s="1523"/>
      <c r="C195" s="443" t="str">
        <f>OF!C205</f>
        <v>Could not determine.</v>
      </c>
      <c r="D195" s="17">
        <f>OF!D205</f>
        <v>0</v>
      </c>
      <c r="E195" s="245"/>
      <c r="F195" s="193"/>
      <c r="G195" s="243"/>
      <c r="H195" s="1523"/>
      <c r="I195" s="2"/>
    </row>
    <row r="196" spans="1:9" ht="60" customHeight="1" thickBot="1" x14ac:dyDescent="0.3">
      <c r="A196" s="1791" t="str">
        <f>OF!A206</f>
        <v>OF39</v>
      </c>
      <c r="B196" s="1521" t="str">
        <f>OF!B206</f>
        <v>Streamflow Contributing Area (SCA) - Wetland as % of (WetPctSCA)</v>
      </c>
      <c r="C196" s="438" t="str">
        <f>OF!C206</f>
        <v>Delimit (or visualize, for large river basins) the wetland's Streamflow Contributing Area (SCA) using a topographic base map. The area of the AA's wetland is:</v>
      </c>
      <c r="D196" s="875"/>
      <c r="E196" s="65"/>
      <c r="F196" s="60"/>
      <c r="G196" s="811">
        <f>MAX(F197:F201)/MAX(E197:E201)</f>
        <v>0</v>
      </c>
      <c r="H196" s="1521" t="s">
        <v>1225</v>
      </c>
      <c r="I196" s="2"/>
    </row>
    <row r="197" spans="1:9" ht="16.2" customHeight="1" x14ac:dyDescent="0.25">
      <c r="A197" s="1791"/>
      <c r="B197" s="1521"/>
      <c r="C197" s="11" t="str">
        <f>OF!C207</f>
        <v>&lt;1% of its SCA, or wetland is in the floodplain of a major river.</v>
      </c>
      <c r="D197" s="44">
        <f>OF!D207</f>
        <v>0</v>
      </c>
      <c r="E197" s="49">
        <v>4</v>
      </c>
      <c r="F197" s="45">
        <f>D197*E197</f>
        <v>0</v>
      </c>
      <c r="G197" s="59"/>
      <c r="H197" s="1521"/>
      <c r="I197" s="2"/>
    </row>
    <row r="198" spans="1:9" ht="16.2" customHeight="1" x14ac:dyDescent="0.25">
      <c r="A198" s="1791"/>
      <c r="B198" s="1521"/>
      <c r="C198" s="286" t="str">
        <f>OF!C208</f>
        <v>1 to &lt;10% of its SCA.</v>
      </c>
      <c r="D198" s="44">
        <f>OF!D208</f>
        <v>0</v>
      </c>
      <c r="E198" s="49">
        <v>3</v>
      </c>
      <c r="F198" s="45">
        <f>D198*E198</f>
        <v>0</v>
      </c>
      <c r="G198" s="59"/>
      <c r="H198" s="1521"/>
      <c r="I198" s="2"/>
    </row>
    <row r="199" spans="1:9" ht="16.2" customHeight="1" x14ac:dyDescent="0.25">
      <c r="A199" s="1791"/>
      <c r="B199" s="1521"/>
      <c r="C199" s="286" t="str">
        <f>OF!C209</f>
        <v>10 to 100% of its SCA.</v>
      </c>
      <c r="D199" s="44">
        <f>OF!D209</f>
        <v>0</v>
      </c>
      <c r="E199" s="49">
        <v>2</v>
      </c>
      <c r="F199" s="45">
        <f>D199*E199</f>
        <v>0</v>
      </c>
      <c r="G199" s="59"/>
      <c r="H199" s="1521"/>
      <c r="I199" s="2"/>
    </row>
    <row r="200" spans="1:9" ht="16.2" customHeight="1" x14ac:dyDescent="0.25">
      <c r="A200" s="1791"/>
      <c r="B200" s="1521"/>
      <c r="C200" s="286" t="str">
        <f>OF!C210</f>
        <v>Larger than the area of its SCA.  Enter 1 and SKIP TO OF41.</v>
      </c>
      <c r="D200" s="44">
        <f>OF!D210</f>
        <v>0</v>
      </c>
      <c r="E200" s="49">
        <v>1</v>
      </c>
      <c r="F200" s="45">
        <f>D200*E200</f>
        <v>0</v>
      </c>
      <c r="G200" s="59"/>
      <c r="H200" s="1521"/>
      <c r="I200" s="2"/>
    </row>
    <row r="201" spans="1:9" ht="16.2" customHeight="1" thickBot="1" x14ac:dyDescent="0.3">
      <c r="A201" s="1791"/>
      <c r="B201" s="1521"/>
      <c r="C201" s="286" t="str">
        <f>OF!C211</f>
        <v>Wetland lacks tributaries and receives no overbank water.  Enter 1 and SKIP to OF41.</v>
      </c>
      <c r="D201" s="17">
        <f>OF!D211</f>
        <v>0</v>
      </c>
      <c r="E201" s="67">
        <v>0</v>
      </c>
      <c r="F201" s="54">
        <f>D201*E201</f>
        <v>0</v>
      </c>
      <c r="G201" s="58"/>
      <c r="H201" s="1521"/>
      <c r="I201" s="2"/>
    </row>
    <row r="202" spans="1:9" ht="30" customHeight="1" thickBot="1" x14ac:dyDescent="0.3">
      <c r="A202" s="1796" t="str">
        <f>OF!A212</f>
        <v>OF40</v>
      </c>
      <c r="B202" s="1522" t="str">
        <f>OF!B212</f>
        <v>Unvegetated % in the SCA (ImpervSCA)</v>
      </c>
      <c r="C202" s="836" t="str">
        <f>OF!C212</f>
        <v>The proportion of the SCA comprised of buildings, roads, parking lots, exposed bedrock, and other surface that is usually unvegetated at the time of peak annual runoff is about :</v>
      </c>
      <c r="D202" s="875"/>
      <c r="E202" s="210"/>
      <c r="F202" s="241"/>
      <c r="G202" s="810">
        <f>IF((NoSCA=1),"",MAX(F203:F205)/MAX(E203:E205))</f>
        <v>0</v>
      </c>
      <c r="H202" s="1522" t="s">
        <v>1230</v>
      </c>
      <c r="I202" s="2"/>
    </row>
    <row r="203" spans="1:9" ht="16.2" customHeight="1" x14ac:dyDescent="0.25">
      <c r="A203" s="1797"/>
      <c r="B203" s="1521"/>
      <c r="C203" s="11" t="str">
        <f>OF!C213</f>
        <v>&lt;10%.</v>
      </c>
      <c r="D203" s="44">
        <f>OF!D213</f>
        <v>0</v>
      </c>
      <c r="E203" s="49">
        <v>0</v>
      </c>
      <c r="F203" s="45">
        <f>D203*E203</f>
        <v>0</v>
      </c>
      <c r="G203" s="59"/>
      <c r="H203" s="1521"/>
      <c r="I203" s="2"/>
    </row>
    <row r="204" spans="1:9" ht="16.2" customHeight="1" x14ac:dyDescent="0.25">
      <c r="A204" s="1797"/>
      <c r="B204" s="1521"/>
      <c r="C204" s="286" t="str">
        <f>OF!C214</f>
        <v>10 to 25%.</v>
      </c>
      <c r="D204" s="44">
        <f>OF!D214</f>
        <v>0</v>
      </c>
      <c r="E204" s="49">
        <v>2</v>
      </c>
      <c r="F204" s="45">
        <f>D204*E204</f>
        <v>0</v>
      </c>
      <c r="G204" s="59"/>
      <c r="H204" s="1521"/>
      <c r="I204" s="2"/>
    </row>
    <row r="205" spans="1:9" ht="16.2" customHeight="1" thickBot="1" x14ac:dyDescent="0.3">
      <c r="A205" s="1798"/>
      <c r="B205" s="1523"/>
      <c r="C205" s="443" t="str">
        <f>OF!C215</f>
        <v>&gt;25%.</v>
      </c>
      <c r="D205" s="17">
        <f>OF!D215</f>
        <v>0</v>
      </c>
      <c r="E205" s="245">
        <v>3</v>
      </c>
      <c r="F205" s="193">
        <f>D205*E205</f>
        <v>0</v>
      </c>
      <c r="G205" s="243"/>
      <c r="H205" s="1523"/>
      <c r="I205" s="2"/>
    </row>
    <row r="206" spans="1:9" ht="45" customHeight="1" thickBot="1" x14ac:dyDescent="0.3">
      <c r="A206" s="1791" t="str">
        <f>OF!A220</f>
        <v>OF42</v>
      </c>
      <c r="B206" s="1521" t="str">
        <f>OF!B220</f>
        <v>Zoning (Zoning)</v>
      </c>
      <c r="C206" s="114" t="str">
        <f>OF!C220</f>
        <v>According to ORWAP Map Viewer's Oregon Zoning layer, the dominant zoned land use designation for currently undeveloped parcels upslope from the AA and within 300 ft. of its upland edge is:</v>
      </c>
      <c r="D206" s="208"/>
      <c r="E206" s="65"/>
      <c r="F206" s="60"/>
      <c r="G206" s="811">
        <f>IF((D210=1),"",MAX(F207:F210)/MAX(E207:E210))</f>
        <v>0</v>
      </c>
      <c r="H206" s="1521" t="s">
        <v>678</v>
      </c>
      <c r="I206" s="2"/>
    </row>
    <row r="207" spans="1:9" ht="27" customHeight="1" x14ac:dyDescent="0.25">
      <c r="A207" s="1791"/>
      <c r="B207" s="1521"/>
      <c r="C207" s="11" t="str">
        <f>OF!C221</f>
        <v>Development (Commercial, Industrial, Urban Residential, etc.), or no undeveloped parcels exist upslope from the AA.</v>
      </c>
      <c r="D207" s="44">
        <f>OF!D221</f>
        <v>0</v>
      </c>
      <c r="E207" s="49">
        <v>3</v>
      </c>
      <c r="F207" s="45">
        <f>D207*E207</f>
        <v>0</v>
      </c>
      <c r="G207" s="59"/>
      <c r="H207" s="1521"/>
      <c r="I207" s="2"/>
    </row>
    <row r="208" spans="1:9" ht="16.2" customHeight="1" x14ac:dyDescent="0.25">
      <c r="A208" s="1791"/>
      <c r="B208" s="1521"/>
      <c r="C208" s="286" t="str">
        <f>OF!C222</f>
        <v>Agriculture or Rural Residential.</v>
      </c>
      <c r="D208" s="44">
        <f>OF!D222</f>
        <v>0</v>
      </c>
      <c r="E208" s="49">
        <v>2</v>
      </c>
      <c r="F208" s="45">
        <f>D208*E208</f>
        <v>0</v>
      </c>
      <c r="G208" s="59"/>
      <c r="H208" s="1521"/>
      <c r="I208" s="2"/>
    </row>
    <row r="209" spans="1:9" ht="16.2" customHeight="1" x14ac:dyDescent="0.25">
      <c r="A209" s="1791"/>
      <c r="B209" s="1521"/>
      <c r="C209" s="286" t="str">
        <f>OF!C223</f>
        <v>Forest or Open Space, or entirely public lands.</v>
      </c>
      <c r="D209" s="44">
        <f>OF!D223</f>
        <v>0</v>
      </c>
      <c r="E209" s="49">
        <v>1</v>
      </c>
      <c r="F209" s="45">
        <f>D209*E209</f>
        <v>0</v>
      </c>
      <c r="G209" s="59"/>
      <c r="H209" s="1521"/>
      <c r="I209" s="2"/>
    </row>
    <row r="210" spans="1:9" ht="16.2" customHeight="1" thickBot="1" x14ac:dyDescent="0.3">
      <c r="A210" s="1791"/>
      <c r="B210" s="1521"/>
      <c r="C210" s="286" t="str">
        <f>OF!C224</f>
        <v>Not zoned, or no information.</v>
      </c>
      <c r="D210" s="198">
        <f>OF!D224</f>
        <v>0</v>
      </c>
      <c r="E210" s="67"/>
      <c r="F210" s="54"/>
      <c r="G210" s="58"/>
      <c r="H210" s="1521"/>
      <c r="I210" s="2"/>
    </row>
    <row r="211" spans="1:9" ht="60" customHeight="1" thickBot="1" x14ac:dyDescent="0.3">
      <c r="A211" s="879" t="str">
        <f>F!A171</f>
        <v>F33</v>
      </c>
      <c r="B211" s="114" t="str">
        <f>F!B171</f>
        <v>Tributary or Overbank Inflow (Inflow)</v>
      </c>
      <c r="C211" s="466" t="str">
        <f>F!C171</f>
        <v>At least once annually, surface water from upstream or another water body moves into the AA. It may enter directly, or as unconfined overflow from a contiguous river or lake.  If it enters only via a pipe, that pipe must be fed by a mapped stream or lake further upslope.  Enter 1, if true.  If false, SKIP to F36.</v>
      </c>
      <c r="D211" s="559">
        <f>F!D171</f>
        <v>0</v>
      </c>
      <c r="E211" s="880"/>
      <c r="F211" s="881"/>
      <c r="G211" s="813">
        <f>D211</f>
        <v>0</v>
      </c>
      <c r="H211" s="4" t="s">
        <v>236</v>
      </c>
      <c r="I211" s="2"/>
    </row>
    <row r="212" spans="1:9" ht="30" customHeight="1" thickBot="1" x14ac:dyDescent="0.3">
      <c r="A212" s="1875" t="str">
        <f>F!A172</f>
        <v>F34</v>
      </c>
      <c r="B212" s="1521" t="str">
        <f>F!B172</f>
        <v>Input Channel Gradient (SlopeInChan)</v>
      </c>
      <c r="C212" s="836" t="str">
        <f>F!C172</f>
        <v>The gradient of the tributary with the largest inflow, averaged over the 150 ft. before it enters the AA (but excluding any portion of the distance where water travels through a pipe) is:</v>
      </c>
      <c r="D212" s="875"/>
      <c r="E212" s="865"/>
      <c r="F212" s="867"/>
      <c r="G212" s="882" t="str">
        <f>IF((Inflow=0),"",MAX(F213:F216)/MAX(E213:E216))</f>
        <v/>
      </c>
      <c r="H212" s="1521" t="s">
        <v>237</v>
      </c>
      <c r="I212" s="2"/>
    </row>
    <row r="213" spans="1:9" ht="16.2" customHeight="1" x14ac:dyDescent="0.25">
      <c r="A213" s="1875"/>
      <c r="B213" s="1521"/>
      <c r="C213" s="11" t="str">
        <f>F!C173</f>
        <v>&lt;1%.</v>
      </c>
      <c r="D213" s="44">
        <f>F!D173</f>
        <v>0</v>
      </c>
      <c r="E213" s="49">
        <v>0</v>
      </c>
      <c r="F213" s="45">
        <f>D213*E213</f>
        <v>0</v>
      </c>
      <c r="G213" s="867"/>
      <c r="H213" s="1521"/>
    </row>
    <row r="214" spans="1:9" ht="16.2" customHeight="1" x14ac:dyDescent="0.25">
      <c r="A214" s="1875"/>
      <c r="B214" s="1521"/>
      <c r="C214" s="286" t="str">
        <f>F!C174</f>
        <v>1 to &lt;3%.</v>
      </c>
      <c r="D214" s="44">
        <f>F!D174</f>
        <v>0</v>
      </c>
      <c r="E214" s="49">
        <v>1</v>
      </c>
      <c r="F214" s="45">
        <f>D214*E214</f>
        <v>0</v>
      </c>
      <c r="G214" s="872"/>
      <c r="H214" s="1521"/>
    </row>
    <row r="215" spans="1:9" ht="16.2" customHeight="1" x14ac:dyDescent="0.25">
      <c r="A215" s="1875"/>
      <c r="B215" s="1521"/>
      <c r="C215" s="286" t="str">
        <f>F!C175</f>
        <v>3 to 6%.</v>
      </c>
      <c r="D215" s="44">
        <f>F!D175</f>
        <v>0</v>
      </c>
      <c r="E215" s="49">
        <v>3</v>
      </c>
      <c r="F215" s="45">
        <f>D215*E215</f>
        <v>0</v>
      </c>
      <c r="G215" s="872"/>
      <c r="H215" s="1521"/>
    </row>
    <row r="216" spans="1:9" ht="16.2" customHeight="1" thickBot="1" x14ac:dyDescent="0.3">
      <c r="A216" s="1875"/>
      <c r="B216" s="1521"/>
      <c r="C216" s="286" t="str">
        <f>F!C176</f>
        <v>&gt;6%.</v>
      </c>
      <c r="D216" s="17">
        <f>F!D176</f>
        <v>0</v>
      </c>
      <c r="E216" s="67">
        <v>4</v>
      </c>
      <c r="F216" s="54">
        <f>D216*E216</f>
        <v>0</v>
      </c>
      <c r="G216" s="876"/>
      <c r="H216" s="1521"/>
    </row>
    <row r="217" spans="1:9" ht="30" customHeight="1" thickBot="1" x14ac:dyDescent="0.3">
      <c r="A217" s="1828" t="str">
        <f>F!A260</f>
        <v>F52</v>
      </c>
      <c r="B217" s="1522" t="str">
        <f>F!B260</f>
        <v>Upland Perennial Cover - % of Perimeter (PerimPctPer)</v>
      </c>
      <c r="C217" s="836" t="str">
        <f>F!C260</f>
        <v xml:space="preserve">The percentage of the AA's edge (perimeter) that is comprised of a band of upland perennial cover wider than 10 ft and taller than 6 inches, during most of the growing season is:  </v>
      </c>
      <c r="D217" s="875"/>
      <c r="E217" s="208"/>
      <c r="F217" s="878"/>
      <c r="G217" s="813">
        <f>MAX(F218:F223)/MAX(E218:E223)</f>
        <v>0</v>
      </c>
      <c r="H217" s="1522" t="s">
        <v>843</v>
      </c>
      <c r="I217" s="2"/>
    </row>
    <row r="218" spans="1:9" ht="16.2" customHeight="1" x14ac:dyDescent="0.25">
      <c r="A218" s="1829"/>
      <c r="B218" s="1521"/>
      <c r="C218" s="11" t="str">
        <f>F!C261</f>
        <v>&lt;5%.</v>
      </c>
      <c r="D218" s="44">
        <f>F!D261</f>
        <v>0</v>
      </c>
      <c r="E218" s="848">
        <v>5</v>
      </c>
      <c r="F218" s="45">
        <f t="shared" ref="F218:F223" si="5">D218*E218</f>
        <v>0</v>
      </c>
      <c r="G218" s="867"/>
      <c r="H218" s="1521"/>
    </row>
    <row r="219" spans="1:9" ht="16.2" customHeight="1" x14ac:dyDescent="0.25">
      <c r="A219" s="1829"/>
      <c r="B219" s="1521"/>
      <c r="C219" s="286" t="str">
        <f>F!C262</f>
        <v>5 to &lt;25%.</v>
      </c>
      <c r="D219" s="44">
        <f>F!D262</f>
        <v>0</v>
      </c>
      <c r="E219" s="848">
        <v>4</v>
      </c>
      <c r="F219" s="45">
        <f t="shared" si="5"/>
        <v>0</v>
      </c>
      <c r="G219" s="872"/>
      <c r="H219" s="1521"/>
    </row>
    <row r="220" spans="1:9" ht="16.2" customHeight="1" x14ac:dyDescent="0.25">
      <c r="A220" s="1829"/>
      <c r="B220" s="1521"/>
      <c r="C220" s="286" t="str">
        <f>F!C263</f>
        <v>25 to &lt;50%.</v>
      </c>
      <c r="D220" s="44">
        <f>F!D263</f>
        <v>0</v>
      </c>
      <c r="E220" s="848">
        <v>3</v>
      </c>
      <c r="F220" s="45">
        <f t="shared" si="5"/>
        <v>0</v>
      </c>
      <c r="G220" s="872"/>
      <c r="H220" s="1521"/>
    </row>
    <row r="221" spans="1:9" ht="16.2" customHeight="1" x14ac:dyDescent="0.25">
      <c r="A221" s="1829"/>
      <c r="B221" s="1521"/>
      <c r="C221" s="286" t="str">
        <f>F!C264</f>
        <v>50 to &lt;75%.</v>
      </c>
      <c r="D221" s="44">
        <f>F!D264</f>
        <v>0</v>
      </c>
      <c r="E221" s="848">
        <v>2</v>
      </c>
      <c r="F221" s="45">
        <f t="shared" si="5"/>
        <v>0</v>
      </c>
      <c r="G221" s="872"/>
      <c r="H221" s="1521"/>
    </row>
    <row r="222" spans="1:9" ht="16.2" customHeight="1" x14ac:dyDescent="0.25">
      <c r="A222" s="1829"/>
      <c r="B222" s="1521"/>
      <c r="C222" s="286" t="str">
        <f>F!C265</f>
        <v>75 to 95%.</v>
      </c>
      <c r="D222" s="44">
        <f>F!D265</f>
        <v>0</v>
      </c>
      <c r="E222" s="848">
        <v>1</v>
      </c>
      <c r="F222" s="45">
        <f t="shared" si="5"/>
        <v>0</v>
      </c>
      <c r="G222" s="872"/>
      <c r="H222" s="1521"/>
    </row>
    <row r="223" spans="1:9" ht="16.2" customHeight="1" thickBot="1" x14ac:dyDescent="0.3">
      <c r="A223" s="1830"/>
      <c r="B223" s="1523"/>
      <c r="C223" s="443" t="str">
        <f>F!C266</f>
        <v>&gt;95%.</v>
      </c>
      <c r="D223" s="17">
        <f>F!D266</f>
        <v>0</v>
      </c>
      <c r="E223" s="470">
        <v>0</v>
      </c>
      <c r="F223" s="193">
        <f t="shared" si="5"/>
        <v>0</v>
      </c>
      <c r="G223" s="874"/>
      <c r="H223" s="1523"/>
    </row>
    <row r="224" spans="1:9" ht="73.5" customHeight="1" thickBot="1" x14ac:dyDescent="0.3">
      <c r="A224" s="1793" t="str">
        <f>F!A267</f>
        <v>F53</v>
      </c>
      <c r="B224" s="1522" t="str">
        <f>F!B267</f>
        <v>Upland Perennial Cover - Width (Buffer)  (BuffWidth)</v>
      </c>
      <c r="C224" s="114" t="str">
        <f>F!C267</f>
        <v xml:space="preserve">Along the greatest extent of the AA's upland edge, the width of perennial cover taller than 6 inches that extends upslope from the AA until mostly shorter or non-perennial cover is reached is: 
[Note:  the width is not necessarily the maximum width. Base on vegetation that occurs most of the growing season.] </v>
      </c>
      <c r="D224" s="208"/>
      <c r="E224" s="208"/>
      <c r="F224" s="878"/>
      <c r="G224" s="813">
        <f>MAX(F225:F230)/MAX(E225:E230)</f>
        <v>0</v>
      </c>
      <c r="H224" s="1522" t="s">
        <v>843</v>
      </c>
      <c r="I224" s="2"/>
    </row>
    <row r="225" spans="1:9" ht="16.2" customHeight="1" x14ac:dyDescent="0.25">
      <c r="A225" s="1794"/>
      <c r="B225" s="1521"/>
      <c r="C225" s="11" t="str">
        <f>F!C268</f>
        <v xml:space="preserve">&lt; 5 ft, or none.  </v>
      </c>
      <c r="D225" s="44">
        <f>F!D268</f>
        <v>0</v>
      </c>
      <c r="E225" s="49">
        <v>8</v>
      </c>
      <c r="F225" s="45">
        <f t="shared" ref="F225:F230" si="6">D225*E225</f>
        <v>0</v>
      </c>
      <c r="G225" s="867"/>
      <c r="H225" s="1521"/>
    </row>
    <row r="226" spans="1:9" ht="16.2" customHeight="1" x14ac:dyDescent="0.25">
      <c r="A226" s="1794"/>
      <c r="B226" s="1521"/>
      <c r="C226" s="286" t="str">
        <f>F!C269</f>
        <v>5 to &lt;30 ft.</v>
      </c>
      <c r="D226" s="44">
        <f>F!D269</f>
        <v>0</v>
      </c>
      <c r="E226" s="49">
        <v>5</v>
      </c>
      <c r="F226" s="45">
        <f t="shared" si="6"/>
        <v>0</v>
      </c>
      <c r="G226" s="872"/>
      <c r="H226" s="1521"/>
    </row>
    <row r="227" spans="1:9" ht="16.2" customHeight="1" x14ac:dyDescent="0.25">
      <c r="A227" s="1794"/>
      <c r="B227" s="1521"/>
      <c r="C227" s="286" t="str">
        <f>F!C270</f>
        <v>30 to &lt;50 ft.</v>
      </c>
      <c r="D227" s="44">
        <f>F!D270</f>
        <v>0</v>
      </c>
      <c r="E227" s="49">
        <v>3</v>
      </c>
      <c r="F227" s="45">
        <f t="shared" si="6"/>
        <v>0</v>
      </c>
      <c r="G227" s="872"/>
      <c r="H227" s="1521"/>
    </row>
    <row r="228" spans="1:9" ht="16.2" customHeight="1" x14ac:dyDescent="0.25">
      <c r="A228" s="1794"/>
      <c r="B228" s="1521"/>
      <c r="C228" s="286" t="str">
        <f>F!C271</f>
        <v>50 to &lt;100 ft.</v>
      </c>
      <c r="D228" s="44">
        <f>F!D271</f>
        <v>0</v>
      </c>
      <c r="E228" s="49">
        <v>2</v>
      </c>
      <c r="F228" s="45">
        <f t="shared" si="6"/>
        <v>0</v>
      </c>
      <c r="G228" s="872"/>
      <c r="H228" s="1521"/>
    </row>
    <row r="229" spans="1:9" ht="16.2" customHeight="1" x14ac:dyDescent="0.25">
      <c r="A229" s="1794"/>
      <c r="B229" s="1521"/>
      <c r="C229" s="286" t="str">
        <f>F!C272</f>
        <v>100  to 300 ft.</v>
      </c>
      <c r="D229" s="44">
        <f>F!D272</f>
        <v>0</v>
      </c>
      <c r="E229" s="49">
        <v>1</v>
      </c>
      <c r="F229" s="45">
        <f t="shared" si="6"/>
        <v>0</v>
      </c>
      <c r="G229" s="872"/>
      <c r="H229" s="1521"/>
    </row>
    <row r="230" spans="1:9" ht="16.2" customHeight="1" thickBot="1" x14ac:dyDescent="0.3">
      <c r="A230" s="1795"/>
      <c r="B230" s="1523"/>
      <c r="C230" s="443" t="str">
        <f>F!C273</f>
        <v xml:space="preserve">&gt; 300 ft. </v>
      </c>
      <c r="D230" s="198">
        <f>F!D273</f>
        <v>0</v>
      </c>
      <c r="E230" s="245">
        <v>0</v>
      </c>
      <c r="F230" s="193">
        <f t="shared" si="6"/>
        <v>0</v>
      </c>
      <c r="G230" s="874"/>
      <c r="H230" s="1523"/>
    </row>
    <row r="231" spans="1:9" ht="21" customHeight="1" thickBot="1" x14ac:dyDescent="0.3">
      <c r="A231" s="1916" t="str">
        <f>T!A5</f>
        <v>T1</v>
      </c>
      <c r="B231" s="1522" t="str">
        <f>T!B5</f>
        <v>Estuarine Position (EstPosT)</v>
      </c>
      <c r="C231" s="114" t="str">
        <f>T!C5</f>
        <v>The AA's relative position in the estuary is:</v>
      </c>
      <c r="D231" s="883"/>
      <c r="E231" s="208"/>
      <c r="F231" s="241"/>
      <c r="G231" s="884">
        <f>MAX(F232:F234)/MAX(E232:E234)</f>
        <v>0</v>
      </c>
      <c r="H231" s="1885" t="s">
        <v>1542</v>
      </c>
      <c r="I231" s="2"/>
    </row>
    <row r="232" spans="1:9" ht="27" customHeight="1" x14ac:dyDescent="0.25">
      <c r="A232" s="1917"/>
      <c r="B232" s="1521"/>
      <c r="C232" s="449" t="str">
        <f>T!C6</f>
        <v>Lower 1/3 (often on a bay and distant from the head-of-tide of a major river; includes most saline tidal wetlands).</v>
      </c>
      <c r="D232" s="44">
        <f>T!D6</f>
        <v>0</v>
      </c>
      <c r="E232" s="848">
        <v>2</v>
      </c>
      <c r="F232" s="45">
        <f>D232*E232</f>
        <v>0</v>
      </c>
      <c r="G232" s="885"/>
      <c r="H232" s="1886"/>
      <c r="I232" s="2"/>
    </row>
    <row r="233" spans="1:9" ht="16.2" customHeight="1" x14ac:dyDescent="0.25">
      <c r="A233" s="1917"/>
      <c r="B233" s="1521"/>
      <c r="C233" s="286" t="str">
        <f>T!C7</f>
        <v>Mid 1/3.</v>
      </c>
      <c r="D233" s="44">
        <f>T!D7</f>
        <v>0</v>
      </c>
      <c r="E233" s="848">
        <v>1</v>
      </c>
      <c r="F233" s="45">
        <f>D233*E233</f>
        <v>0</v>
      </c>
      <c r="G233" s="886"/>
      <c r="H233" s="1886"/>
      <c r="I233" s="2"/>
    </row>
    <row r="234" spans="1:9" ht="28.5" customHeight="1" thickBot="1" x14ac:dyDescent="0.3">
      <c r="A234" s="1918"/>
      <c r="B234" s="1523"/>
      <c r="C234" s="887" t="str">
        <f>T!C8</f>
        <v>Upper 1/3 (near the head-of-tide of a major river; includes most brackish and fresh tidal wetlands).</v>
      </c>
      <c r="D234" s="80">
        <f>T!D8</f>
        <v>0</v>
      </c>
      <c r="E234" s="245">
        <v>0</v>
      </c>
      <c r="F234" s="193">
        <f>D234*E234</f>
        <v>0</v>
      </c>
      <c r="G234" s="888"/>
      <c r="H234" s="1887"/>
      <c r="I234" s="2"/>
    </row>
    <row r="235" spans="1:9" ht="30" customHeight="1" thickBot="1" x14ac:dyDescent="0.3">
      <c r="A235" s="1884" t="str">
        <f>T!A168</f>
        <v>T30</v>
      </c>
      <c r="B235" s="1669" t="str">
        <f>T!B168</f>
        <v>Slope from Disturbed Lands (SlopeBufft)</v>
      </c>
      <c r="C235" s="889" t="str">
        <f>T!C168</f>
        <v>The percent slope of the land between the AA and the most extensive disturbed upslope area (i.e., unvegetated or non-perennial cover) is mostly:</v>
      </c>
      <c r="D235" s="890"/>
      <c r="E235" s="93"/>
      <c r="F235" s="825"/>
      <c r="G235" s="891">
        <f>MAX(F236:F240)/MAX(E236:E240)</f>
        <v>0</v>
      </c>
      <c r="H235" s="1522" t="s">
        <v>1588</v>
      </c>
      <c r="I235" s="2"/>
    </row>
    <row r="236" spans="1:9" ht="16.2" customHeight="1" x14ac:dyDescent="0.25">
      <c r="A236" s="1884"/>
      <c r="B236" s="1691"/>
      <c r="C236" s="893" t="str">
        <f>T!C169</f>
        <v>&lt;1% (flat -- almost no noticeable slope).</v>
      </c>
      <c r="D236" s="47">
        <f>T!D169</f>
        <v>0</v>
      </c>
      <c r="E236" s="49">
        <v>0</v>
      </c>
      <c r="F236" s="45">
        <f>D236*E236</f>
        <v>0</v>
      </c>
      <c r="G236" s="792"/>
      <c r="H236" s="1521"/>
    </row>
    <row r="237" spans="1:9" ht="16.2" customHeight="1" x14ac:dyDescent="0.25">
      <c r="A237" s="1884"/>
      <c r="B237" s="1691"/>
      <c r="C237" s="894" t="str">
        <f>T!C170</f>
        <v>2-6%.</v>
      </c>
      <c r="D237" s="47">
        <f>T!D170</f>
        <v>0</v>
      </c>
      <c r="E237" s="49">
        <v>1</v>
      </c>
      <c r="F237" s="45">
        <f>D237*E237</f>
        <v>0</v>
      </c>
      <c r="G237" s="793"/>
      <c r="H237" s="1521"/>
    </row>
    <row r="238" spans="1:9" ht="16.2" customHeight="1" x14ac:dyDescent="0.25">
      <c r="A238" s="1884"/>
      <c r="B238" s="1691"/>
      <c r="C238" s="894" t="str">
        <f>T!C171</f>
        <v>7-10%.</v>
      </c>
      <c r="D238" s="47">
        <f>T!D171</f>
        <v>0</v>
      </c>
      <c r="E238" s="49">
        <v>2</v>
      </c>
      <c r="F238" s="45">
        <f>D238*E238</f>
        <v>0</v>
      </c>
      <c r="G238" s="793"/>
      <c r="H238" s="1521"/>
    </row>
    <row r="239" spans="1:9" ht="16.2" customHeight="1" x14ac:dyDescent="0.25">
      <c r="A239" s="1884"/>
      <c r="B239" s="1691"/>
      <c r="C239" s="450" t="str">
        <f>T!C172</f>
        <v>11-30%.</v>
      </c>
      <c r="D239" s="44">
        <f>T!D172</f>
        <v>0</v>
      </c>
      <c r="E239" s="848">
        <v>3</v>
      </c>
      <c r="F239" s="45">
        <f>D239*E239</f>
        <v>0</v>
      </c>
      <c r="G239" s="793"/>
      <c r="H239" s="1521"/>
    </row>
    <row r="240" spans="1:9" ht="18" customHeight="1" thickBot="1" x14ac:dyDescent="0.3">
      <c r="A240" s="1884"/>
      <c r="B240" s="1691"/>
      <c r="C240" s="286" t="str">
        <f>T!C173</f>
        <v>&gt;30%.</v>
      </c>
      <c r="D240" s="17">
        <f>T!D173</f>
        <v>0</v>
      </c>
      <c r="E240" s="868">
        <v>5</v>
      </c>
      <c r="F240" s="54">
        <f>D240*E240</f>
        <v>0</v>
      </c>
      <c r="G240" s="800"/>
      <c r="H240" s="1521"/>
    </row>
    <row r="241" spans="1:9" ht="33" customHeight="1" thickBot="1" x14ac:dyDescent="0.3">
      <c r="A241" s="895" t="str">
        <f>S!A19</f>
        <v>S2</v>
      </c>
      <c r="B241" s="4" t="str">
        <f>S!B19</f>
        <v>Accelerated Inputs of Nutrients (NutrLoad)</v>
      </c>
      <c r="C241" s="466" t="s">
        <v>1199</v>
      </c>
      <c r="D241" s="248">
        <f>S!F32</f>
        <v>0</v>
      </c>
      <c r="E241" s="880"/>
      <c r="F241" s="835"/>
      <c r="G241" s="896">
        <f>D241</f>
        <v>0</v>
      </c>
      <c r="H241" s="4" t="s">
        <v>30</v>
      </c>
      <c r="I241" s="2"/>
    </row>
    <row r="242" spans="1:9" ht="21" customHeight="1" thickBot="1" x14ac:dyDescent="0.3">
      <c r="A242" s="2"/>
      <c r="B242" s="11"/>
      <c r="C242" s="2"/>
      <c r="D242" s="14"/>
      <c r="E242" s="14"/>
      <c r="F242" s="14"/>
      <c r="G242" s="15"/>
      <c r="H242" s="2"/>
    </row>
    <row r="243" spans="1:9" ht="45" customHeight="1" x14ac:dyDescent="0.25">
      <c r="A243" s="2"/>
      <c r="B243" s="11"/>
      <c r="C243" s="1834" t="s">
        <v>610</v>
      </c>
      <c r="D243" s="1893" t="s">
        <v>1239</v>
      </c>
      <c r="E243" s="1893"/>
      <c r="F243" s="1893"/>
      <c r="G243" s="897">
        <f>AVERAGE(Gradient4,AVERAGE(WetPctRCA4,WetPctSCA4,Girreg4,Gcover4,SoilDisturb4))</f>
        <v>0.1</v>
      </c>
      <c r="H243" s="253" t="s">
        <v>1512</v>
      </c>
    </row>
    <row r="244" spans="1:9" ht="30" customHeight="1" x14ac:dyDescent="0.25">
      <c r="A244" s="2"/>
      <c r="B244" s="11"/>
      <c r="C244" s="1898"/>
      <c r="D244" s="1901" t="s">
        <v>1238</v>
      </c>
      <c r="E244" s="1902"/>
      <c r="F244" s="1902"/>
      <c r="G244" s="898">
        <f>IFERROR(AVERAGE(ThruFlo4,EmPct4,EmArea4,WidthWet4,IceDura4),"")</f>
        <v>0</v>
      </c>
      <c r="H244" s="190" t="s">
        <v>1513</v>
      </c>
    </row>
    <row r="245" spans="1:9" ht="21" customHeight="1" x14ac:dyDescent="0.25">
      <c r="A245" s="2"/>
      <c r="B245" s="11"/>
      <c r="C245" s="1898"/>
      <c r="D245" s="1901" t="s">
        <v>1244</v>
      </c>
      <c r="E245" s="1901"/>
      <c r="F245" s="1901"/>
      <c r="G245" s="898">
        <f>AVERAGE(OutDura3,Constric3)</f>
        <v>0</v>
      </c>
      <c r="H245" s="190" t="s">
        <v>820</v>
      </c>
    </row>
    <row r="246" spans="1:9" ht="21" customHeight="1" x14ac:dyDescent="0.25">
      <c r="A246" s="2"/>
      <c r="B246" s="11"/>
      <c r="C246" s="1898"/>
      <c r="D246" s="1901" t="s">
        <v>637</v>
      </c>
      <c r="E246" s="1901"/>
      <c r="F246" s="1901"/>
      <c r="G246" s="898">
        <f>AVERAGE(SoilTex4,Salin4)</f>
        <v>0</v>
      </c>
      <c r="H246" s="190" t="s">
        <v>1514</v>
      </c>
    </row>
    <row r="247" spans="1:9" ht="21" customHeight="1" x14ac:dyDescent="0.25">
      <c r="A247" s="2"/>
      <c r="B247" s="11"/>
      <c r="C247" s="1898"/>
      <c r="D247" s="1900" t="s">
        <v>638</v>
      </c>
      <c r="E247" s="1900"/>
      <c r="F247" s="1900"/>
      <c r="G247" s="899">
        <f>IFERROR(AVERAGE(PermW4,Algae4,_SAV4,DepthDom4,Fluctu4,Restored4),"")</f>
        <v>0.16666666666666666</v>
      </c>
      <c r="H247" s="190" t="s">
        <v>2244</v>
      </c>
    </row>
    <row r="248" spans="1:9" ht="30" customHeight="1" thickBot="1" x14ac:dyDescent="0.3">
      <c r="A248" s="2"/>
      <c r="B248" s="11"/>
      <c r="C248" s="1899"/>
      <c r="D248" s="1903" t="s">
        <v>614</v>
      </c>
      <c r="E248" s="1904"/>
      <c r="F248" s="1905"/>
      <c r="G248" s="900">
        <f>AVERAGE(SoilTex4T, MAX(EstPosT4,SalinT4),MAX(WidthHiT4,WidthLoT4,LowMarshT4),AVERAGE(WavesT4,GcoverT4))</f>
        <v>0</v>
      </c>
      <c r="H248" s="259" t="s">
        <v>1515</v>
      </c>
    </row>
    <row r="249" spans="1:9" ht="45" customHeight="1" thickBot="1" x14ac:dyDescent="0.3">
      <c r="A249" s="2"/>
      <c r="B249" s="11"/>
      <c r="C249" s="1807" t="s">
        <v>23</v>
      </c>
      <c r="D249" s="1808"/>
      <c r="E249" s="1809"/>
      <c r="F249" s="256" t="s">
        <v>6</v>
      </c>
      <c r="G249" s="901">
        <f>10*(IF((Tidal=1),TidalScorePR,  IF((NoOutlet=1),1, IF((NeverWater=1),AVERAGE(IntercepDry3,Adsorb3), (3*Adsorb3 + 2*AVERAGE(Connec4, Desorb3) + AVERAGE(IntercepWet3,IntercepDry3)))/6)))</f>
        <v>0.36111111111111116</v>
      </c>
      <c r="H249" s="233" t="s">
        <v>1559</v>
      </c>
    </row>
    <row r="250" spans="1:9" ht="88.95" customHeight="1" thickBot="1" x14ac:dyDescent="0.3">
      <c r="A250" s="2"/>
      <c r="B250" s="11"/>
      <c r="C250" s="1871" t="s">
        <v>26</v>
      </c>
      <c r="D250" s="1872"/>
      <c r="E250" s="1873"/>
      <c r="F250" s="256" t="s">
        <v>7</v>
      </c>
      <c r="G250" s="783">
        <f>10*(IF((Tidal=1), (EstPosT4v + 3*AVERAGE(WQin4v,ConnecUp4v,NutrLoad4v) + AVERAGE(ErodeUp4v,SlopeBuffT4v,ImpervRCA4v, Inflow4v,SlopeInChan4v,TransRCA4v) + AVERAGE(BuffWidth4v,PerimPctPer4v,Zoning4v)) /6,
(3*AVERAGE(WQin4v,ConnecUp4v,ContamDown4v, ConnDown4v,NutrLoad4v) + AVERAGE(ErodeUp4v,ImpervRCA4v,ImpervSCA4v, Inflow4v,SlopeInChan4v,TransRCA4v) + AVERAGE(BuffWidth4v,PerimPctPer4v,GISscorePRv,Zoning4v) + AVERAGE(WetPctRCA4v,WetPctSCA4v,Elev4v))/6))</f>
        <v>0</v>
      </c>
      <c r="H250" s="233" t="s">
        <v>1525</v>
      </c>
      <c r="I250" s="2"/>
    </row>
    <row r="251" spans="1:9" ht="21" customHeight="1" thickBot="1" x14ac:dyDescent="0.3">
      <c r="C251" s="107"/>
      <c r="H251" s="11"/>
    </row>
    <row r="252" spans="1:9" ht="21" customHeight="1" thickBot="1" x14ac:dyDescent="0.3">
      <c r="H252" s="257" t="s">
        <v>859</v>
      </c>
    </row>
    <row r="253" spans="1:9" ht="27" customHeight="1" x14ac:dyDescent="0.25">
      <c r="H253" s="715" t="s">
        <v>930</v>
      </c>
    </row>
    <row r="254" spans="1:9" ht="27" customHeight="1" x14ac:dyDescent="0.25">
      <c r="H254" s="716" t="s">
        <v>931</v>
      </c>
    </row>
    <row r="255" spans="1:9" ht="42" customHeight="1" x14ac:dyDescent="0.25">
      <c r="H255" s="716" t="s">
        <v>914</v>
      </c>
    </row>
    <row r="256" spans="1:9" ht="42" customHeight="1" x14ac:dyDescent="0.25">
      <c r="H256" s="716" t="s">
        <v>932</v>
      </c>
    </row>
    <row r="257" spans="8:10" ht="27" customHeight="1" x14ac:dyDescent="0.25">
      <c r="H257" s="716" t="s">
        <v>1282</v>
      </c>
    </row>
    <row r="258" spans="8:10" ht="27" customHeight="1" x14ac:dyDescent="0.25">
      <c r="H258" s="716" t="s">
        <v>1276</v>
      </c>
    </row>
    <row r="259" spans="8:10" ht="27" customHeight="1" x14ac:dyDescent="0.25">
      <c r="H259" s="716" t="s">
        <v>933</v>
      </c>
    </row>
    <row r="260" spans="8:10" ht="42" customHeight="1" x14ac:dyDescent="0.25">
      <c r="H260" s="716" t="s">
        <v>934</v>
      </c>
      <c r="J260" s="43"/>
    </row>
    <row r="261" spans="8:10" ht="27" customHeight="1" x14ac:dyDescent="0.25">
      <c r="H261" s="716" t="s">
        <v>935</v>
      </c>
      <c r="J261" s="43"/>
    </row>
    <row r="262" spans="8:10" ht="57" customHeight="1" x14ac:dyDescent="0.25">
      <c r="H262" s="716" t="s">
        <v>1283</v>
      </c>
      <c r="J262" s="43"/>
    </row>
    <row r="263" spans="8:10" ht="27" customHeight="1" x14ac:dyDescent="0.25">
      <c r="H263" s="716" t="s">
        <v>920</v>
      </c>
      <c r="J263" s="43"/>
    </row>
    <row r="264" spans="8:10" ht="42" customHeight="1" x14ac:dyDescent="0.25">
      <c r="H264" s="716" t="s">
        <v>1284</v>
      </c>
      <c r="J264" s="43"/>
    </row>
    <row r="265" spans="8:10" ht="27" customHeight="1" x14ac:dyDescent="0.25">
      <c r="H265" s="716" t="s">
        <v>1285</v>
      </c>
    </row>
    <row r="266" spans="8:10" ht="42" customHeight="1" x14ac:dyDescent="0.25">
      <c r="H266" s="716" t="s">
        <v>936</v>
      </c>
      <c r="J266" s="43"/>
    </row>
    <row r="267" spans="8:10" ht="42" customHeight="1" x14ac:dyDescent="0.25">
      <c r="H267" s="716" t="s">
        <v>937</v>
      </c>
    </row>
    <row r="268" spans="8:10" ht="42" customHeight="1" x14ac:dyDescent="0.25">
      <c r="H268" s="716" t="s">
        <v>938</v>
      </c>
    </row>
    <row r="269" spans="8:10" ht="27" customHeight="1" x14ac:dyDescent="0.25">
      <c r="H269" s="716" t="s">
        <v>939</v>
      </c>
    </row>
    <row r="270" spans="8:10" ht="27" customHeight="1" x14ac:dyDescent="0.25">
      <c r="H270" s="716" t="s">
        <v>940</v>
      </c>
    </row>
    <row r="271" spans="8:10" ht="42" customHeight="1" x14ac:dyDescent="0.25">
      <c r="H271" s="716" t="s">
        <v>941</v>
      </c>
    </row>
    <row r="272" spans="8:10" ht="42" customHeight="1" x14ac:dyDescent="0.25">
      <c r="H272" s="716" t="s">
        <v>942</v>
      </c>
    </row>
    <row r="273" spans="2:8" ht="42" customHeight="1" x14ac:dyDescent="0.25">
      <c r="H273" s="716" t="s">
        <v>927</v>
      </c>
    </row>
    <row r="274" spans="2:8" ht="42" customHeight="1" thickBot="1" x14ac:dyDescent="0.3">
      <c r="B274" s="40"/>
      <c r="D274" s="52"/>
      <c r="E274" s="40"/>
      <c r="F274" s="40"/>
      <c r="G274" s="40"/>
      <c r="H274" s="717" t="s">
        <v>1286</v>
      </c>
    </row>
  </sheetData>
  <sheetProtection password="C74A" sheet="1" objects="1" scenarios="1" formatCells="0" formatColumns="0" formatRows="0"/>
  <customSheetViews>
    <customSheetView guid="{B8E02330-2419-4DE6-AD01-7ACC7A5D18DD}" scale="75">
      <selection activeCell="H167" sqref="A2:H167"/>
      <pageMargins left="0.75" right="0.75" top="1" bottom="1" header="0.5" footer="0.5"/>
      <pageSetup orientation="portrait" r:id="rId1"/>
      <headerFooter alignWithMargins="0"/>
    </customSheetView>
  </customSheetViews>
  <mergeCells count="140">
    <mergeCell ref="H73:H78"/>
    <mergeCell ref="C250:E250"/>
    <mergeCell ref="A231:A234"/>
    <mergeCell ref="B231:B234"/>
    <mergeCell ref="H206:H210"/>
    <mergeCell ref="H182:H185"/>
    <mergeCell ref="H217:H223"/>
    <mergeCell ref="A217:A223"/>
    <mergeCell ref="A212:A216"/>
    <mergeCell ref="A224:A230"/>
    <mergeCell ref="A206:A210"/>
    <mergeCell ref="B206:B210"/>
    <mergeCell ref="B224:B230"/>
    <mergeCell ref="B190:B195"/>
    <mergeCell ref="H202:H205"/>
    <mergeCell ref="H212:H216"/>
    <mergeCell ref="H190:H195"/>
    <mergeCell ref="H186:H189"/>
    <mergeCell ref="A186:A189"/>
    <mergeCell ref="A202:A205"/>
    <mergeCell ref="H118:H125"/>
    <mergeCell ref="H126:H132"/>
    <mergeCell ref="A161:A164"/>
    <mergeCell ref="A165:A167"/>
    <mergeCell ref="A18:A23"/>
    <mergeCell ref="H24:H30"/>
    <mergeCell ref="A37:A43"/>
    <mergeCell ref="C249:E249"/>
    <mergeCell ref="H53:H58"/>
    <mergeCell ref="B53:B58"/>
    <mergeCell ref="H168:H172"/>
    <mergeCell ref="H177:H181"/>
    <mergeCell ref="H173:H176"/>
    <mergeCell ref="H158:H160"/>
    <mergeCell ref="H224:H230"/>
    <mergeCell ref="H196:H201"/>
    <mergeCell ref="A90:A93"/>
    <mergeCell ref="A84:A89"/>
    <mergeCell ref="B108:B111"/>
    <mergeCell ref="B126:B132"/>
    <mergeCell ref="H90:H93"/>
    <mergeCell ref="H99:H105"/>
    <mergeCell ref="H108:H111"/>
    <mergeCell ref="H84:H89"/>
    <mergeCell ref="A73:A78"/>
    <mergeCell ref="H79:H83"/>
    <mergeCell ref="B79:B83"/>
    <mergeCell ref="B73:B78"/>
    <mergeCell ref="A1:B1"/>
    <mergeCell ref="H8:H12"/>
    <mergeCell ref="H64:H68"/>
    <mergeCell ref="H69:H72"/>
    <mergeCell ref="H37:H43"/>
    <mergeCell ref="A3:A7"/>
    <mergeCell ref="A8:A12"/>
    <mergeCell ref="B3:B7"/>
    <mergeCell ref="B37:B43"/>
    <mergeCell ref="B45:B51"/>
    <mergeCell ref="H3:H7"/>
    <mergeCell ref="H13:H17"/>
    <mergeCell ref="A24:A30"/>
    <mergeCell ref="H31:H36"/>
    <mergeCell ref="B31:B36"/>
    <mergeCell ref="B13:B17"/>
    <mergeCell ref="E1:H1"/>
    <mergeCell ref="A59:A63"/>
    <mergeCell ref="H45:H51"/>
    <mergeCell ref="A13:A17"/>
    <mergeCell ref="A45:A51"/>
    <mergeCell ref="B69:B72"/>
    <mergeCell ref="H18:H23"/>
    <mergeCell ref="A31:A36"/>
    <mergeCell ref="H94:H98"/>
    <mergeCell ref="H156:H157"/>
    <mergeCell ref="B140:B143"/>
    <mergeCell ref="H150:H154"/>
    <mergeCell ref="H140:H143"/>
    <mergeCell ref="H144:H149"/>
    <mergeCell ref="H133:H139"/>
    <mergeCell ref="B156:B157"/>
    <mergeCell ref="B144:B149"/>
    <mergeCell ref="B150:B154"/>
    <mergeCell ref="B133:B139"/>
    <mergeCell ref="B112:B117"/>
    <mergeCell ref="A126:A132"/>
    <mergeCell ref="A112:A117"/>
    <mergeCell ref="A118:A125"/>
    <mergeCell ref="H161:H164"/>
    <mergeCell ref="H165:H167"/>
    <mergeCell ref="H112:H117"/>
    <mergeCell ref="A140:A143"/>
    <mergeCell ref="B165:B167"/>
    <mergeCell ref="A158:A160"/>
    <mergeCell ref="B8:B12"/>
    <mergeCell ref="D243:F243"/>
    <mergeCell ref="B18:B23"/>
    <mergeCell ref="B64:B68"/>
    <mergeCell ref="B177:B181"/>
    <mergeCell ref="B84:B89"/>
    <mergeCell ref="B217:B223"/>
    <mergeCell ref="B161:B164"/>
    <mergeCell ref="B182:B185"/>
    <mergeCell ref="B94:B98"/>
    <mergeCell ref="B90:B93"/>
    <mergeCell ref="B99:B105"/>
    <mergeCell ref="B118:B125"/>
    <mergeCell ref="B173:B176"/>
    <mergeCell ref="B212:B216"/>
    <mergeCell ref="C243:C248"/>
    <mergeCell ref="D247:F247"/>
    <mergeCell ref="B24:B30"/>
    <mergeCell ref="B59:B63"/>
    <mergeCell ref="D245:F245"/>
    <mergeCell ref="D246:F246"/>
    <mergeCell ref="D244:F244"/>
    <mergeCell ref="D248:F248"/>
    <mergeCell ref="H59:H63"/>
    <mergeCell ref="A173:A176"/>
    <mergeCell ref="A182:A185"/>
    <mergeCell ref="A64:A68"/>
    <mergeCell ref="A108:A111"/>
    <mergeCell ref="A235:A240"/>
    <mergeCell ref="B235:B240"/>
    <mergeCell ref="H235:H240"/>
    <mergeCell ref="H231:H234"/>
    <mergeCell ref="A94:A98"/>
    <mergeCell ref="B158:B160"/>
    <mergeCell ref="A150:A154"/>
    <mergeCell ref="B202:B205"/>
    <mergeCell ref="B196:B201"/>
    <mergeCell ref="A133:A139"/>
    <mergeCell ref="A177:A181"/>
    <mergeCell ref="B186:B189"/>
    <mergeCell ref="A190:A195"/>
    <mergeCell ref="A99:A105"/>
    <mergeCell ref="A168:A172"/>
    <mergeCell ref="A144:A149"/>
    <mergeCell ref="A196:A201"/>
    <mergeCell ref="B168:B172"/>
    <mergeCell ref="A69:A72"/>
  </mergeCells>
  <phoneticPr fontId="3" type="noConversion"/>
  <pageMargins left="0.75" right="0.75" top="1" bottom="1" header="0.5" footer="0.5"/>
  <pageSetup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BB65EEA53DC2458C81EB5D85E16BFF" ma:contentTypeVersion="8" ma:contentTypeDescription="Create a new document." ma:contentTypeScope="" ma:versionID="666d68890108c856df658fde6ddb0d63">
  <xsd:schema xmlns:xsd="http://www.w3.org/2001/XMLSchema" xmlns:xs="http://www.w3.org/2001/XMLSchema" xmlns:p="http://schemas.microsoft.com/office/2006/metadata/properties" xmlns:ns1="http://schemas.microsoft.com/sharepoint/v3" xmlns:ns2="3d7f3dc5-1a0e-47a8-a4e3-baca29124432" xmlns:ns3="d0bc210e-e83b-458e-991f-9940c087c845" targetNamespace="http://schemas.microsoft.com/office/2006/metadata/properties" ma:root="true" ma:fieldsID="6e5691bc1e55bd77fd056101608700c4" ns1:_="" ns2:_="" ns3:_="">
    <xsd:import namespace="http://schemas.microsoft.com/sharepoint/v3"/>
    <xsd:import namespace="3d7f3dc5-1a0e-47a8-a4e3-baca29124432"/>
    <xsd:import namespace="d0bc210e-e83b-458e-991f-9940c087c845"/>
    <xsd:element name="properties">
      <xsd:complexType>
        <xsd:sequence>
          <xsd:element name="documentManagement">
            <xsd:complexType>
              <xsd:all>
                <xsd:element ref="ns1:PublishingStartDate" minOccurs="0"/>
                <xsd:element ref="ns1:PublishingExpirationDate" minOccurs="0"/>
                <xsd:element ref="ns2:File_x0020_Type0" minOccurs="0"/>
                <xsd:element ref="ns2:q7rr" minOccurs="0"/>
                <xsd:element ref="ns2:Page" minOccurs="0"/>
                <xsd:element ref="ns2:ju8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7f3dc5-1a0e-47a8-a4e3-baca29124432" elementFormDefault="qualified">
    <xsd:import namespace="http://schemas.microsoft.com/office/2006/documentManagement/types"/>
    <xsd:import namespace="http://schemas.microsoft.com/office/infopath/2007/PartnerControls"/>
    <xsd:element name="File_x0020_Type0" ma:index="10" nillable="true" ma:displayName="File Type" ma:description="Some lists (like &quot;Mitigation Forms&quot; and &quot;Removal-Fill Forms&quot;) on webpages are filtered by &quot;File Type&quot; selected. It is important you select the correct file type." ma:format="Dropdown" ma:internalName="File_x0020_Type0">
      <xsd:simpleType>
        <xsd:restriction base="dms:Choice">
          <xsd:enumeration value="Form"/>
          <xsd:enumeration value="Publication"/>
          <xsd:enumeration value="Map"/>
          <xsd:enumeration value="Inventory"/>
          <xsd:enumeration value="Technical resource"/>
          <xsd:enumeration value="Other supporting document"/>
        </xsd:restriction>
      </xsd:simpleType>
    </xsd:element>
    <xsd:element name="q7rr" ma:index="11" nillable="true" ma:displayName="Title" ma:internalName="q7rr">
      <xsd:simpleType>
        <xsd:restriction base="dms:Text">
          <xsd:maxLength value="255"/>
        </xsd:restriction>
      </xsd:simpleType>
    </xsd:element>
    <xsd:element name="Page" ma:index="12" nillable="true" ma:displayName="Page" ma:description="Some lists (like &quot;Mitigation Forms&quot; and &quot;Removal-Fill Forms&quot;) on webpages are filtered by &quot;Page&quot; type selected. It is important you select the correct pages." ma:internalName="Page">
      <xsd:complexType>
        <xsd:complexContent>
          <xsd:extension base="dms:MultiChoice">
            <xsd:sequence>
              <xsd:element name="Value" maxOccurs="unbounded" minOccurs="0" nillable="true">
                <xsd:simpleType>
                  <xsd:restriction base="dms:Choice">
                    <xsd:enumeration value="Work in Wetlands and Waters"/>
                    <xsd:enumeration value="Removal-Fill"/>
                    <xsd:enumeration value="Inventories and Maps"/>
                    <xsd:enumeration value="Essential Salmonid Habitat"/>
                    <xsd:enumeration value="Identifying Wetlands and Waters"/>
                    <xsd:enumeration value="Mitigating Project Impacts"/>
                    <xsd:enumeration value="Planning for Local Governments"/>
                    <xsd:enumeration value="Delineation Resources"/>
                    <xsd:enumeration value="Tools to Assess Wetlands and Waters"/>
                    <xsd:enumeration value="Pre-Application Meetings"/>
                    <xsd:enumeration value="State Scenic Waterways"/>
                  </xsd:restriction>
                </xsd:simpleType>
              </xsd:element>
            </xsd:sequence>
          </xsd:extension>
        </xsd:complexContent>
      </xsd:complexType>
    </xsd:element>
    <xsd:element name="ju8c" ma:index="14" nillable="true" ma:displayName="Topic" ma:internalName="ju8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bc210e-e83b-458e-991f-9940c087c84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File_x0020_Type0 xmlns="3d7f3dc5-1a0e-47a8-a4e3-baca29124432">Form</File_x0020_Type0>
    <q7rr xmlns="3d7f3dc5-1a0e-47a8-a4e3-baca29124432">ORWAP Calculator Version 3.1</q7rr>
    <Page xmlns="3d7f3dc5-1a0e-47a8-a4e3-baca29124432">
      <Value>Tools to Assess Wetlands and Waters</Value>
    </Page>
    <ju8c xmlns="3d7f3dc5-1a0e-47a8-a4e3-baca29124432" xsi:nil="true"/>
  </documentManagement>
</p:properties>
</file>

<file path=customXml/itemProps1.xml><?xml version="1.0" encoding="utf-8"?>
<ds:datastoreItem xmlns:ds="http://schemas.openxmlformats.org/officeDocument/2006/customXml" ds:itemID="{EFC8F39E-14FB-47F5-AD3F-3D43D936719F}">
  <ds:schemaRefs>
    <ds:schemaRef ds:uri="http://schemas.microsoft.com/sharepoint/v3/contenttype/forms"/>
  </ds:schemaRefs>
</ds:datastoreItem>
</file>

<file path=customXml/itemProps2.xml><?xml version="1.0" encoding="utf-8"?>
<ds:datastoreItem xmlns:ds="http://schemas.openxmlformats.org/officeDocument/2006/customXml" ds:itemID="{0EFCA5CC-58A7-47DA-A3A3-E0A073DAFBE1}"/>
</file>

<file path=customXml/itemProps3.xml><?xml version="1.0" encoding="utf-8"?>
<ds:datastoreItem xmlns:ds="http://schemas.openxmlformats.org/officeDocument/2006/customXml" ds:itemID="{313AB30C-8499-4D1A-88B6-FE0F4E27EFFD}">
  <ds:schemaRefs>
    <ds:schemaRef ds:uri="http://schemas.microsoft.com/office/2006/metadata/properties"/>
    <ds:schemaRef ds:uri="http://schemas.microsoft.com/office/infopath/2007/PartnerControls"/>
    <ds:schemaRef ds:uri="http://schemas.microsoft.com/sharepoint/v3"/>
    <ds:schemaRef ds:uri="e2ce6f67-2a85-45e2-a688-14eecda3208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947</vt:i4>
      </vt:variant>
    </vt:vector>
  </HeadingPairs>
  <TitlesOfParts>
    <vt:vector size="974" baseType="lpstr">
      <vt:lpstr>CoverPg</vt:lpstr>
      <vt:lpstr>OF</vt:lpstr>
      <vt:lpstr>F</vt:lpstr>
      <vt:lpstr>T</vt:lpstr>
      <vt:lpstr>S</vt:lpstr>
      <vt:lpstr>Scores</vt:lpstr>
      <vt:lpstr>WS</vt:lpstr>
      <vt:lpstr>SR</vt:lpstr>
      <vt:lpstr>PR</vt:lpstr>
      <vt:lpstr>NR</vt:lpstr>
      <vt:lpstr>FA</vt:lpstr>
      <vt:lpstr>FR</vt:lpstr>
      <vt:lpstr>AM</vt:lpstr>
      <vt:lpstr>WBN</vt:lpstr>
      <vt:lpstr>WBF</vt:lpstr>
      <vt:lpstr>INV</vt:lpstr>
      <vt:lpstr>PD</vt:lpstr>
      <vt:lpstr>POL</vt:lpstr>
      <vt:lpstr>SBM</vt:lpstr>
      <vt:lpstr>WC</vt:lpstr>
      <vt:lpstr>OE</vt:lpstr>
      <vt:lpstr>CS</vt:lpstr>
      <vt:lpstr>PU</vt:lpstr>
      <vt:lpstr>Sens</vt:lpstr>
      <vt:lpstr>EC</vt:lpstr>
      <vt:lpstr>STR</vt:lpstr>
      <vt:lpstr>Sheet1</vt:lpstr>
      <vt:lpstr>_GDD10</vt:lpstr>
      <vt:lpstr>_GDD11</vt:lpstr>
      <vt:lpstr>_GDD13</vt:lpstr>
      <vt:lpstr>_GDD14</vt:lpstr>
      <vt:lpstr>_GDD18</vt:lpstr>
      <vt:lpstr>_GDD5</vt:lpstr>
      <vt:lpstr>_GDD6</vt:lpstr>
      <vt:lpstr>_GDD7</vt:lpstr>
      <vt:lpstr>_Ice11</vt:lpstr>
      <vt:lpstr>_SAV10</vt:lpstr>
      <vt:lpstr>_SAV11</vt:lpstr>
      <vt:lpstr>_SAV12</vt:lpstr>
      <vt:lpstr>_SAV13</vt:lpstr>
      <vt:lpstr>_SAV4</vt:lpstr>
      <vt:lpstr>_SAV7</vt:lpstr>
      <vt:lpstr>AbioSens</vt:lpstr>
      <vt:lpstr>Adsorb3</vt:lpstr>
      <vt:lpstr>Agric</vt:lpstr>
      <vt:lpstr>Algae12</vt:lpstr>
      <vt:lpstr>Algae13</vt:lpstr>
      <vt:lpstr>Algae19</vt:lpstr>
      <vt:lpstr>Algae4</vt:lpstr>
      <vt:lpstr>Algae9</vt:lpstr>
      <vt:lpstr>AllPermWater</vt:lpstr>
      <vt:lpstr>AllUpPerren</vt:lpstr>
      <vt:lpstr>AltTime8</vt:lpstr>
      <vt:lpstr>AltTiming</vt:lpstr>
      <vt:lpstr>AltTiming10</vt:lpstr>
      <vt:lpstr>AltTiming15</vt:lpstr>
      <vt:lpstr>AltTiming9</vt:lpstr>
      <vt:lpstr>AltTimingT15</vt:lpstr>
      <vt:lpstr>AmphRare11</vt:lpstr>
      <vt:lpstr>AqFertilPD</vt:lpstr>
      <vt:lpstr>AqPestT8</vt:lpstr>
      <vt:lpstr>AqStruc11</vt:lpstr>
      <vt:lpstr>Arid11</vt:lpstr>
      <vt:lpstr>Arid11v</vt:lpstr>
      <vt:lpstr>Arid13v</vt:lpstr>
      <vt:lpstr>Arid14v</vt:lpstr>
      <vt:lpstr>Arid18</vt:lpstr>
      <vt:lpstr>Arid7</vt:lpstr>
      <vt:lpstr>Beaver11</vt:lpstr>
      <vt:lpstr>Beaver13</vt:lpstr>
      <vt:lpstr>Beaver14</vt:lpstr>
      <vt:lpstr>Beaver15</vt:lpstr>
      <vt:lpstr>Beaver18</vt:lpstr>
      <vt:lpstr>Beaver18a</vt:lpstr>
      <vt:lpstr>Biological</vt:lpstr>
      <vt:lpstr>BioSens</vt:lpstr>
      <vt:lpstr>BioStress11</vt:lpstr>
      <vt:lpstr>Bldgs</vt:lpstr>
      <vt:lpstr>BlindChT12</vt:lpstr>
      <vt:lpstr>BlindChT15</vt:lpstr>
      <vt:lpstr>BlindChT7</vt:lpstr>
      <vt:lpstr>BlindChT8</vt:lpstr>
      <vt:lpstr>BlindChT9</vt:lpstr>
      <vt:lpstr>BufferWidthT11</vt:lpstr>
      <vt:lpstr>BuffWidth11</vt:lpstr>
      <vt:lpstr>BuffWidth13</vt:lpstr>
      <vt:lpstr>BuffWidth14</vt:lpstr>
      <vt:lpstr>BuffWidth15</vt:lpstr>
      <vt:lpstr>BuffWidth16</vt:lpstr>
      <vt:lpstr>BuffWidth18</vt:lpstr>
      <vt:lpstr>BuffWidth18a</vt:lpstr>
      <vt:lpstr>BuffWidth20</vt:lpstr>
      <vt:lpstr>BuffWidth2v</vt:lpstr>
      <vt:lpstr>BuffWidth3v</vt:lpstr>
      <vt:lpstr>BuffWidth4v</vt:lpstr>
      <vt:lpstr>BuffWidth8</vt:lpstr>
      <vt:lpstr>BuffWidth9</vt:lpstr>
      <vt:lpstr>BuffWidthT11</vt:lpstr>
      <vt:lpstr>BuffWidthT14</vt:lpstr>
      <vt:lpstr>BuffWidthT15</vt:lpstr>
      <vt:lpstr>BuffWidthT20</vt:lpstr>
      <vt:lpstr>BuffWidthT9</vt:lpstr>
      <vt:lpstr>Cliff14</vt:lpstr>
      <vt:lpstr>Cliff16</vt:lpstr>
      <vt:lpstr>CliffT14</vt:lpstr>
      <vt:lpstr>CliffT16</vt:lpstr>
      <vt:lpstr>Colonizer</vt:lpstr>
      <vt:lpstr>CompetPD</vt:lpstr>
      <vt:lpstr>ConDesig_ESH9</vt:lpstr>
      <vt:lpstr>ConDesigIBA12v</vt:lpstr>
      <vt:lpstr>ConDesigIBA13v</vt:lpstr>
      <vt:lpstr>ConnDown2v</vt:lpstr>
      <vt:lpstr>ConnDown3v</vt:lpstr>
      <vt:lpstr>ConnDown4v</vt:lpstr>
      <vt:lpstr>ConnDown9</vt:lpstr>
      <vt:lpstr>Connec4</vt:lpstr>
      <vt:lpstr>Connec5</vt:lpstr>
      <vt:lpstr>ConnecStress</vt:lpstr>
      <vt:lpstr>Connectiv3</vt:lpstr>
      <vt:lpstr>ConnecUp10</vt:lpstr>
      <vt:lpstr>ConnecUp11</vt:lpstr>
      <vt:lpstr>ConnecUp12</vt:lpstr>
      <vt:lpstr>ConnecUp13</vt:lpstr>
      <vt:lpstr>ConnecUp20</vt:lpstr>
      <vt:lpstr>ConnecUp3v</vt:lpstr>
      <vt:lpstr>ConnecUp4v</vt:lpstr>
      <vt:lpstr>ConnecUp8</vt:lpstr>
      <vt:lpstr>ConnecUp9</vt:lpstr>
      <vt:lpstr>ConnLocalW11</vt:lpstr>
      <vt:lpstr>ConnLocalW13</vt:lpstr>
      <vt:lpstr>ConnLocalW14</vt:lpstr>
      <vt:lpstr>ConnLocalW15</vt:lpstr>
      <vt:lpstr>ConnLocalW18</vt:lpstr>
      <vt:lpstr>ConnLocalW20</vt:lpstr>
      <vt:lpstr>ConnScapeW13</vt:lpstr>
      <vt:lpstr>ConnScapeW14</vt:lpstr>
      <vt:lpstr>ConnScapeW18</vt:lpstr>
      <vt:lpstr>ConnScapeW20</vt:lpstr>
      <vt:lpstr>ConsDesig_ESH9v</vt:lpstr>
      <vt:lpstr>ConsInvest17v</vt:lpstr>
      <vt:lpstr>ConsInvestT17v</vt:lpstr>
      <vt:lpstr>Constric1</vt:lpstr>
      <vt:lpstr>Constric18</vt:lpstr>
      <vt:lpstr>Constric18a</vt:lpstr>
      <vt:lpstr>Constric20</vt:lpstr>
      <vt:lpstr>Constric3</vt:lpstr>
      <vt:lpstr>Constric4</vt:lpstr>
      <vt:lpstr>Constric5</vt:lpstr>
      <vt:lpstr>Constric6</vt:lpstr>
      <vt:lpstr>Constric7</vt:lpstr>
      <vt:lpstr>ConstricT20</vt:lpstr>
      <vt:lpstr>ConstricT7</vt:lpstr>
      <vt:lpstr>Consumables17v</vt:lpstr>
      <vt:lpstr>ContamDown2v</vt:lpstr>
      <vt:lpstr>ContamDown3v</vt:lpstr>
      <vt:lpstr>ContamDown4v</vt:lpstr>
      <vt:lpstr>ContamDown9</vt:lpstr>
      <vt:lpstr>ContamIn10</vt:lpstr>
      <vt:lpstr>ContamIn20</vt:lpstr>
      <vt:lpstr>ContamIn8</vt:lpstr>
      <vt:lpstr>ContamIn9</vt:lpstr>
      <vt:lpstr>Conven</vt:lpstr>
      <vt:lpstr>CoolWater9</vt:lpstr>
      <vt:lpstr>Cttail13</vt:lpstr>
      <vt:lpstr>Cttail14</vt:lpstr>
      <vt:lpstr>DamageType1v</vt:lpstr>
      <vt:lpstr>DeepType</vt:lpstr>
      <vt:lpstr>DepthDom10</vt:lpstr>
      <vt:lpstr>DepthDom12</vt:lpstr>
      <vt:lpstr>DepthDom13</vt:lpstr>
      <vt:lpstr>DepthDom15</vt:lpstr>
      <vt:lpstr>DepthDom18</vt:lpstr>
      <vt:lpstr>DepthDom18a</vt:lpstr>
      <vt:lpstr>DepthDom2</vt:lpstr>
      <vt:lpstr>DepthDom3</vt:lpstr>
      <vt:lpstr>DepthDom4</vt:lpstr>
      <vt:lpstr>DepthDom6</vt:lpstr>
      <vt:lpstr>DepthDom7</vt:lpstr>
      <vt:lpstr>DepthDom8</vt:lpstr>
      <vt:lpstr>DepthDom9</vt:lpstr>
      <vt:lpstr>DepthEven10</vt:lpstr>
      <vt:lpstr>DepthEven12</vt:lpstr>
      <vt:lpstr>DepthEven13</vt:lpstr>
      <vt:lpstr>DepthEven15</vt:lpstr>
      <vt:lpstr>DepthEven8</vt:lpstr>
      <vt:lpstr>Desig17v</vt:lpstr>
      <vt:lpstr>DesigT17v</vt:lpstr>
      <vt:lpstr>Desorb3</vt:lpstr>
      <vt:lpstr>DisRd14</vt:lpstr>
      <vt:lpstr>DistLake12</vt:lpstr>
      <vt:lpstr>DistLake13</vt:lpstr>
      <vt:lpstr>DistOpenL12</vt:lpstr>
      <vt:lpstr>DistOpenL13</vt:lpstr>
      <vt:lpstr>DistOpenL16</vt:lpstr>
      <vt:lpstr>DistPerCov11</vt:lpstr>
      <vt:lpstr>DistPerCov13</vt:lpstr>
      <vt:lpstr>DistPerCov14</vt:lpstr>
      <vt:lpstr>DistPerCov15</vt:lpstr>
      <vt:lpstr>DistPerCov15v</vt:lpstr>
      <vt:lpstr>DistPerCov16</vt:lpstr>
      <vt:lpstr>DistPerCov18</vt:lpstr>
      <vt:lpstr>DistPerCov20</vt:lpstr>
      <vt:lpstr>DistPond11</vt:lpstr>
      <vt:lpstr>DistPond12</vt:lpstr>
      <vt:lpstr>DistPond13</vt:lpstr>
      <vt:lpstr>DistPond14</vt:lpstr>
      <vt:lpstr>DistPond15</vt:lpstr>
      <vt:lpstr>DistPond18</vt:lpstr>
      <vt:lpstr>DistRd11</vt:lpstr>
      <vt:lpstr>DistRd15</vt:lpstr>
      <vt:lpstr>DistRd17v</vt:lpstr>
      <vt:lpstr>DistRd20</vt:lpstr>
      <vt:lpstr>DistTidal12</vt:lpstr>
      <vt:lpstr>DisturbStress</vt:lpstr>
      <vt:lpstr>DriftwoodT14</vt:lpstr>
      <vt:lpstr>DriftwoodT8</vt:lpstr>
      <vt:lpstr>DryIntercept</vt:lpstr>
      <vt:lpstr>DWsource5v</vt:lpstr>
      <vt:lpstr>EdgeShape14</vt:lpstr>
      <vt:lpstr>EdgeShape18</vt:lpstr>
      <vt:lpstr>EdgeShape5</vt:lpstr>
      <vt:lpstr>Elev10</vt:lpstr>
      <vt:lpstr>Elev18</vt:lpstr>
      <vt:lpstr>Elev1v</vt:lpstr>
      <vt:lpstr>Elev2v</vt:lpstr>
      <vt:lpstr>Elev3v</vt:lpstr>
      <vt:lpstr>Elev4v</vt:lpstr>
      <vt:lpstr>Elev7</vt:lpstr>
      <vt:lpstr>Elev9</vt:lpstr>
      <vt:lpstr>EmArea10</vt:lpstr>
      <vt:lpstr>EmArea12</vt:lpstr>
      <vt:lpstr>EmArea13</vt:lpstr>
      <vt:lpstr>EmArea14</vt:lpstr>
      <vt:lpstr>EmArea15</vt:lpstr>
      <vt:lpstr>EmArea3</vt:lpstr>
      <vt:lpstr>EmArea4</vt:lpstr>
      <vt:lpstr>EmArea7</vt:lpstr>
      <vt:lpstr>EmArea8</vt:lpstr>
      <vt:lpstr>EmAreaT12</vt:lpstr>
      <vt:lpstr>EmAreaT14</vt:lpstr>
      <vt:lpstr>EmAreaT15</vt:lpstr>
      <vt:lpstr>EmPct10</vt:lpstr>
      <vt:lpstr>EmPct11</vt:lpstr>
      <vt:lpstr>EmPct12</vt:lpstr>
      <vt:lpstr>EmPct13</vt:lpstr>
      <vt:lpstr>EmPct14</vt:lpstr>
      <vt:lpstr>EmPct15</vt:lpstr>
      <vt:lpstr>EmPct2</vt:lpstr>
      <vt:lpstr>EmPct3</vt:lpstr>
      <vt:lpstr>EmPct4</vt:lpstr>
      <vt:lpstr>EmPct5</vt:lpstr>
      <vt:lpstr>EmPct6</vt:lpstr>
      <vt:lpstr>EmPct7</vt:lpstr>
      <vt:lpstr>EmPct8</vt:lpstr>
      <vt:lpstr>EmPct9</vt:lpstr>
      <vt:lpstr>Entrain3</vt:lpstr>
      <vt:lpstr>ErodeUp20</vt:lpstr>
      <vt:lpstr>ErodeUp3v</vt:lpstr>
      <vt:lpstr>ErodeUp4v</vt:lpstr>
      <vt:lpstr>ESH2v</vt:lpstr>
      <vt:lpstr>EstPosT11</vt:lpstr>
      <vt:lpstr>EstPosT15</vt:lpstr>
      <vt:lpstr>EstPosT4</vt:lpstr>
      <vt:lpstr>EstPosT4v</vt:lpstr>
      <vt:lpstr>EstPosT5</vt:lpstr>
      <vt:lpstr>EstPosT5v</vt:lpstr>
      <vt:lpstr>EstPosT6</vt:lpstr>
      <vt:lpstr>EstPosT7</vt:lpstr>
      <vt:lpstr>ExportPot6</vt:lpstr>
      <vt:lpstr>ExportPot7</vt:lpstr>
      <vt:lpstr>FDam1</vt:lpstr>
      <vt:lpstr>FishAcc10</vt:lpstr>
      <vt:lpstr>FishAcc11</vt:lpstr>
      <vt:lpstr>WBF!FishAcc12</vt:lpstr>
      <vt:lpstr>FishAcc9</vt:lpstr>
      <vt:lpstr>Fishing10v</vt:lpstr>
      <vt:lpstr>FlightHazT12</vt:lpstr>
      <vt:lpstr>FloodProp1v</vt:lpstr>
      <vt:lpstr>Fluc15</vt:lpstr>
      <vt:lpstr>Fluctu1</vt:lpstr>
      <vt:lpstr>Fluctu11</vt:lpstr>
      <vt:lpstr>Fluctu13</vt:lpstr>
      <vt:lpstr>Fluctu3</vt:lpstr>
      <vt:lpstr>Fluctu4</vt:lpstr>
      <vt:lpstr>Fluctu5</vt:lpstr>
      <vt:lpstr>Fluctu6</vt:lpstr>
      <vt:lpstr>Fluctu7</vt:lpstr>
      <vt:lpstr>Fluctu8</vt:lpstr>
      <vt:lpstr>Forb16</vt:lpstr>
      <vt:lpstr>ForbT16</vt:lpstr>
      <vt:lpstr>ForestPct14</vt:lpstr>
      <vt:lpstr>ForestPct20</vt:lpstr>
      <vt:lpstr>ForestPct9</vt:lpstr>
      <vt:lpstr>FreshW</vt:lpstr>
      <vt:lpstr>Friction</vt:lpstr>
      <vt:lpstr>FrozDur7</vt:lpstr>
      <vt:lpstr>FscoreAM8v</vt:lpstr>
      <vt:lpstr>FscoreFR8v</vt:lpstr>
      <vt:lpstr>FscoreSBM</vt:lpstr>
      <vt:lpstr>FscoreSBM8v</vt:lpstr>
      <vt:lpstr>FscoreWBF</vt:lpstr>
      <vt:lpstr>FscoreWBF11v</vt:lpstr>
      <vt:lpstr>FscoreWBF8v</vt:lpstr>
      <vt:lpstr>FscoreWBF9v</vt:lpstr>
      <vt:lpstr>FscoreWBFv10</vt:lpstr>
      <vt:lpstr>FscoreWBN8v</vt:lpstr>
      <vt:lpstr>Gcover1</vt:lpstr>
      <vt:lpstr>Gcover11</vt:lpstr>
      <vt:lpstr>Gcover14</vt:lpstr>
      <vt:lpstr>Gcover16</vt:lpstr>
      <vt:lpstr>Gcover18</vt:lpstr>
      <vt:lpstr>Gcover18a</vt:lpstr>
      <vt:lpstr>Gcover19</vt:lpstr>
      <vt:lpstr>Gcover2</vt:lpstr>
      <vt:lpstr>Gcover3</vt:lpstr>
      <vt:lpstr>Gcover4</vt:lpstr>
      <vt:lpstr>Gcover5</vt:lpstr>
      <vt:lpstr>Gcover6</vt:lpstr>
      <vt:lpstr>Gcover7</vt:lpstr>
      <vt:lpstr>Gcover8</vt:lpstr>
      <vt:lpstr>GcoverT14</vt:lpstr>
      <vt:lpstr>GcoverT18</vt:lpstr>
      <vt:lpstr>GcoverT18a</vt:lpstr>
      <vt:lpstr>GcoverT3</vt:lpstr>
      <vt:lpstr>GcoverT4</vt:lpstr>
      <vt:lpstr>GcoverT5</vt:lpstr>
      <vt:lpstr>GcoverT6</vt:lpstr>
      <vt:lpstr>GcoverT7</vt:lpstr>
      <vt:lpstr>GcoverT8</vt:lpstr>
      <vt:lpstr>GDD2v</vt:lpstr>
      <vt:lpstr>Girreg1</vt:lpstr>
      <vt:lpstr>Girreg11</vt:lpstr>
      <vt:lpstr>Girreg14</vt:lpstr>
      <vt:lpstr>Girreg15</vt:lpstr>
      <vt:lpstr>Girreg16</vt:lpstr>
      <vt:lpstr>Girreg19</vt:lpstr>
      <vt:lpstr>Girreg3</vt:lpstr>
      <vt:lpstr>Girreg4</vt:lpstr>
      <vt:lpstr>Girreg5</vt:lpstr>
      <vt:lpstr>Girreg8</vt:lpstr>
      <vt:lpstr>GirregT15</vt:lpstr>
      <vt:lpstr>GISscoreAMv</vt:lpstr>
      <vt:lpstr>GISscoreFishV</vt:lpstr>
      <vt:lpstr>GISscoreINVv</vt:lpstr>
      <vt:lpstr>GISscorePRv</vt:lpstr>
      <vt:lpstr>GISscoreSRv</vt:lpstr>
      <vt:lpstr>GISscoreWBv</vt:lpstr>
      <vt:lpstr>GISscoreWCv</vt:lpstr>
      <vt:lpstr>GISscoreWS</vt:lpstr>
      <vt:lpstr>GISscoreWSv</vt:lpstr>
      <vt:lpstr>Gradient1</vt:lpstr>
      <vt:lpstr>Gradient11</vt:lpstr>
      <vt:lpstr>Gradient12</vt:lpstr>
      <vt:lpstr>Gradient13</vt:lpstr>
      <vt:lpstr>Gradient3</vt:lpstr>
      <vt:lpstr>Gradient4</vt:lpstr>
      <vt:lpstr>Gradient5</vt:lpstr>
      <vt:lpstr>Gradient6</vt:lpstr>
      <vt:lpstr>Gradient7</vt:lpstr>
      <vt:lpstr>GradientT7</vt:lpstr>
      <vt:lpstr>Groundw1</vt:lpstr>
      <vt:lpstr>Groundw10</vt:lpstr>
      <vt:lpstr>Groundw15</vt:lpstr>
      <vt:lpstr>Groundw2</vt:lpstr>
      <vt:lpstr>Groundw5</vt:lpstr>
      <vt:lpstr>Groundw6</vt:lpstr>
      <vt:lpstr>Groundw7</vt:lpstr>
      <vt:lpstr>Groundw8</vt:lpstr>
      <vt:lpstr>Groundw9</vt:lpstr>
      <vt:lpstr>GrowthRate</vt:lpstr>
      <vt:lpstr>GWrisk5</vt:lpstr>
      <vt:lpstr>Headwater9</vt:lpstr>
      <vt:lpstr>HerbDom12</vt:lpstr>
      <vt:lpstr>HerbDom14</vt:lpstr>
      <vt:lpstr>HerbDom15</vt:lpstr>
      <vt:lpstr>HerbDom16</vt:lpstr>
      <vt:lpstr>HerbDom18</vt:lpstr>
      <vt:lpstr>HerbDom18a</vt:lpstr>
      <vt:lpstr>HerbDom19</vt:lpstr>
      <vt:lpstr>HerbDom8</vt:lpstr>
      <vt:lpstr>HerbExpos12</vt:lpstr>
      <vt:lpstr>HerbExpos13</vt:lpstr>
      <vt:lpstr>HistAccum6</vt:lpstr>
      <vt:lpstr>HistAccum7</vt:lpstr>
      <vt:lpstr>HistOpenland</vt:lpstr>
      <vt:lpstr>HUCbest11</vt:lpstr>
      <vt:lpstr>HUCbest12</vt:lpstr>
      <vt:lpstr>HUCbest13</vt:lpstr>
      <vt:lpstr>HUCbest14</vt:lpstr>
      <vt:lpstr>HUCbest18</vt:lpstr>
      <vt:lpstr>Hunt12v</vt:lpstr>
      <vt:lpstr>Hunt17v</vt:lpstr>
      <vt:lpstr>FA!Hydro10</vt:lpstr>
      <vt:lpstr>Hydro10</vt:lpstr>
      <vt:lpstr>Hydro11</vt:lpstr>
      <vt:lpstr>Hydro12</vt:lpstr>
      <vt:lpstr>Hydro13</vt:lpstr>
      <vt:lpstr>Hydropd1</vt:lpstr>
      <vt:lpstr>Hydropd10</vt:lpstr>
      <vt:lpstr>Hydropd12</vt:lpstr>
      <vt:lpstr>Hydropd13</vt:lpstr>
      <vt:lpstr>Hydropd2</vt:lpstr>
      <vt:lpstr>Hydropd8</vt:lpstr>
      <vt:lpstr>Hydropd9</vt:lpstr>
      <vt:lpstr>HydroStress</vt:lpstr>
      <vt:lpstr>IceDura10</vt:lpstr>
      <vt:lpstr>IceDura12</vt:lpstr>
      <vt:lpstr>IceDura4</vt:lpstr>
      <vt:lpstr>ImpervBuffT9</vt:lpstr>
      <vt:lpstr>ImpervRCA18</vt:lpstr>
      <vt:lpstr>ImpervRCA1v</vt:lpstr>
      <vt:lpstr>ImpervRCA20</vt:lpstr>
      <vt:lpstr>ImpervRCA2v</vt:lpstr>
      <vt:lpstr>ImpervRCA3v</vt:lpstr>
      <vt:lpstr>ImpervRCA4v</vt:lpstr>
      <vt:lpstr>ImpervRCA8</vt:lpstr>
      <vt:lpstr>ImpervRCA9</vt:lpstr>
      <vt:lpstr>ImpervSCA20</vt:lpstr>
      <vt:lpstr>ImpervSCA2v</vt:lpstr>
      <vt:lpstr>ImpervSCA3v</vt:lpstr>
      <vt:lpstr>ImpervSCA4v</vt:lpstr>
      <vt:lpstr>ImpervSCA9</vt:lpstr>
      <vt:lpstr>Inflow</vt:lpstr>
      <vt:lpstr>Inflow15</vt:lpstr>
      <vt:lpstr>Inflow3v</vt:lpstr>
      <vt:lpstr>Inflow4v</vt:lpstr>
      <vt:lpstr>Intercep4</vt:lpstr>
      <vt:lpstr>IntercepDry3</vt:lpstr>
      <vt:lpstr>IntercepWet3</vt:lpstr>
      <vt:lpstr>Invas12</vt:lpstr>
      <vt:lpstr>Invas15</vt:lpstr>
      <vt:lpstr>Invas16</vt:lpstr>
      <vt:lpstr>Invas18</vt:lpstr>
      <vt:lpstr>Invas18a</vt:lpstr>
      <vt:lpstr>Invas19</vt:lpstr>
      <vt:lpstr>InvasDom</vt:lpstr>
      <vt:lpstr>InvasDom1</vt:lpstr>
      <vt:lpstr>InvasDomT</vt:lpstr>
      <vt:lpstr>InvasT15</vt:lpstr>
      <vt:lpstr>InvasT18</vt:lpstr>
      <vt:lpstr>InvasT18a</vt:lpstr>
      <vt:lpstr>InvasT19</vt:lpstr>
      <vt:lpstr>Invest</vt:lpstr>
      <vt:lpstr>WBF!Islands12</vt:lpstr>
      <vt:lpstr>Islands13</vt:lpstr>
      <vt:lpstr>Lentic</vt:lpstr>
      <vt:lpstr>Lentic11</vt:lpstr>
      <vt:lpstr>Lentic12</vt:lpstr>
      <vt:lpstr>Lentic13</vt:lpstr>
      <vt:lpstr>LiveStore</vt:lpstr>
      <vt:lpstr>LiveStore3</vt:lpstr>
      <vt:lpstr>LowerShed</vt:lpstr>
      <vt:lpstr>LowMarshT11</vt:lpstr>
      <vt:lpstr>LowMarshT12</vt:lpstr>
      <vt:lpstr>LowMarshT14</vt:lpstr>
      <vt:lpstr>LowMarshT15</vt:lpstr>
      <vt:lpstr>LowMarshT16</vt:lpstr>
      <vt:lpstr>LowMarshT3</vt:lpstr>
      <vt:lpstr>LowMarshT4</vt:lpstr>
      <vt:lpstr>LowMarshT6</vt:lpstr>
      <vt:lpstr>LowMarshT7</vt:lpstr>
      <vt:lpstr>LowMarshT8</vt:lpstr>
      <vt:lpstr>LowMarshT9</vt:lpstr>
      <vt:lpstr>Lscape11</vt:lpstr>
      <vt:lpstr>Lscape12</vt:lpstr>
      <vt:lpstr>Lscape13</vt:lpstr>
      <vt:lpstr>Lscape14</vt:lpstr>
      <vt:lpstr>Lscape15</vt:lpstr>
      <vt:lpstr>Lscape8</vt:lpstr>
      <vt:lpstr>Lscape9</vt:lpstr>
      <vt:lpstr>LwdT8</vt:lpstr>
      <vt:lpstr>LwdT9</vt:lpstr>
      <vt:lpstr>MethLimit5</vt:lpstr>
      <vt:lpstr>MitSiteT</vt:lpstr>
      <vt:lpstr>MitWet17v</vt:lpstr>
      <vt:lpstr>MitWetT17v</vt:lpstr>
      <vt:lpstr>Moss12</vt:lpstr>
      <vt:lpstr>Moss13</vt:lpstr>
      <vt:lpstr>Moss18a</vt:lpstr>
      <vt:lpstr>Moss5</vt:lpstr>
      <vt:lpstr>Moss6</vt:lpstr>
      <vt:lpstr>Moss7</vt:lpstr>
      <vt:lpstr>NearRiver</vt:lpstr>
      <vt:lpstr>NestSites</vt:lpstr>
      <vt:lpstr>NeverWater</vt:lpstr>
      <vt:lpstr>NewWet15</vt:lpstr>
      <vt:lpstr>NewWet18</vt:lpstr>
      <vt:lpstr>NewWet18a</vt:lpstr>
      <vt:lpstr>NewWet5</vt:lpstr>
      <vt:lpstr>NewWet6</vt:lpstr>
      <vt:lpstr>NewWet7</vt:lpstr>
      <vt:lpstr>Nfix18</vt:lpstr>
      <vt:lpstr>Nfix18a</vt:lpstr>
      <vt:lpstr>Nfix4v</vt:lpstr>
      <vt:lpstr>Nfix7</vt:lpstr>
      <vt:lpstr>Nfix8</vt:lpstr>
      <vt:lpstr>NoDamageData1</vt:lpstr>
      <vt:lpstr>NoDataWQdown</vt:lpstr>
      <vt:lpstr>NoDataWQup</vt:lpstr>
      <vt:lpstr>NoEm</vt:lpstr>
      <vt:lpstr>NoHerb</vt:lpstr>
      <vt:lpstr>NoMowGraze</vt:lpstr>
      <vt:lpstr>NoOut_S</vt:lpstr>
      <vt:lpstr>NoOutlet</vt:lpstr>
      <vt:lpstr>NoOutlet1</vt:lpstr>
      <vt:lpstr>FA!NoOutlet10</vt:lpstr>
      <vt:lpstr>NoOutlet10</vt:lpstr>
      <vt:lpstr>NoOutlet3</vt:lpstr>
      <vt:lpstr>NoOutlet4</vt:lpstr>
      <vt:lpstr>NoOutlet5</vt:lpstr>
      <vt:lpstr>NoOutlet6</vt:lpstr>
      <vt:lpstr>NoPermW10</vt:lpstr>
      <vt:lpstr>NoPond</vt:lpstr>
      <vt:lpstr>NoPond2</vt:lpstr>
      <vt:lpstr>NoPondOW</vt:lpstr>
      <vt:lpstr>NoPondOW2</vt:lpstr>
      <vt:lpstr>NoRCA</vt:lpstr>
      <vt:lpstr>NoSAV</vt:lpstr>
      <vt:lpstr>NoSCA</vt:lpstr>
      <vt:lpstr>NoSCA1</vt:lpstr>
      <vt:lpstr>NoSeasonal</vt:lpstr>
      <vt:lpstr>NoTconnec</vt:lpstr>
      <vt:lpstr>NotNewWet</vt:lpstr>
      <vt:lpstr>NoUpPerCov</vt:lpstr>
      <vt:lpstr>NoWoody</vt:lpstr>
      <vt:lpstr>NutrAvail5</vt:lpstr>
      <vt:lpstr>NutrAvail7</vt:lpstr>
      <vt:lpstr>NutrLoad</vt:lpstr>
      <vt:lpstr>NutrLoad4v</vt:lpstr>
      <vt:lpstr>OpenLpct12</vt:lpstr>
      <vt:lpstr>OpenLpct13</vt:lpstr>
      <vt:lpstr>OpenLpct16</vt:lpstr>
      <vt:lpstr>OpenW</vt:lpstr>
      <vt:lpstr>Organic4</vt:lpstr>
      <vt:lpstr>OutDura1</vt:lpstr>
      <vt:lpstr>OutDura10</vt:lpstr>
      <vt:lpstr>OutDura18</vt:lpstr>
      <vt:lpstr>OutDura18a</vt:lpstr>
      <vt:lpstr>OutDura2v</vt:lpstr>
      <vt:lpstr>OutDura3</vt:lpstr>
      <vt:lpstr>OutDura4</vt:lpstr>
      <vt:lpstr>OutDura5</vt:lpstr>
      <vt:lpstr>OutDura6</vt:lpstr>
      <vt:lpstr>OutDura7</vt:lpstr>
      <vt:lpstr>OutDura9</vt:lpstr>
      <vt:lpstr>OutDuraT11</vt:lpstr>
      <vt:lpstr>OutDuraT7</vt:lpstr>
      <vt:lpstr>OutDuraT9</vt:lpstr>
      <vt:lpstr>OWareaDry13</vt:lpstr>
      <vt:lpstr>OWareaDry17v</vt:lpstr>
      <vt:lpstr>OWareaWet1</vt:lpstr>
      <vt:lpstr>OWareaWet12</vt:lpstr>
      <vt:lpstr>Ownership17v</vt:lpstr>
      <vt:lpstr>OwnershipT17v</vt:lpstr>
      <vt:lpstr>PchemStress11</vt:lpstr>
      <vt:lpstr>PerCovPct11</vt:lpstr>
      <vt:lpstr>PerCovPct14</vt:lpstr>
      <vt:lpstr>PerCovPct16</vt:lpstr>
      <vt:lpstr>PerCovPct18</vt:lpstr>
      <vt:lpstr>PerCovPct20</vt:lpstr>
      <vt:lpstr>PerCovPct9</vt:lpstr>
      <vt:lpstr>PerennAll</vt:lpstr>
      <vt:lpstr>PerimCov13</vt:lpstr>
      <vt:lpstr>PerimPctPer11</vt:lpstr>
      <vt:lpstr>PerimPctPer12</vt:lpstr>
      <vt:lpstr>PerimPctPer13</vt:lpstr>
      <vt:lpstr>PerimPctPer14</vt:lpstr>
      <vt:lpstr>PerimPctPer15</vt:lpstr>
      <vt:lpstr>PerimPctPer16</vt:lpstr>
      <vt:lpstr>PerimPctPer16v</vt:lpstr>
      <vt:lpstr>PerimPctPer18</vt:lpstr>
      <vt:lpstr>PerimPctPer18a</vt:lpstr>
      <vt:lpstr>PerimPctPer20</vt:lpstr>
      <vt:lpstr>PerimPctPer2v</vt:lpstr>
      <vt:lpstr>PerimPctPer3v</vt:lpstr>
      <vt:lpstr>PerimPctPer4v</vt:lpstr>
      <vt:lpstr>PerimPctPer8</vt:lpstr>
      <vt:lpstr>PerimPctPer9</vt:lpstr>
      <vt:lpstr>PerimPctPerT11</vt:lpstr>
      <vt:lpstr>PerimPctPerT14</vt:lpstr>
      <vt:lpstr>PerimPctPerT15</vt:lpstr>
      <vt:lpstr>PerimPctPerT9</vt:lpstr>
      <vt:lpstr>PerimPerT</vt:lpstr>
      <vt:lpstr>PermType</vt:lpstr>
      <vt:lpstr>PermW4</vt:lpstr>
      <vt:lpstr>PermW5</vt:lpstr>
      <vt:lpstr>PermW6</vt:lpstr>
      <vt:lpstr>PermW8</vt:lpstr>
      <vt:lpstr>PermWpct1</vt:lpstr>
      <vt:lpstr>PermWpct10</vt:lpstr>
      <vt:lpstr>PermWpct11</vt:lpstr>
      <vt:lpstr>PermWpct12</vt:lpstr>
      <vt:lpstr>PermWpct13</vt:lpstr>
      <vt:lpstr>PestAnim10</vt:lpstr>
      <vt:lpstr>PestAnim11</vt:lpstr>
      <vt:lpstr>PestAnim19</vt:lpstr>
      <vt:lpstr>PestAnim9</vt:lpstr>
      <vt:lpstr>PhysAccum5</vt:lpstr>
      <vt:lpstr>PlantCov5</vt:lpstr>
      <vt:lpstr>PlantCov7</vt:lpstr>
      <vt:lpstr>Playa</vt:lpstr>
      <vt:lpstr>PollenOff</vt:lpstr>
      <vt:lpstr>PollenOn</vt:lpstr>
      <vt:lpstr>PondWpctDry10</vt:lpstr>
      <vt:lpstr>PondWpctDry11</vt:lpstr>
      <vt:lpstr>PondWpctDry13</vt:lpstr>
      <vt:lpstr>PondWpctDry18</vt:lpstr>
      <vt:lpstr>PondWpctDry18a</vt:lpstr>
      <vt:lpstr>PondWpctDry2</vt:lpstr>
      <vt:lpstr>PondWpctDry9</vt:lpstr>
      <vt:lpstr>PondWpctWet1</vt:lpstr>
      <vt:lpstr>PondWpctWet11</vt:lpstr>
      <vt:lpstr>PondWpctWet12</vt:lpstr>
      <vt:lpstr>PondWpctWet6</vt:lpstr>
      <vt:lpstr>PondWpctWet7</vt:lpstr>
      <vt:lpstr>PondWpctWet8</vt:lpstr>
      <vt:lpstr>F!Print_Area</vt:lpstr>
      <vt:lpstr>OF!Print_Area</vt:lpstr>
      <vt:lpstr>S!Print_Area</vt:lpstr>
      <vt:lpstr>Scores!Print_Area</vt:lpstr>
      <vt:lpstr>T!Print_Area</vt:lpstr>
      <vt:lpstr>PrivateOwn</vt:lpstr>
      <vt:lpstr>PrivateOwnT</vt:lpstr>
      <vt:lpstr>Produc12</vt:lpstr>
      <vt:lpstr>Produc13</vt:lpstr>
      <vt:lpstr>Produc14</vt:lpstr>
      <vt:lpstr>Productiv7</vt:lpstr>
      <vt:lpstr>PRval</vt:lpstr>
      <vt:lpstr>RareFish10</vt:lpstr>
      <vt:lpstr>RareInvert8</vt:lpstr>
      <vt:lpstr>RareOnsite18</vt:lpstr>
      <vt:lpstr>RareOnsite18a</vt:lpstr>
      <vt:lpstr>RareOnsite19</vt:lpstr>
      <vt:lpstr>RarePspp15v</vt:lpstr>
      <vt:lpstr>RarePspp16v</vt:lpstr>
      <vt:lpstr>RareSBM14v</vt:lpstr>
      <vt:lpstr>RareSpPD</vt:lpstr>
      <vt:lpstr>raretyp18</vt:lpstr>
      <vt:lpstr>RareTyp18a</vt:lpstr>
      <vt:lpstr>RareType15v</vt:lpstr>
      <vt:lpstr>RareTypeT</vt:lpstr>
      <vt:lpstr>RareTypeT15v</vt:lpstr>
      <vt:lpstr>RareTypeT2</vt:lpstr>
      <vt:lpstr>RareWBF12v</vt:lpstr>
      <vt:lpstr>RareWBN13v</vt:lpstr>
      <vt:lpstr>RdDens4</vt:lpstr>
      <vt:lpstr>RecPoten17v</vt:lpstr>
      <vt:lpstr>RecPotenT</vt:lpstr>
      <vt:lpstr>Redox4</vt:lpstr>
      <vt:lpstr>Restored4</vt:lpstr>
      <vt:lpstr>RestoredT6</vt:lpstr>
      <vt:lpstr>RiverProx1v</vt:lpstr>
      <vt:lpstr>Salin11</vt:lpstr>
      <vt:lpstr>Salin4</vt:lpstr>
      <vt:lpstr>Salin6</vt:lpstr>
      <vt:lpstr>SalinT11</vt:lpstr>
      <vt:lpstr>SalinT14</vt:lpstr>
      <vt:lpstr>SalinT15</vt:lpstr>
      <vt:lpstr>SalinT3</vt:lpstr>
      <vt:lpstr>SalinT4</vt:lpstr>
      <vt:lpstr>SalinT5</vt:lpstr>
      <vt:lpstr>SalinT6</vt:lpstr>
      <vt:lpstr>SalinT7</vt:lpstr>
      <vt:lpstr>SAVpct8</vt:lpstr>
      <vt:lpstr>SciUse17v</vt:lpstr>
      <vt:lpstr>SciUseT17v</vt:lpstr>
      <vt:lpstr>ScorePLDf</vt:lpstr>
      <vt:lpstr>ScorePOL15v</vt:lpstr>
      <vt:lpstr>ScorePOLf</vt:lpstr>
      <vt:lpstr>ScoreSBM</vt:lpstr>
      <vt:lpstr>ScoreSBM15v</vt:lpstr>
      <vt:lpstr>SeasPct1</vt:lpstr>
      <vt:lpstr>SeasPct12</vt:lpstr>
      <vt:lpstr>SeasPct14</vt:lpstr>
      <vt:lpstr>SeasPct15</vt:lpstr>
      <vt:lpstr>SeasPct16</vt:lpstr>
      <vt:lpstr>SeasPct18</vt:lpstr>
      <vt:lpstr>SeasPct18a</vt:lpstr>
      <vt:lpstr>SeasPct19</vt:lpstr>
      <vt:lpstr>SeasPct3</vt:lpstr>
      <vt:lpstr>SeasPct5</vt:lpstr>
      <vt:lpstr>SeasPct6</vt:lpstr>
      <vt:lpstr>SeasPct7</vt:lpstr>
      <vt:lpstr>SeasPct8</vt:lpstr>
      <vt:lpstr>SeasPct9</vt:lpstr>
      <vt:lpstr>SeasWpct13</vt:lpstr>
      <vt:lpstr>SedIn2</vt:lpstr>
      <vt:lpstr>SedLoad</vt:lpstr>
      <vt:lpstr>SedRCA10</vt:lpstr>
      <vt:lpstr>SedRCA3v</vt:lpstr>
      <vt:lpstr>SedRCA8</vt:lpstr>
      <vt:lpstr>SedRCA9</vt:lpstr>
      <vt:lpstr>ShadeHiT7</vt:lpstr>
      <vt:lpstr>ShadeHiT9</vt:lpstr>
      <vt:lpstr>ShadeLoT7</vt:lpstr>
      <vt:lpstr>ShadeLoT8</vt:lpstr>
      <vt:lpstr>ShadeLoT9</vt:lpstr>
      <vt:lpstr>ShallowType</vt:lpstr>
      <vt:lpstr>Shorebd12</vt:lpstr>
      <vt:lpstr>ShorebdT12</vt:lpstr>
      <vt:lpstr>ShrExpos14</vt:lpstr>
      <vt:lpstr>ShrubExpos15</vt:lpstr>
      <vt:lpstr>ShurbHtDiv14</vt:lpstr>
      <vt:lpstr>SizePerenn11</vt:lpstr>
      <vt:lpstr>SizePerenn14</vt:lpstr>
      <vt:lpstr>SizePerenn15</vt:lpstr>
      <vt:lpstr>SizePerenn16</vt:lpstr>
      <vt:lpstr>SizePerenn18</vt:lpstr>
      <vt:lpstr>SizePerenn20</vt:lpstr>
      <vt:lpstr>SlopeBuffT3</vt:lpstr>
      <vt:lpstr>SlopeBuffT4v</vt:lpstr>
      <vt:lpstr>SlopeInChan3v</vt:lpstr>
      <vt:lpstr>SlopeInChan4v</vt:lpstr>
      <vt:lpstr>SlopeInChanT7</vt:lpstr>
      <vt:lpstr>Snags14</vt:lpstr>
      <vt:lpstr>Snags16</vt:lpstr>
      <vt:lpstr>SoilDisturb</vt:lpstr>
      <vt:lpstr>SoilDisturb15</vt:lpstr>
      <vt:lpstr>SoilDisturb15a</vt:lpstr>
      <vt:lpstr>SoilDisturb3</vt:lpstr>
      <vt:lpstr>SoilDisturb4</vt:lpstr>
      <vt:lpstr>SoilDisturb5</vt:lpstr>
      <vt:lpstr>SoilDisturb6</vt:lpstr>
      <vt:lpstr>SoilDisturb8</vt:lpstr>
      <vt:lpstr>SoilTex1</vt:lpstr>
      <vt:lpstr>SoilTex15</vt:lpstr>
      <vt:lpstr>SoilTex18</vt:lpstr>
      <vt:lpstr>SoilTex18a</vt:lpstr>
      <vt:lpstr>SoilTex4</vt:lpstr>
      <vt:lpstr>SoilTex4T</vt:lpstr>
      <vt:lpstr>SoilTex5</vt:lpstr>
      <vt:lpstr>SoilTex6</vt:lpstr>
      <vt:lpstr>SoilTex7</vt:lpstr>
      <vt:lpstr>SoilTexT15</vt:lpstr>
      <vt:lpstr>SoilTexT18</vt:lpstr>
      <vt:lpstr>SoilTexT18a</vt:lpstr>
      <vt:lpstr>SoilTexT6</vt:lpstr>
      <vt:lpstr>SoilTexT8</vt:lpstr>
      <vt:lpstr>SppArea</vt:lpstr>
      <vt:lpstr>SRvalue</vt:lpstr>
      <vt:lpstr>FA!Stress10</vt:lpstr>
      <vt:lpstr>Stress10</vt:lpstr>
      <vt:lpstr>Stress12</vt:lpstr>
      <vt:lpstr>Stress14</vt:lpstr>
      <vt:lpstr>Stressors13</vt:lpstr>
      <vt:lpstr>Stressors8</vt:lpstr>
      <vt:lpstr>StressPD</vt:lpstr>
      <vt:lpstr>Struc10</vt:lpstr>
      <vt:lpstr>Struc12</vt:lpstr>
      <vt:lpstr>Struc13</vt:lpstr>
      <vt:lpstr>Struc9</vt:lpstr>
      <vt:lpstr>Structure14</vt:lpstr>
      <vt:lpstr>Structure8</vt:lpstr>
      <vt:lpstr>Subsurf</vt:lpstr>
      <vt:lpstr>TempWet</vt:lpstr>
      <vt:lpstr>TerrStruc11</vt:lpstr>
      <vt:lpstr>ThruFlo1</vt:lpstr>
      <vt:lpstr>ThruFlo10</vt:lpstr>
      <vt:lpstr>ThruFlo15</vt:lpstr>
      <vt:lpstr>ThruFlo3</vt:lpstr>
      <vt:lpstr>ThruFlo4</vt:lpstr>
      <vt:lpstr>ThruFlo7</vt:lpstr>
      <vt:lpstr>ThruFlo8</vt:lpstr>
      <vt:lpstr>ThruFlo9</vt:lpstr>
      <vt:lpstr>ThruFlow5</vt:lpstr>
      <vt:lpstr>Tidal</vt:lpstr>
      <vt:lpstr>Tidal_OE</vt:lpstr>
      <vt:lpstr>Tidal11</vt:lpstr>
      <vt:lpstr>TidalScoreCS</vt:lpstr>
      <vt:lpstr>TidalScoreFA</vt:lpstr>
      <vt:lpstr>TidalScoreINV</vt:lpstr>
      <vt:lpstr>TidalScoreNR</vt:lpstr>
      <vt:lpstr>TidalScoreOE</vt:lpstr>
      <vt:lpstr>TidalScorePH</vt:lpstr>
      <vt:lpstr>TidalScorePOL</vt:lpstr>
      <vt:lpstr>TidalScorePR</vt:lpstr>
      <vt:lpstr>TidalScoreS18</vt:lpstr>
      <vt:lpstr>TidalScoreSBM</vt:lpstr>
      <vt:lpstr>TidalScoreSR</vt:lpstr>
      <vt:lpstr>TidalScoreWBF</vt:lpstr>
      <vt:lpstr>TnonT11</vt:lpstr>
      <vt:lpstr>TnonT12</vt:lpstr>
      <vt:lpstr>TnonT14</vt:lpstr>
      <vt:lpstr>TnonT7</vt:lpstr>
      <vt:lpstr>TnonT8</vt:lpstr>
      <vt:lpstr>TnonT9</vt:lpstr>
      <vt:lpstr>TooSteep1</vt:lpstr>
      <vt:lpstr>TooSteep2</vt:lpstr>
      <vt:lpstr>TransRCA1v</vt:lpstr>
      <vt:lpstr>TransRCA20</vt:lpstr>
      <vt:lpstr>TransRCA3v</vt:lpstr>
      <vt:lpstr>TransRCA4v</vt:lpstr>
      <vt:lpstr>TreeDiams14</vt:lpstr>
      <vt:lpstr>TreeDiams16</vt:lpstr>
      <vt:lpstr>TreeDiams18</vt:lpstr>
      <vt:lpstr>TreeDiams18a</vt:lpstr>
      <vt:lpstr>TreeDiams6</vt:lpstr>
      <vt:lpstr>UniqPatch11</vt:lpstr>
      <vt:lpstr>UniqPatch12v</vt:lpstr>
      <vt:lpstr>UniqPatch13v</vt:lpstr>
      <vt:lpstr>UniqPatch14v</vt:lpstr>
      <vt:lpstr>UniqPatch15v</vt:lpstr>
      <vt:lpstr>UniqPatch16v</vt:lpstr>
      <vt:lpstr>UniqPatch18</vt:lpstr>
      <vt:lpstr>UniqPatch8</vt:lpstr>
      <vt:lpstr>UpTreePctPer12</vt:lpstr>
      <vt:lpstr>UpTreePctPer13</vt:lpstr>
      <vt:lpstr>UpTreePctPer14</vt:lpstr>
      <vt:lpstr>UpTreePctPer1v</vt:lpstr>
      <vt:lpstr>UpTreePctPer9</vt:lpstr>
      <vt:lpstr>UpWeed15</vt:lpstr>
      <vt:lpstr>UpWeed20</vt:lpstr>
      <vt:lpstr>UsesT17v</vt:lpstr>
      <vt:lpstr>VegCut11</vt:lpstr>
      <vt:lpstr>VegCut13</vt:lpstr>
      <vt:lpstr>VegCut14</vt:lpstr>
      <vt:lpstr>VegCut15</vt:lpstr>
      <vt:lpstr>VegCut19</vt:lpstr>
      <vt:lpstr>VegCut3</vt:lpstr>
      <vt:lpstr>VegCutT15</vt:lpstr>
      <vt:lpstr>VegCutT19</vt:lpstr>
      <vt:lpstr>VegFormDivT15</vt:lpstr>
      <vt:lpstr>VegFormDivT8</vt:lpstr>
      <vt:lpstr>VegFormDomT6</vt:lpstr>
      <vt:lpstr>VegFormDomT7</vt:lpstr>
      <vt:lpstr>VegformsT12</vt:lpstr>
      <vt:lpstr>VegformsT14</vt:lpstr>
      <vt:lpstr>VegformsT18</vt:lpstr>
      <vt:lpstr>VegFormsT18a</vt:lpstr>
      <vt:lpstr>VegformsT6</vt:lpstr>
      <vt:lpstr>VegformsT7</vt:lpstr>
      <vt:lpstr>VegSpDomT14</vt:lpstr>
      <vt:lpstr>VegSpDomT15</vt:lpstr>
      <vt:lpstr>VegSpDomT16</vt:lpstr>
      <vt:lpstr>VegSpDomT18</vt:lpstr>
      <vt:lpstr>VegSpDomT18a</vt:lpstr>
      <vt:lpstr>VegSpDomT8</vt:lpstr>
      <vt:lpstr>Visibil12v</vt:lpstr>
      <vt:lpstr>Visibil13v</vt:lpstr>
      <vt:lpstr>Visibil14v</vt:lpstr>
      <vt:lpstr>Visibil17v</vt:lpstr>
      <vt:lpstr>Visibil20</vt:lpstr>
      <vt:lpstr>VisitNo11</vt:lpstr>
      <vt:lpstr>VisitNo12</vt:lpstr>
      <vt:lpstr>VisitNo13</vt:lpstr>
      <vt:lpstr>VisitNo14</vt:lpstr>
      <vt:lpstr>VisitNo15</vt:lpstr>
      <vt:lpstr>VisitNo17v</vt:lpstr>
      <vt:lpstr>VisitNo20</vt:lpstr>
      <vt:lpstr>VisitNoT12</vt:lpstr>
      <vt:lpstr>VisitNoT15</vt:lpstr>
      <vt:lpstr>VisitNoT17v</vt:lpstr>
      <vt:lpstr>VisitOften11</vt:lpstr>
      <vt:lpstr>VisitOften12</vt:lpstr>
      <vt:lpstr>VisitOften13</vt:lpstr>
      <vt:lpstr>VisitOften14</vt:lpstr>
      <vt:lpstr>VisitOften15</vt:lpstr>
      <vt:lpstr>VisitOften17v</vt:lpstr>
      <vt:lpstr>VisitOften20</vt:lpstr>
      <vt:lpstr>VisitOftenT12</vt:lpstr>
      <vt:lpstr>VisitOftenT15</vt:lpstr>
      <vt:lpstr>VisitOftenT17v</vt:lpstr>
      <vt:lpstr>Warmth4</vt:lpstr>
      <vt:lpstr>Warmth6</vt:lpstr>
      <vt:lpstr>WaterMixDry11</vt:lpstr>
      <vt:lpstr>WaterMixDry13</vt:lpstr>
      <vt:lpstr>WaterMixDry5</vt:lpstr>
      <vt:lpstr>WaterMixDry8</vt:lpstr>
      <vt:lpstr>WaterMixWet11</vt:lpstr>
      <vt:lpstr>WaterMixWet12</vt:lpstr>
      <vt:lpstr>WaterMixWet13</vt:lpstr>
      <vt:lpstr>WaterMixWet14</vt:lpstr>
      <vt:lpstr>WaterMixWet15</vt:lpstr>
      <vt:lpstr>WaterMixWet5</vt:lpstr>
      <vt:lpstr>Waterscape11</vt:lpstr>
      <vt:lpstr>WavesT3</vt:lpstr>
      <vt:lpstr>WavesT3v</vt:lpstr>
      <vt:lpstr>WavesT4</vt:lpstr>
      <vt:lpstr>WavesT7</vt:lpstr>
      <vt:lpstr>Wells5v</vt:lpstr>
      <vt:lpstr>WetIntercept</vt:lpstr>
      <vt:lpstr>WetPctRCA1</vt:lpstr>
      <vt:lpstr>WetPctRCA1v</vt:lpstr>
      <vt:lpstr>WetPctRCA2v</vt:lpstr>
      <vt:lpstr>WetPctRCA3</vt:lpstr>
      <vt:lpstr>WetPctRCA3v</vt:lpstr>
      <vt:lpstr>WetPctRCA4</vt:lpstr>
      <vt:lpstr>WetPctRCA4v</vt:lpstr>
      <vt:lpstr>WetPctSCA1</vt:lpstr>
      <vt:lpstr>WetPctSCA2v</vt:lpstr>
      <vt:lpstr>WetPctSCA3</vt:lpstr>
      <vt:lpstr>WetPctSCA3v</vt:lpstr>
      <vt:lpstr>WetPctSCA4</vt:lpstr>
      <vt:lpstr>WetPctSCA4v</vt:lpstr>
      <vt:lpstr>WidthDry13</vt:lpstr>
      <vt:lpstr>WidthHiT11</vt:lpstr>
      <vt:lpstr>WidthHiT14</vt:lpstr>
      <vt:lpstr>WidthHiT15</vt:lpstr>
      <vt:lpstr>WidthHiT16</vt:lpstr>
      <vt:lpstr>WidthHiT3</vt:lpstr>
      <vt:lpstr>WidthHiT4</vt:lpstr>
      <vt:lpstr>WidthHiT5</vt:lpstr>
      <vt:lpstr>WidthHiT6</vt:lpstr>
      <vt:lpstr>WidthHiT7</vt:lpstr>
      <vt:lpstr>WidthHiT9</vt:lpstr>
      <vt:lpstr>WidthLoT12</vt:lpstr>
      <vt:lpstr>WidthLoT18</vt:lpstr>
      <vt:lpstr>WidthLoT18a</vt:lpstr>
      <vt:lpstr>WidthLoT3</vt:lpstr>
      <vt:lpstr>WidthLoT4</vt:lpstr>
      <vt:lpstr>WidthLoT5</vt:lpstr>
      <vt:lpstr>WidthLoT6</vt:lpstr>
      <vt:lpstr>WidthLoT7</vt:lpstr>
      <vt:lpstr>WidthLoT9</vt:lpstr>
      <vt:lpstr>WidthWet11</vt:lpstr>
      <vt:lpstr>WidthWet12</vt:lpstr>
      <vt:lpstr>WidthWet14</vt:lpstr>
      <vt:lpstr>WidthWet15</vt:lpstr>
      <vt:lpstr>WidthWet18</vt:lpstr>
      <vt:lpstr>WidthWet18a</vt:lpstr>
      <vt:lpstr>WidthWet19</vt:lpstr>
      <vt:lpstr>WidthWet2</vt:lpstr>
      <vt:lpstr>WidthWet3</vt:lpstr>
      <vt:lpstr>WidthWet4</vt:lpstr>
      <vt:lpstr>WidthWet5</vt:lpstr>
      <vt:lpstr>WidthWet6</vt:lpstr>
      <vt:lpstr>WidthWet7</vt:lpstr>
      <vt:lpstr>WoodDown11</vt:lpstr>
      <vt:lpstr>WoodDown14</vt:lpstr>
      <vt:lpstr>WoodDown16</vt:lpstr>
      <vt:lpstr>WoodDown8</vt:lpstr>
      <vt:lpstr>WoodOver10</vt:lpstr>
      <vt:lpstr>WoodOver11</vt:lpstr>
      <vt:lpstr>WoodOver9</vt:lpstr>
      <vt:lpstr>WoodyDomT</vt:lpstr>
      <vt:lpstr>WoodyDryShade13</vt:lpstr>
      <vt:lpstr>WoodyDryShade14</vt:lpstr>
      <vt:lpstr>WoodyDryShade2</vt:lpstr>
      <vt:lpstr>WoodyDryShade9</vt:lpstr>
      <vt:lpstr>WoodyPct14</vt:lpstr>
      <vt:lpstr>WoodyPct15</vt:lpstr>
      <vt:lpstr>WoodyPct18</vt:lpstr>
      <vt:lpstr>WoodyPct18a</vt:lpstr>
      <vt:lpstr>WoodyPct2</vt:lpstr>
      <vt:lpstr>WoodyPct5</vt:lpstr>
      <vt:lpstr>WoodyPct6</vt:lpstr>
      <vt:lpstr>WQin10</vt:lpstr>
      <vt:lpstr>WQin11</vt:lpstr>
      <vt:lpstr>WQin12</vt:lpstr>
      <vt:lpstr>WQin13</vt:lpstr>
      <vt:lpstr>WQin20</vt:lpstr>
      <vt:lpstr>WQin3v</vt:lpstr>
      <vt:lpstr>WQin4v</vt:lpstr>
      <vt:lpstr>WQin8</vt:lpstr>
      <vt:lpstr>WQin9</vt:lpstr>
      <vt:lpstr>WQstress</vt:lpstr>
      <vt:lpstr>Wscape12</vt:lpstr>
      <vt:lpstr>Wscape13</vt:lpstr>
      <vt:lpstr>Wscape14</vt:lpstr>
      <vt:lpstr>Yield1</vt:lpstr>
      <vt:lpstr>Zoning10v</vt:lpstr>
      <vt:lpstr>Zoning11v</vt:lpstr>
      <vt:lpstr>Zoning12v</vt:lpstr>
      <vt:lpstr>Zoning13v</vt:lpstr>
      <vt:lpstr>Zoning14v</vt:lpstr>
      <vt:lpstr>Zoning15v</vt:lpstr>
      <vt:lpstr>Zoning16v</vt:lpstr>
      <vt:lpstr>Zoning17v</vt:lpstr>
      <vt:lpstr>Zoning1v</vt:lpstr>
      <vt:lpstr>Zoning2v</vt:lpstr>
      <vt:lpstr>Zoning3v</vt:lpstr>
      <vt:lpstr>Zoning4v</vt:lpstr>
      <vt:lpstr>Zoning8v</vt:lpstr>
      <vt:lpstr>Zoning9v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ORWAP Calculator Version 3.1</dc:title>
  <dc:creator>Paul Adamus</dc:creator>
  <cp:lastModifiedBy>ONEILL Liane</cp:lastModifiedBy>
  <cp:lastPrinted>2016-12-02T19:06:42Z</cp:lastPrinted>
  <dcterms:created xsi:type="dcterms:W3CDTF">2007-07-23T17:47:56Z</dcterms:created>
  <dcterms:modified xsi:type="dcterms:W3CDTF">2023-01-26T02:42:34Z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ion">
    <vt:lpwstr>Waterways &amp; Wetlands</vt:lpwstr>
  </property>
  <property fmtid="{D5CDD505-2E9C-101B-9397-08002B2CF9AE}" pid="3" name="Order">
    <vt:r8>9400</vt:r8>
  </property>
  <property fmtid="{D5CDD505-2E9C-101B-9397-08002B2CF9AE}" pid="4" name="ContentTypeId">
    <vt:lpwstr>0x01010076BB65EEA53DC2458C81EB5D85E16BFF</vt:lpwstr>
  </property>
  <property fmtid="{D5CDD505-2E9C-101B-9397-08002B2CF9AE}" pid="5" name="Topic">
    <vt:lpwstr>;#ORWAP;#</vt:lpwstr>
  </property>
  <property fmtid="{D5CDD505-2E9C-101B-9397-08002B2CF9AE}" pid="6" name="FileType">
    <vt:lpwstr>;#Supporting Document;#</vt:lpwstr>
  </property>
  <property fmtid="{D5CDD505-2E9C-101B-9397-08002B2CF9AE}" pid="7" name="Program">
    <vt:lpwstr>;#Wetland Conservation &amp; Planning;#</vt:lpwstr>
  </property>
  <property fmtid="{D5CDD505-2E9C-101B-9397-08002B2CF9AE}" pid="8" name="Section0">
    <vt:lpwstr/>
  </property>
  <property fmtid="{D5CDD505-2E9C-101B-9397-08002B2CF9AE}" pid="9" name="FileType0">
    <vt:lpwstr/>
  </property>
</Properties>
</file>